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Базжина\Desktop\2017-2019 годы8\2020 ГОД\new\"/>
    </mc:Choice>
  </mc:AlternateContent>
  <xr:revisionPtr revIDLastSave="0" documentId="13_ncr:1_{3D269763-978F-4621-B39B-67999C6F1FCF}" xr6:coauthVersionLast="45" xr6:coauthVersionMax="45" xr10:uidLastSave="{00000000-0000-0000-0000-000000000000}"/>
  <bookViews>
    <workbookView xWindow="-120" yWindow="-120" windowWidth="29040" windowHeight="15840" tabRatio="691" activeTab="6" xr2:uid="{00000000-000D-0000-FFFF-FFFF00000000}"/>
  </bookViews>
  <sheets>
    <sheet name="Реестр" sheetId="7" r:id="rId1"/>
    <sheet name="Перечень" sheetId="3" r:id="rId2"/>
    <sheet name="Рес обесп" sheetId="4" r:id="rId3"/>
    <sheet name="Плановые показатели" sheetId="5" r:id="rId4"/>
    <sheet name="Спец.счета КП 2020-2022" sheetId="12" r:id="rId5"/>
    <sheet name="Зачет" sheetId="11" r:id="rId6"/>
    <sheet name="Реестр_бонусы" sheetId="8" r:id="rId7"/>
    <sheet name="Перечень_бонусы" sheetId="9" r:id="rId8"/>
    <sheet name="Планируемые показат_бонусы" sheetId="10" r:id="rId9"/>
  </sheets>
  <definedNames>
    <definedName name="_xlnm._FilterDatabase" localSheetId="5" hidden="1">Зачет!$A$12:$AC$14</definedName>
    <definedName name="_xlnm._FilterDatabase" localSheetId="1" hidden="1">Перечень!$A$12:$GI$1291</definedName>
    <definedName name="_xlnm._FilterDatabase" localSheetId="7" hidden="1">Перечень_бонусы!$A$8:$W$237</definedName>
    <definedName name="_xlnm._FilterDatabase" localSheetId="3" hidden="1">'Плановые показатели'!$A$9:$K$208</definedName>
    <definedName name="_xlnm._FilterDatabase" localSheetId="0" hidden="1">Реестр!$A$18:$HP$1298</definedName>
    <definedName name="_xlnm._FilterDatabase" localSheetId="6" hidden="1">Реестр_бонусы!$A$9:$AN$237</definedName>
    <definedName name="_xlnm._FilterDatabase" localSheetId="4" hidden="1">'Спец.счета КП 2020-2022'!$A$7:$AB$490</definedName>
    <definedName name="_xlnm.Print_Area" localSheetId="5">Зачет!$A$1:$AC$16</definedName>
    <definedName name="_xlnm.Print_Area" localSheetId="1">Перечень!$B$1:$AP$1291</definedName>
    <definedName name="_xlnm.Print_Area" localSheetId="0">Реестр!$B$1:$BW$1298</definedName>
    <definedName name="_xlnm.Print_Area" localSheetId="2">'Рес обесп'!$A$1:$C$45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73" i="3" l="1"/>
  <c r="B1271" i="3"/>
  <c r="B1270" i="3"/>
  <c r="B1269" i="3"/>
  <c r="B1267" i="3"/>
  <c r="B1265" i="3"/>
  <c r="B1263" i="3"/>
  <c r="B1261" i="3"/>
  <c r="B1260" i="3"/>
  <c r="B1259" i="3"/>
  <c r="B1257" i="3"/>
  <c r="B1256" i="3"/>
  <c r="B1254" i="3"/>
  <c r="B1252" i="3"/>
  <c r="B1250" i="3"/>
  <c r="B1249" i="3"/>
  <c r="B1247" i="3"/>
  <c r="B1246" i="3"/>
  <c r="B1245" i="3"/>
  <c r="B1243" i="3"/>
  <c r="B1242" i="3"/>
  <c r="B1241" i="3"/>
  <c r="B1239" i="3"/>
  <c r="B1238" i="3"/>
  <c r="B1237" i="3"/>
  <c r="B1235" i="3"/>
  <c r="B1234" i="3"/>
  <c r="B1232" i="3"/>
  <c r="B1230" i="3"/>
  <c r="B1228" i="3"/>
  <c r="B1226" i="3"/>
  <c r="B1225" i="3"/>
  <c r="B1224" i="3"/>
  <c r="B1222" i="3"/>
  <c r="B1220" i="3"/>
  <c r="B1218" i="3"/>
  <c r="B1216" i="3"/>
  <c r="B1215" i="3"/>
  <c r="B1214" i="3"/>
  <c r="B1212" i="3"/>
  <c r="B1210" i="3"/>
  <c r="B1208" i="3"/>
  <c r="B1206" i="3"/>
  <c r="B1204" i="3"/>
  <c r="B1202" i="3"/>
  <c r="B1200" i="3"/>
  <c r="B1199" i="3"/>
  <c r="B1198" i="3"/>
  <c r="B1196" i="3"/>
  <c r="B1194" i="3"/>
  <c r="B1193" i="3"/>
  <c r="B1191" i="3"/>
  <c r="B1190" i="3"/>
  <c r="B1189" i="3"/>
  <c r="B1187" i="3"/>
  <c r="B1186" i="3"/>
  <c r="B1184" i="3"/>
  <c r="B1183" i="3"/>
  <c r="B1182" i="3"/>
  <c r="B1181" i="3"/>
  <c r="B1180" i="3"/>
  <c r="B1179" i="3"/>
  <c r="B1177" i="3"/>
  <c r="B1175" i="3"/>
  <c r="B1173" i="3"/>
  <c r="B1171" i="3"/>
  <c r="B1170" i="3"/>
  <c r="B1168" i="3"/>
  <c r="B1167" i="3"/>
  <c r="B1165" i="3"/>
  <c r="B1163" i="3"/>
  <c r="B1161" i="3"/>
  <c r="B1159" i="3"/>
  <c r="B1158" i="3"/>
  <c r="B1157" i="3"/>
  <c r="B1155" i="3"/>
  <c r="B1154" i="3"/>
  <c r="B1153" i="3"/>
  <c r="B1152" i="3"/>
  <c r="B1151" i="3"/>
  <c r="B1150" i="3"/>
  <c r="B1148" i="3"/>
  <c r="B1146" i="3"/>
  <c r="B1144" i="3"/>
  <c r="B1143" i="3"/>
  <c r="B1141" i="3"/>
  <c r="B1139" i="3"/>
  <c r="B1137" i="3"/>
  <c r="B1136" i="3"/>
  <c r="B1134" i="3"/>
  <c r="B1133" i="3"/>
  <c r="B1132" i="3"/>
  <c r="B1130" i="3"/>
  <c r="B1129" i="3"/>
  <c r="B1127" i="3"/>
  <c r="B1126" i="3"/>
  <c r="B1125" i="3"/>
  <c r="B1124" i="3"/>
  <c r="B1123" i="3"/>
  <c r="B1122" i="3"/>
  <c r="B1121" i="3"/>
  <c r="B1120" i="3"/>
  <c r="B1118" i="3"/>
  <c r="B1117" i="3"/>
  <c r="B1115" i="3"/>
  <c r="B1114" i="3"/>
  <c r="B1113" i="3"/>
  <c r="B1112" i="3"/>
  <c r="B1111" i="3"/>
  <c r="B1110" i="3"/>
  <c r="B1109" i="3"/>
  <c r="B1108" i="3"/>
  <c r="B1107" i="3"/>
  <c r="B1106" i="3"/>
  <c r="B1105" i="3"/>
  <c r="B1103" i="3"/>
  <c r="B1102" i="3"/>
  <c r="B1101" i="3"/>
  <c r="B1100" i="3"/>
  <c r="B1099" i="3"/>
  <c r="B1098" i="3"/>
  <c r="B1097" i="3"/>
  <c r="B1096" i="3"/>
  <c r="B1095" i="3"/>
  <c r="B1094" i="3"/>
  <c r="B1093" i="3"/>
  <c r="B1092" i="3"/>
  <c r="B1091" i="3"/>
  <c r="B1090" i="3"/>
  <c r="B1089" i="3"/>
  <c r="B1088" i="3"/>
  <c r="B1087" i="3"/>
  <c r="B1086" i="3"/>
  <c r="B1085" i="3"/>
  <c r="B1084" i="3"/>
  <c r="B1083" i="3"/>
  <c r="B1082" i="3"/>
  <c r="B1081" i="3"/>
  <c r="B1080" i="3"/>
  <c r="B1079" i="3"/>
  <c r="B1078" i="3"/>
  <c r="B1076" i="3"/>
  <c r="B1075" i="3"/>
  <c r="B1074" i="3"/>
  <c r="B1073" i="3"/>
  <c r="B1072" i="3"/>
  <c r="B1071" i="3"/>
  <c r="B1070" i="3"/>
  <c r="B1069" i="3"/>
  <c r="B1068" i="3"/>
  <c r="B1067" i="3"/>
  <c r="B1066" i="3"/>
  <c r="B1065" i="3"/>
  <c r="B1064" i="3"/>
  <c r="B1063" i="3"/>
  <c r="B1061" i="3"/>
  <c r="B1060" i="3"/>
  <c r="B1059" i="3"/>
  <c r="B1058" i="3"/>
  <c r="B1057" i="3"/>
  <c r="B1056" i="3"/>
  <c r="B1055" i="3"/>
  <c r="B1054" i="3"/>
  <c r="B1053" i="3"/>
  <c r="B1052" i="3"/>
  <c r="B1051" i="3"/>
  <c r="B1050" i="3"/>
  <c r="B1049" i="3"/>
  <c r="B1048" i="3"/>
  <c r="B1047" i="3"/>
  <c r="B1046" i="3"/>
  <c r="B1045" i="3"/>
  <c r="B1044" i="3"/>
  <c r="B1043" i="3"/>
  <c r="B1042" i="3"/>
  <c r="B1041" i="3"/>
  <c r="B1040" i="3"/>
  <c r="B1039" i="3"/>
  <c r="B1038" i="3"/>
  <c r="B1037" i="3"/>
  <c r="B1036" i="3"/>
  <c r="B1035" i="3"/>
  <c r="B1034" i="3"/>
  <c r="B1033" i="3"/>
  <c r="B1032" i="3"/>
  <c r="B1031" i="3"/>
  <c r="B1030" i="3"/>
  <c r="B1029" i="3"/>
  <c r="B1028" i="3"/>
  <c r="B1027" i="3"/>
  <c r="B1026" i="3"/>
  <c r="B1025" i="3"/>
  <c r="B1024" i="3"/>
  <c r="B1023" i="3"/>
  <c r="B1022" i="3"/>
  <c r="B1021" i="3"/>
  <c r="B1020" i="3"/>
  <c r="B1019" i="3"/>
  <c r="B1018" i="3"/>
  <c r="B1017" i="3"/>
  <c r="B1016" i="3"/>
  <c r="B1015" i="3"/>
  <c r="B1014" i="3"/>
  <c r="B1013" i="3"/>
  <c r="B1012" i="3"/>
  <c r="B1011" i="3"/>
  <c r="B1010" i="3"/>
  <c r="B1009" i="3"/>
  <c r="B1008" i="3"/>
  <c r="B1007" i="3"/>
  <c r="B1006" i="3"/>
  <c r="B1005" i="3"/>
  <c r="B1004" i="3"/>
  <c r="B1003" i="3"/>
  <c r="B1002" i="3"/>
  <c r="B1001" i="3"/>
  <c r="B997" i="3"/>
  <c r="B995" i="3"/>
  <c r="B993" i="3"/>
  <c r="B992" i="3"/>
  <c r="B991" i="3"/>
  <c r="B990" i="3"/>
  <c r="B988" i="3"/>
  <c r="B987" i="3"/>
  <c r="B986" i="3"/>
  <c r="B985" i="3"/>
  <c r="B984" i="3"/>
  <c r="B983" i="3"/>
  <c r="B981" i="3"/>
  <c r="B979" i="3"/>
  <c r="B977" i="3"/>
  <c r="B976" i="3"/>
  <c r="B975" i="3"/>
  <c r="B974" i="3"/>
  <c r="B973" i="3"/>
  <c r="B971" i="3"/>
  <c r="B969" i="3"/>
  <c r="B967" i="3"/>
  <c r="B965" i="3"/>
  <c r="B963" i="3"/>
  <c r="B962" i="3"/>
  <c r="B961" i="3"/>
  <c r="B959" i="3"/>
  <c r="B958" i="3"/>
  <c r="B957" i="3"/>
  <c r="B956" i="3"/>
  <c r="B955" i="3"/>
  <c r="B953" i="3"/>
  <c r="B952" i="3"/>
  <c r="B951" i="3"/>
  <c r="B950" i="3"/>
  <c r="B949" i="3"/>
  <c r="B947" i="3"/>
  <c r="B946" i="3"/>
  <c r="B945" i="3"/>
  <c r="B943" i="3"/>
  <c r="B941" i="3"/>
  <c r="B939" i="3"/>
  <c r="B937" i="3"/>
  <c r="B936" i="3"/>
  <c r="B934" i="3"/>
  <c r="B932" i="3"/>
  <c r="B931" i="3"/>
  <c r="B930" i="3"/>
  <c r="B928" i="3"/>
  <c r="B927" i="3"/>
  <c r="B926" i="3"/>
  <c r="B925" i="3"/>
  <c r="B924" i="3"/>
  <c r="B923" i="3"/>
  <c r="B922" i="3"/>
  <c r="B920" i="3"/>
  <c r="B918" i="3"/>
  <c r="B917" i="3"/>
  <c r="B916" i="3"/>
  <c r="B914" i="3"/>
  <c r="B913" i="3"/>
  <c r="B912" i="3"/>
  <c r="B911" i="3"/>
  <c r="B910" i="3"/>
  <c r="B908" i="3"/>
  <c r="B906" i="3"/>
  <c r="B905" i="3"/>
  <c r="B903" i="3"/>
  <c r="B902" i="3"/>
  <c r="B901" i="3"/>
  <c r="B900" i="3"/>
  <c r="B898" i="3"/>
  <c r="B896" i="3"/>
  <c r="B894" i="3"/>
  <c r="B892" i="3"/>
  <c r="B891" i="3"/>
  <c r="B890" i="3"/>
  <c r="B888" i="3"/>
  <c r="B886" i="3"/>
  <c r="B885" i="3"/>
  <c r="B884" i="3"/>
  <c r="B882" i="3"/>
  <c r="B881" i="3"/>
  <c r="B880" i="3"/>
  <c r="B879" i="3"/>
  <c r="B878" i="3"/>
  <c r="B877" i="3"/>
  <c r="B876" i="3"/>
  <c r="B875" i="3"/>
  <c r="B873" i="3"/>
  <c r="B872" i="3"/>
  <c r="B870" i="3"/>
  <c r="B869" i="3"/>
  <c r="B867" i="3"/>
  <c r="B866" i="3"/>
  <c r="B864" i="3"/>
  <c r="B863" i="3"/>
  <c r="B862" i="3"/>
  <c r="B860" i="3"/>
  <c r="B859" i="3"/>
  <c r="B857" i="3"/>
  <c r="B856" i="3"/>
  <c r="B855" i="3"/>
  <c r="B854" i="3"/>
  <c r="B853" i="3"/>
  <c r="B852" i="3"/>
  <c r="B851" i="3"/>
  <c r="B850" i="3"/>
  <c r="B849" i="3"/>
  <c r="B848" i="3"/>
  <c r="B847" i="3"/>
  <c r="B845" i="3"/>
  <c r="B843" i="3"/>
  <c r="B842" i="3"/>
  <c r="B841" i="3"/>
  <c r="B840" i="3"/>
  <c r="B838" i="3"/>
  <c r="B836" i="3"/>
  <c r="B834" i="3"/>
  <c r="B832" i="3"/>
  <c r="B830" i="3"/>
  <c r="B828" i="3"/>
  <c r="B827" i="3"/>
  <c r="B826" i="3"/>
  <c r="B824" i="3"/>
  <c r="B823" i="3"/>
  <c r="B821" i="3"/>
  <c r="B820" i="3"/>
  <c r="B819" i="3"/>
  <c r="B818" i="3"/>
  <c r="B817" i="3"/>
  <c r="B816" i="3"/>
  <c r="B815" i="3"/>
  <c r="B814" i="3"/>
  <c r="B813" i="3"/>
  <c r="B812" i="3"/>
  <c r="B810" i="3"/>
  <c r="B809" i="3"/>
  <c r="B808" i="3"/>
  <c r="B807" i="3"/>
  <c r="B806" i="3"/>
  <c r="B805" i="3"/>
  <c r="B804" i="3"/>
  <c r="B803" i="3"/>
  <c r="B802" i="3"/>
  <c r="B801" i="3"/>
  <c r="B800" i="3"/>
  <c r="B799" i="3"/>
  <c r="B798" i="3"/>
  <c r="B797" i="3"/>
  <c r="B795" i="3"/>
  <c r="B793" i="3"/>
  <c r="B791" i="3"/>
  <c r="B790" i="3"/>
  <c r="B789" i="3"/>
  <c r="B787" i="3"/>
  <c r="B785" i="3"/>
  <c r="B784" i="3"/>
  <c r="B783" i="3"/>
  <c r="B782" i="3"/>
  <c r="B780" i="3"/>
  <c r="B779" i="3"/>
  <c r="B778" i="3"/>
  <c r="B777" i="3"/>
  <c r="B776" i="3"/>
  <c r="B775" i="3"/>
  <c r="B774" i="3"/>
  <c r="B772" i="3"/>
  <c r="B771" i="3"/>
  <c r="B770" i="3"/>
  <c r="B769" i="3"/>
  <c r="B768" i="3"/>
  <c r="B767" i="3"/>
  <c r="B766" i="3"/>
  <c r="B764" i="3"/>
  <c r="B763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4" i="3"/>
  <c r="B743" i="3"/>
  <c r="B742" i="3"/>
  <c r="B741" i="3"/>
  <c r="B740" i="3"/>
  <c r="B738" i="3"/>
  <c r="B737" i="3"/>
  <c r="B736" i="3"/>
  <c r="B735" i="3"/>
  <c r="B734" i="3"/>
  <c r="B733" i="3"/>
  <c r="B732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49" i="3"/>
  <c r="B548" i="3"/>
  <c r="B546" i="3"/>
  <c r="B545" i="3"/>
  <c r="B543" i="3"/>
  <c r="B542" i="3"/>
  <c r="B541" i="3"/>
  <c r="B540" i="3"/>
  <c r="B538" i="3"/>
  <c r="B537" i="3"/>
  <c r="B536" i="3"/>
  <c r="B535" i="3"/>
  <c r="B534" i="3"/>
  <c r="B533" i="3"/>
  <c r="B532" i="3"/>
  <c r="B531" i="3"/>
  <c r="B530" i="3"/>
  <c r="B528" i="3"/>
  <c r="B526" i="3"/>
  <c r="B525" i="3"/>
  <c r="B523" i="3"/>
  <c r="B521" i="3"/>
  <c r="B520" i="3"/>
  <c r="B519" i="3"/>
  <c r="B518" i="3"/>
  <c r="B517" i="3"/>
  <c r="B515" i="3"/>
  <c r="B514" i="3"/>
  <c r="B512" i="3"/>
  <c r="B510" i="3"/>
  <c r="B509" i="3"/>
  <c r="B507" i="3"/>
  <c r="B506" i="3"/>
  <c r="B504" i="3"/>
  <c r="B502" i="3"/>
  <c r="B501" i="3"/>
  <c r="B500" i="3"/>
  <c r="B499" i="3"/>
  <c r="B498" i="3"/>
  <c r="B496" i="3"/>
  <c r="B495" i="3"/>
  <c r="B494" i="3"/>
  <c r="B493" i="3"/>
  <c r="B491" i="3"/>
  <c r="B489" i="3"/>
  <c r="B487" i="3"/>
  <c r="B486" i="3"/>
  <c r="B485" i="3"/>
  <c r="B484" i="3"/>
  <c r="B483" i="3"/>
  <c r="B482" i="3"/>
  <c r="B481" i="3"/>
  <c r="B480" i="3"/>
  <c r="B478" i="3"/>
  <c r="B477" i="3"/>
  <c r="B476" i="3"/>
  <c r="B475" i="3"/>
  <c r="B474" i="3"/>
  <c r="B473" i="3"/>
  <c r="B472" i="3"/>
  <c r="B471" i="3"/>
  <c r="B470" i="3"/>
  <c r="B469" i="3"/>
  <c r="B468" i="3"/>
  <c r="B466" i="3"/>
  <c r="B465" i="3"/>
  <c r="B464" i="3"/>
  <c r="B463" i="3"/>
  <c r="B462" i="3"/>
  <c r="B460" i="3"/>
  <c r="B458" i="3"/>
  <c r="B456" i="3"/>
  <c r="B454" i="3"/>
  <c r="B452" i="3"/>
  <c r="B450" i="3"/>
  <c r="B448" i="3"/>
  <c r="B447" i="3"/>
  <c r="B446" i="3"/>
  <c r="B445" i="3"/>
  <c r="B444" i="3"/>
  <c r="B443" i="3"/>
  <c r="B442" i="3"/>
  <c r="B441" i="3"/>
  <c r="B440" i="3"/>
  <c r="B439" i="3"/>
  <c r="B437" i="3"/>
  <c r="B436" i="3"/>
  <c r="B434" i="3"/>
  <c r="B433" i="3"/>
  <c r="B432" i="3"/>
  <c r="B431" i="3"/>
  <c r="B430" i="3"/>
  <c r="B428" i="3"/>
  <c r="B427" i="3"/>
  <c r="B426" i="3"/>
  <c r="B425" i="3"/>
  <c r="B424" i="3"/>
  <c r="B423" i="3"/>
  <c r="B421" i="3"/>
  <c r="B420" i="3"/>
  <c r="B419" i="3"/>
  <c r="B417" i="3"/>
  <c r="B415" i="3"/>
  <c r="B414" i="3"/>
  <c r="B413" i="3"/>
  <c r="B411" i="3"/>
  <c r="B410" i="3"/>
  <c r="B409" i="3"/>
  <c r="B407" i="3"/>
  <c r="B405" i="3"/>
  <c r="B404" i="3"/>
  <c r="B403" i="3"/>
  <c r="B402" i="3"/>
  <c r="B401" i="3"/>
  <c r="B400" i="3"/>
  <c r="B399" i="3"/>
  <c r="B397" i="3"/>
  <c r="B395" i="3"/>
  <c r="B394" i="3"/>
  <c r="B393" i="3"/>
  <c r="B392" i="3"/>
  <c r="B390" i="3"/>
  <c r="B388" i="3"/>
  <c r="B387" i="3"/>
  <c r="B385" i="3"/>
  <c r="B384" i="3"/>
  <c r="B383" i="3"/>
  <c r="B382" i="3"/>
  <c r="B380" i="3"/>
  <c r="B378" i="3"/>
  <c r="B376" i="3"/>
  <c r="B375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8" i="3"/>
  <c r="B356" i="3"/>
  <c r="B355" i="3"/>
  <c r="B353" i="3"/>
  <c r="B352" i="3"/>
  <c r="B351" i="3"/>
  <c r="B349" i="3"/>
  <c r="B348" i="3"/>
  <c r="B346" i="3"/>
  <c r="B345" i="3"/>
  <c r="B343" i="3"/>
  <c r="B342" i="3"/>
  <c r="B341" i="3"/>
  <c r="B340" i="3"/>
  <c r="B339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4" i="3"/>
  <c r="B302" i="3"/>
  <c r="B301" i="3"/>
  <c r="B300" i="3"/>
  <c r="B299" i="3"/>
  <c r="B298" i="3"/>
  <c r="B296" i="3"/>
  <c r="B295" i="3"/>
  <c r="B294" i="3"/>
  <c r="B293" i="3"/>
  <c r="B292" i="3"/>
  <c r="B290" i="3"/>
  <c r="B289" i="3"/>
  <c r="B287" i="3"/>
  <c r="B285" i="3"/>
  <c r="B284" i="3"/>
  <c r="B283" i="3"/>
  <c r="B282" i="3"/>
  <c r="B280" i="3"/>
  <c r="B279" i="3"/>
  <c r="B278" i="3"/>
  <c r="B277" i="3"/>
  <c r="B276" i="3"/>
  <c r="B275" i="3"/>
  <c r="B273" i="3"/>
  <c r="B272" i="3"/>
  <c r="B271" i="3"/>
  <c r="B270" i="3"/>
  <c r="B269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0" i="3"/>
  <c r="B239" i="3"/>
  <c r="B238" i="3"/>
  <c r="B237" i="3"/>
  <c r="B236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279" i="7"/>
  <c r="B1277" i="7"/>
  <c r="B1276" i="7"/>
  <c r="B1275" i="7"/>
  <c r="B1273" i="7"/>
  <c r="B1271" i="7"/>
  <c r="B1269" i="7"/>
  <c r="B1267" i="7"/>
  <c r="B1266" i="7"/>
  <c r="B1265" i="7"/>
  <c r="B1263" i="7"/>
  <c r="B1262" i="7"/>
  <c r="B1260" i="7"/>
  <c r="B1258" i="7"/>
  <c r="B1256" i="7"/>
  <c r="B1255" i="7"/>
  <c r="B1253" i="7"/>
  <c r="B1252" i="7"/>
  <c r="B1251" i="7"/>
  <c r="B1249" i="7"/>
  <c r="B1248" i="7"/>
  <c r="B1247" i="7"/>
  <c r="B1245" i="7"/>
  <c r="B1244" i="7"/>
  <c r="B1243" i="7"/>
  <c r="B1241" i="7"/>
  <c r="B1240" i="7"/>
  <c r="B1238" i="7"/>
  <c r="B1236" i="7"/>
  <c r="B1234" i="7"/>
  <c r="B1232" i="7"/>
  <c r="B1231" i="7"/>
  <c r="B1230" i="7"/>
  <c r="B1228" i="7"/>
  <c r="B1226" i="7"/>
  <c r="B1224" i="7"/>
  <c r="B1222" i="7"/>
  <c r="B1221" i="7"/>
  <c r="B1220" i="7"/>
  <c r="B1218" i="7"/>
  <c r="B1216" i="7"/>
  <c r="B1214" i="7"/>
  <c r="B1212" i="7"/>
  <c r="B1210" i="7"/>
  <c r="B1208" i="7"/>
  <c r="B1206" i="7"/>
  <c r="B1205" i="7"/>
  <c r="B1204" i="7"/>
  <c r="B1202" i="7"/>
  <c r="B1200" i="7"/>
  <c r="B1199" i="7"/>
  <c r="B1197" i="7"/>
  <c r="B1196" i="7"/>
  <c r="B1195" i="7"/>
  <c r="B1193" i="7"/>
  <c r="B1192" i="7"/>
  <c r="B1190" i="7"/>
  <c r="B1189" i="7"/>
  <c r="B1188" i="7"/>
  <c r="B1187" i="7"/>
  <c r="B1186" i="7"/>
  <c r="B1185" i="7"/>
  <c r="B1183" i="7"/>
  <c r="B1181" i="7"/>
  <c r="B1179" i="7"/>
  <c r="B1177" i="7"/>
  <c r="B1176" i="7"/>
  <c r="B1174" i="7"/>
  <c r="B1173" i="7"/>
  <c r="B1171" i="7"/>
  <c r="B1169" i="7"/>
  <c r="B1167" i="7"/>
  <c r="B1165" i="7"/>
  <c r="B1164" i="7"/>
  <c r="B1163" i="7"/>
  <c r="B1161" i="7"/>
  <c r="B1160" i="7"/>
  <c r="B1159" i="7"/>
  <c r="B1158" i="7"/>
  <c r="B1157" i="7"/>
  <c r="B1156" i="7"/>
  <c r="B1154" i="7"/>
  <c r="B1152" i="7"/>
  <c r="B1150" i="7"/>
  <c r="B1149" i="7"/>
  <c r="B1147" i="7"/>
  <c r="B1145" i="7"/>
  <c r="B1143" i="7"/>
  <c r="B1142" i="7"/>
  <c r="B1140" i="7"/>
  <c r="B1139" i="7"/>
  <c r="B1138" i="7"/>
  <c r="B1136" i="7"/>
  <c r="B1135" i="7"/>
  <c r="B1133" i="7"/>
  <c r="B1132" i="7"/>
  <c r="B1131" i="7"/>
  <c r="B1130" i="7"/>
  <c r="B1129" i="7"/>
  <c r="B1128" i="7"/>
  <c r="B1127" i="7"/>
  <c r="B1126" i="7"/>
  <c r="B1124" i="7"/>
  <c r="B1123" i="7"/>
  <c r="B1121" i="7"/>
  <c r="B1120" i="7"/>
  <c r="B1119" i="7"/>
  <c r="B1118" i="7"/>
  <c r="B1117" i="7"/>
  <c r="B1116" i="7"/>
  <c r="B1115" i="7"/>
  <c r="B1114" i="7"/>
  <c r="B1113" i="7"/>
  <c r="B1112" i="7"/>
  <c r="B1111" i="7"/>
  <c r="B1109" i="7"/>
  <c r="B1108" i="7"/>
  <c r="B1107" i="7"/>
  <c r="B1106" i="7"/>
  <c r="B1105" i="7"/>
  <c r="B1104" i="7"/>
  <c r="B1103" i="7"/>
  <c r="B1102" i="7"/>
  <c r="B1101" i="7"/>
  <c r="B1100" i="7"/>
  <c r="B1099" i="7"/>
  <c r="B1098" i="7"/>
  <c r="B1097" i="7"/>
  <c r="B1096" i="7"/>
  <c r="B1095" i="7"/>
  <c r="B1094" i="7"/>
  <c r="B1093" i="7"/>
  <c r="B1092" i="7"/>
  <c r="B1091" i="7"/>
  <c r="B1090" i="7"/>
  <c r="B1089" i="7"/>
  <c r="B1088" i="7"/>
  <c r="B1087" i="7"/>
  <c r="B1086" i="7"/>
  <c r="B1085" i="7"/>
  <c r="B1084" i="7"/>
  <c r="B1082" i="7"/>
  <c r="B1081" i="7"/>
  <c r="B1080" i="7"/>
  <c r="B1079" i="7"/>
  <c r="B1078" i="7"/>
  <c r="B1077" i="7"/>
  <c r="B1076" i="7"/>
  <c r="B1075" i="7"/>
  <c r="B1074" i="7"/>
  <c r="B1073" i="7"/>
  <c r="B1072" i="7"/>
  <c r="B1071" i="7"/>
  <c r="B1070" i="7"/>
  <c r="B1069" i="7"/>
  <c r="B1067" i="7"/>
  <c r="B1066" i="7"/>
  <c r="B1065" i="7"/>
  <c r="B1064" i="7"/>
  <c r="B1063" i="7"/>
  <c r="B1062" i="7"/>
  <c r="B1061" i="7"/>
  <c r="B1060" i="7"/>
  <c r="B1059" i="7"/>
  <c r="B1058" i="7"/>
  <c r="B1057" i="7"/>
  <c r="B1056" i="7"/>
  <c r="B1055" i="7"/>
  <c r="B1054" i="7"/>
  <c r="B1053" i="7"/>
  <c r="B1052" i="7"/>
  <c r="B1051" i="7"/>
  <c r="B1050" i="7"/>
  <c r="B1049" i="7"/>
  <c r="B1048" i="7"/>
  <c r="B1047" i="7"/>
  <c r="B1046" i="7"/>
  <c r="B1045" i="7"/>
  <c r="B1044" i="7"/>
  <c r="B1043" i="7"/>
  <c r="B1042" i="7"/>
  <c r="B1041" i="7"/>
  <c r="B1040" i="7"/>
  <c r="B1039" i="7"/>
  <c r="B1038" i="7"/>
  <c r="B1037" i="7"/>
  <c r="B1036" i="7"/>
  <c r="B1035" i="7"/>
  <c r="B1034" i="7"/>
  <c r="B1033" i="7"/>
  <c r="B1032" i="7"/>
  <c r="B1031" i="7"/>
  <c r="B1030" i="7"/>
  <c r="B1029" i="7"/>
  <c r="B1028" i="7"/>
  <c r="B1027" i="7"/>
  <c r="B1026" i="7"/>
  <c r="B1025" i="7"/>
  <c r="B1024" i="7"/>
  <c r="B1023" i="7"/>
  <c r="B1022" i="7"/>
  <c r="B1021" i="7"/>
  <c r="B1020" i="7"/>
  <c r="B1019" i="7"/>
  <c r="B1018" i="7"/>
  <c r="B1017" i="7"/>
  <c r="B1016" i="7"/>
  <c r="B1015" i="7"/>
  <c r="B1014" i="7"/>
  <c r="B1013" i="7"/>
  <c r="B1012" i="7"/>
  <c r="B1011" i="7"/>
  <c r="B1010" i="7"/>
  <c r="B1009" i="7"/>
  <c r="B1008" i="7"/>
  <c r="B1007" i="7"/>
  <c r="B1003" i="7"/>
  <c r="B1001" i="7"/>
  <c r="B999" i="7"/>
  <c r="B998" i="7"/>
  <c r="B997" i="7"/>
  <c r="B996" i="7"/>
  <c r="B994" i="7"/>
  <c r="B993" i="7"/>
  <c r="B992" i="7"/>
  <c r="B991" i="7"/>
  <c r="B990" i="7"/>
  <c r="B989" i="7"/>
  <c r="B987" i="7"/>
  <c r="B985" i="7"/>
  <c r="B983" i="7"/>
  <c r="B982" i="7"/>
  <c r="B981" i="7"/>
  <c r="B980" i="7"/>
  <c r="B979" i="7"/>
  <c r="B977" i="7"/>
  <c r="B975" i="7"/>
  <c r="B973" i="7"/>
  <c r="B971" i="7"/>
  <c r="B969" i="7"/>
  <c r="B968" i="7"/>
  <c r="B967" i="7"/>
  <c r="B965" i="7"/>
  <c r="B964" i="7"/>
  <c r="B963" i="7"/>
  <c r="B962" i="7"/>
  <c r="B961" i="7"/>
  <c r="B959" i="7"/>
  <c r="B958" i="7"/>
  <c r="B957" i="7"/>
  <c r="B956" i="7"/>
  <c r="B955" i="7"/>
  <c r="B953" i="7"/>
  <c r="B952" i="7"/>
  <c r="B951" i="7"/>
  <c r="B949" i="7"/>
  <c r="B947" i="7"/>
  <c r="B945" i="7"/>
  <c r="B943" i="7"/>
  <c r="B942" i="7"/>
  <c r="B940" i="7"/>
  <c r="B938" i="7"/>
  <c r="B937" i="7"/>
  <c r="B936" i="7"/>
  <c r="B934" i="7"/>
  <c r="B933" i="7"/>
  <c r="B932" i="7"/>
  <c r="B931" i="7"/>
  <c r="B930" i="7"/>
  <c r="B929" i="7"/>
  <c r="B928" i="7"/>
  <c r="B926" i="7"/>
  <c r="B924" i="7"/>
  <c r="B923" i="7"/>
  <c r="B922" i="7"/>
  <c r="B920" i="7"/>
  <c r="B919" i="7"/>
  <c r="B918" i="7"/>
  <c r="B917" i="7"/>
  <c r="B916" i="7"/>
  <c r="B914" i="7"/>
  <c r="B912" i="7"/>
  <c r="B911" i="7"/>
  <c r="B909" i="7"/>
  <c r="B908" i="7"/>
  <c r="B907" i="7"/>
  <c r="B906" i="7"/>
  <c r="B904" i="7"/>
  <c r="B902" i="7"/>
  <c r="B900" i="7"/>
  <c r="B898" i="7"/>
  <c r="B897" i="7"/>
  <c r="B896" i="7"/>
  <c r="B894" i="7"/>
  <c r="B892" i="7"/>
  <c r="B891" i="7"/>
  <c r="B890" i="7"/>
  <c r="B888" i="7"/>
  <c r="B887" i="7"/>
  <c r="B886" i="7"/>
  <c r="B885" i="7"/>
  <c r="B884" i="7"/>
  <c r="B883" i="7"/>
  <c r="B882" i="7"/>
  <c r="B881" i="7"/>
  <c r="B879" i="7"/>
  <c r="B878" i="7"/>
  <c r="B876" i="7"/>
  <c r="B875" i="7"/>
  <c r="B873" i="7"/>
  <c r="B872" i="7"/>
  <c r="B870" i="7"/>
  <c r="B869" i="7"/>
  <c r="B868" i="7"/>
  <c r="B866" i="7"/>
  <c r="B865" i="7"/>
  <c r="B863" i="7"/>
  <c r="B862" i="7"/>
  <c r="B861" i="7"/>
  <c r="B860" i="7"/>
  <c r="B859" i="7"/>
  <c r="B858" i="7"/>
  <c r="B857" i="7"/>
  <c r="B856" i="7"/>
  <c r="B855" i="7"/>
  <c r="B854" i="7"/>
  <c r="B853" i="7"/>
  <c r="B851" i="7"/>
  <c r="B849" i="7"/>
  <c r="B848" i="7"/>
  <c r="B847" i="7"/>
  <c r="B846" i="7"/>
  <c r="B844" i="7"/>
  <c r="B842" i="7"/>
  <c r="B840" i="7"/>
  <c r="B838" i="7"/>
  <c r="B836" i="7"/>
  <c r="B834" i="7"/>
  <c r="B833" i="7"/>
  <c r="B832" i="7"/>
  <c r="B830" i="7"/>
  <c r="B829" i="7"/>
  <c r="B827" i="7"/>
  <c r="B826" i="7"/>
  <c r="B825" i="7"/>
  <c r="B824" i="7"/>
  <c r="B823" i="7"/>
  <c r="B822" i="7"/>
  <c r="B821" i="7"/>
  <c r="B820" i="7"/>
  <c r="B819" i="7"/>
  <c r="B818" i="7"/>
  <c r="B816" i="7"/>
  <c r="B815" i="7"/>
  <c r="B814" i="7"/>
  <c r="B813" i="7"/>
  <c r="B812" i="7"/>
  <c r="B811" i="7"/>
  <c r="B810" i="7"/>
  <c r="B809" i="7"/>
  <c r="B808" i="7"/>
  <c r="B807" i="7"/>
  <c r="B806" i="7"/>
  <c r="B805" i="7"/>
  <c r="B804" i="7"/>
  <c r="B803" i="7"/>
  <c r="B801" i="7"/>
  <c r="B799" i="7"/>
  <c r="B797" i="7"/>
  <c r="B796" i="7"/>
  <c r="B795" i="7"/>
  <c r="B793" i="7"/>
  <c r="B791" i="7"/>
  <c r="B790" i="7"/>
  <c r="B789" i="7"/>
  <c r="B788" i="7"/>
  <c r="B786" i="7"/>
  <c r="B785" i="7"/>
  <c r="B784" i="7"/>
  <c r="B783" i="7"/>
  <c r="B782" i="7"/>
  <c r="B781" i="7"/>
  <c r="B780" i="7"/>
  <c r="B778" i="7"/>
  <c r="B777" i="7"/>
  <c r="B776" i="7"/>
  <c r="B775" i="7"/>
  <c r="B774" i="7"/>
  <c r="B773" i="7"/>
  <c r="B772" i="7"/>
  <c r="B770" i="7"/>
  <c r="B769" i="7"/>
  <c r="B768" i="7"/>
  <c r="B767" i="7"/>
  <c r="B766" i="7"/>
  <c r="B765" i="7"/>
  <c r="B764" i="7"/>
  <c r="B763" i="7"/>
  <c r="B762" i="7"/>
  <c r="B761" i="7"/>
  <c r="B760" i="7"/>
  <c r="B759" i="7"/>
  <c r="B758" i="7"/>
  <c r="B757" i="7"/>
  <c r="B756" i="7"/>
  <c r="B755" i="7"/>
  <c r="B754" i="7"/>
  <c r="B753" i="7"/>
  <c r="B752" i="7"/>
  <c r="B751" i="7"/>
  <c r="B750" i="7"/>
  <c r="B749" i="7"/>
  <c r="B748" i="7"/>
  <c r="B747" i="7"/>
  <c r="B746" i="7"/>
  <c r="B744" i="7"/>
  <c r="B743" i="7"/>
  <c r="B742" i="7"/>
  <c r="B741" i="7"/>
  <c r="B740" i="7"/>
  <c r="B739" i="7"/>
  <c r="B738" i="7"/>
  <c r="B736" i="7"/>
  <c r="B735" i="7"/>
  <c r="B734" i="7"/>
  <c r="B733" i="7"/>
  <c r="B732" i="7"/>
  <c r="B731" i="7"/>
  <c r="B730" i="7"/>
  <c r="B729" i="7"/>
  <c r="B728" i="7"/>
  <c r="B727" i="7"/>
  <c r="B726" i="7"/>
  <c r="B725" i="7"/>
  <c r="B724" i="7"/>
  <c r="B723" i="7"/>
  <c r="B722" i="7"/>
  <c r="B721" i="7"/>
  <c r="B720" i="7"/>
  <c r="B719" i="7"/>
  <c r="B717" i="7"/>
  <c r="B716" i="7"/>
  <c r="B715" i="7"/>
  <c r="B714" i="7"/>
  <c r="B713" i="7"/>
  <c r="B712" i="7"/>
  <c r="B711" i="7"/>
  <c r="B710" i="7"/>
  <c r="B709" i="7"/>
  <c r="B708" i="7"/>
  <c r="B707" i="7"/>
  <c r="B706" i="7"/>
  <c r="B705" i="7"/>
  <c r="B704" i="7"/>
  <c r="B703" i="7"/>
  <c r="B702" i="7"/>
  <c r="B701" i="7"/>
  <c r="B700" i="7"/>
  <c r="B699" i="7"/>
  <c r="B698" i="7"/>
  <c r="B697" i="7"/>
  <c r="B696" i="7"/>
  <c r="B695" i="7"/>
  <c r="B694" i="7"/>
  <c r="B693" i="7"/>
  <c r="B692" i="7"/>
  <c r="B691" i="7"/>
  <c r="B690" i="7"/>
  <c r="B689" i="7"/>
  <c r="B688" i="7"/>
  <c r="B687" i="7"/>
  <c r="B686" i="7"/>
  <c r="B685" i="7"/>
  <c r="B684" i="7"/>
  <c r="B683" i="7"/>
  <c r="B682" i="7"/>
  <c r="B681" i="7"/>
  <c r="B680" i="7"/>
  <c r="B679" i="7"/>
  <c r="B677" i="7"/>
  <c r="B676" i="7"/>
  <c r="B675" i="7"/>
  <c r="B674" i="7"/>
  <c r="B673" i="7"/>
  <c r="B672" i="7"/>
  <c r="B671" i="7"/>
  <c r="B670" i="7"/>
  <c r="B669" i="7"/>
  <c r="B668" i="7"/>
  <c r="B667" i="7"/>
  <c r="B666" i="7"/>
  <c r="B665" i="7"/>
  <c r="B664" i="7"/>
  <c r="B663" i="7"/>
  <c r="B662" i="7"/>
  <c r="B661" i="7"/>
  <c r="B660" i="7"/>
  <c r="B659" i="7"/>
  <c r="B658" i="7"/>
  <c r="B657" i="7"/>
  <c r="B656" i="7"/>
  <c r="B655" i="7"/>
  <c r="B654" i="7"/>
  <c r="B653" i="7"/>
  <c r="B652" i="7"/>
  <c r="B651" i="7"/>
  <c r="B650" i="7"/>
  <c r="B649" i="7"/>
  <c r="B648" i="7"/>
  <c r="B646" i="7"/>
  <c r="B645" i="7"/>
  <c r="B644" i="7"/>
  <c r="B643" i="7"/>
  <c r="B642" i="7"/>
  <c r="B641" i="7"/>
  <c r="B640" i="7"/>
  <c r="B639" i="7"/>
  <c r="B638" i="7"/>
  <c r="B637" i="7"/>
  <c r="B636" i="7"/>
  <c r="B635" i="7"/>
  <c r="B634" i="7"/>
  <c r="B633" i="7"/>
  <c r="B632" i="7"/>
  <c r="B631" i="7"/>
  <c r="B630" i="7"/>
  <c r="B629" i="7"/>
  <c r="B628" i="7"/>
  <c r="B627" i="7"/>
  <c r="B626" i="7"/>
  <c r="B625" i="7"/>
  <c r="B624" i="7"/>
  <c r="B623" i="7"/>
  <c r="B622" i="7"/>
  <c r="B621" i="7"/>
  <c r="B620" i="7"/>
  <c r="B619" i="7"/>
  <c r="B618" i="7"/>
  <c r="B617" i="7"/>
  <c r="B616" i="7"/>
  <c r="B615" i="7"/>
  <c r="B614" i="7"/>
  <c r="B613" i="7"/>
  <c r="B612" i="7"/>
  <c r="B611" i="7"/>
  <c r="B610" i="7"/>
  <c r="B609" i="7"/>
  <c r="B608" i="7"/>
  <c r="B607" i="7"/>
  <c r="B606" i="7"/>
  <c r="B605" i="7"/>
  <c r="B604" i="7"/>
  <c r="B603" i="7"/>
  <c r="B602" i="7"/>
  <c r="B601" i="7"/>
  <c r="B600" i="7"/>
  <c r="B599" i="7"/>
  <c r="B598" i="7"/>
  <c r="B597" i="7"/>
  <c r="B596" i="7"/>
  <c r="B595" i="7"/>
  <c r="B594" i="7"/>
  <c r="B593" i="7"/>
  <c r="B592" i="7"/>
  <c r="B591" i="7"/>
  <c r="B590" i="7"/>
  <c r="B589" i="7"/>
  <c r="B588" i="7"/>
  <c r="B587" i="7"/>
  <c r="B586" i="7"/>
  <c r="B585" i="7"/>
  <c r="B584" i="7"/>
  <c r="B583" i="7"/>
  <c r="B582" i="7"/>
  <c r="B581" i="7"/>
  <c r="B580" i="7"/>
  <c r="B579" i="7"/>
  <c r="B578" i="7"/>
  <c r="B577" i="7"/>
  <c r="B576" i="7"/>
  <c r="B575" i="7"/>
  <c r="B574" i="7"/>
  <c r="B573" i="7"/>
  <c r="B572" i="7"/>
  <c r="B571" i="7"/>
  <c r="B570" i="7"/>
  <c r="B569" i="7"/>
  <c r="B568" i="7"/>
  <c r="B567" i="7"/>
  <c r="B566" i="7"/>
  <c r="B565" i="7"/>
  <c r="B564" i="7"/>
  <c r="B563" i="7"/>
  <c r="B562" i="7"/>
  <c r="B561" i="7"/>
  <c r="B560" i="7"/>
  <c r="B559" i="7"/>
  <c r="B555" i="7"/>
  <c r="B554" i="7"/>
  <c r="B552" i="7"/>
  <c r="B551" i="7"/>
  <c r="B549" i="7"/>
  <c r="B548" i="7"/>
  <c r="B547" i="7"/>
  <c r="B546" i="7"/>
  <c r="B544" i="7"/>
  <c r="B543" i="7"/>
  <c r="B542" i="7"/>
  <c r="B541" i="7"/>
  <c r="B540" i="7"/>
  <c r="B539" i="7"/>
  <c r="B538" i="7"/>
  <c r="B537" i="7"/>
  <c r="B536" i="7"/>
  <c r="B534" i="7"/>
  <c r="B532" i="7"/>
  <c r="B531" i="7"/>
  <c r="B529" i="7"/>
  <c r="B527" i="7"/>
  <c r="B526" i="7"/>
  <c r="B525" i="7"/>
  <c r="B524" i="7"/>
  <c r="B523" i="7"/>
  <c r="B521" i="7"/>
  <c r="B520" i="7"/>
  <c r="B518" i="7"/>
  <c r="B516" i="7"/>
  <c r="B515" i="7"/>
  <c r="B513" i="7"/>
  <c r="B512" i="7"/>
  <c r="B510" i="7"/>
  <c r="B508" i="7"/>
  <c r="B507" i="7"/>
  <c r="B506" i="7"/>
  <c r="B505" i="7"/>
  <c r="B504" i="7"/>
  <c r="B502" i="7"/>
  <c r="B501" i="7"/>
  <c r="B500" i="7"/>
  <c r="B499" i="7"/>
  <c r="B497" i="7"/>
  <c r="B495" i="7"/>
  <c r="B493" i="7"/>
  <c r="B492" i="7"/>
  <c r="B491" i="7"/>
  <c r="B490" i="7"/>
  <c r="B489" i="7"/>
  <c r="B488" i="7"/>
  <c r="B487" i="7"/>
  <c r="B486" i="7"/>
  <c r="B484" i="7"/>
  <c r="B483" i="7"/>
  <c r="B482" i="7"/>
  <c r="B481" i="7"/>
  <c r="B480" i="7"/>
  <c r="B479" i="7"/>
  <c r="B478" i="7"/>
  <c r="B477" i="7"/>
  <c r="B476" i="7"/>
  <c r="B475" i="7"/>
  <c r="B474" i="7"/>
  <c r="B472" i="7"/>
  <c r="B471" i="7"/>
  <c r="B470" i="7"/>
  <c r="B469" i="7"/>
  <c r="B468" i="7"/>
  <c r="B466" i="7"/>
  <c r="B464" i="7"/>
  <c r="B462" i="7"/>
  <c r="B460" i="7"/>
  <c r="B458" i="7"/>
  <c r="B456" i="7"/>
  <c r="B454" i="7"/>
  <c r="B453" i="7"/>
  <c r="B452" i="7"/>
  <c r="B451" i="7"/>
  <c r="B450" i="7"/>
  <c r="B449" i="7"/>
  <c r="B448" i="7"/>
  <c r="B447" i="7"/>
  <c r="B446" i="7"/>
  <c r="B445" i="7"/>
  <c r="B443" i="7"/>
  <c r="B442" i="7"/>
  <c r="B440" i="7"/>
  <c r="B439" i="7"/>
  <c r="B438" i="7"/>
  <c r="B437" i="7"/>
  <c r="B436" i="7"/>
  <c r="B434" i="7"/>
  <c r="B433" i="7"/>
  <c r="B432" i="7"/>
  <c r="B431" i="7"/>
  <c r="B430" i="7"/>
  <c r="B429" i="7"/>
  <c r="B427" i="7"/>
  <c r="B426" i="7"/>
  <c r="B425" i="7"/>
  <c r="B423" i="7"/>
  <c r="B421" i="7"/>
  <c r="B420" i="7"/>
  <c r="B419" i="7"/>
  <c r="B417" i="7"/>
  <c r="B416" i="7"/>
  <c r="B415" i="7"/>
  <c r="B413" i="7"/>
  <c r="B411" i="7"/>
  <c r="B410" i="7"/>
  <c r="B409" i="7"/>
  <c r="B408" i="7"/>
  <c r="B407" i="7"/>
  <c r="B406" i="7"/>
  <c r="B405" i="7"/>
  <c r="B403" i="7"/>
  <c r="B401" i="7"/>
  <c r="B400" i="7"/>
  <c r="B399" i="7"/>
  <c r="B398" i="7"/>
  <c r="B396" i="7"/>
  <c r="B394" i="7"/>
  <c r="B393" i="7"/>
  <c r="B391" i="7"/>
  <c r="B390" i="7"/>
  <c r="B389" i="7"/>
  <c r="B388" i="7"/>
  <c r="B386" i="7"/>
  <c r="B384" i="7"/>
  <c r="B382" i="7"/>
  <c r="B381" i="7"/>
  <c r="B379" i="7"/>
  <c r="B378" i="7"/>
  <c r="B377" i="7"/>
  <c r="B376" i="7"/>
  <c r="B375" i="7"/>
  <c r="B374" i="7"/>
  <c r="B373" i="7"/>
  <c r="B372" i="7"/>
  <c r="B371" i="7"/>
  <c r="B370" i="7"/>
  <c r="B369" i="7"/>
  <c r="B368" i="7"/>
  <c r="B367" i="7"/>
  <c r="B366" i="7"/>
  <c r="B364" i="7"/>
  <c r="B362" i="7"/>
  <c r="B361" i="7"/>
  <c r="B359" i="7"/>
  <c r="B358" i="7"/>
  <c r="B357" i="7"/>
  <c r="B355" i="7"/>
  <c r="B354" i="7"/>
  <c r="B352" i="7"/>
  <c r="B351" i="7"/>
  <c r="B349" i="7"/>
  <c r="B348" i="7"/>
  <c r="B347" i="7"/>
  <c r="B346" i="7"/>
  <c r="B345" i="7"/>
  <c r="B343" i="7"/>
  <c r="B342" i="7"/>
  <c r="B341" i="7"/>
  <c r="B340" i="7"/>
  <c r="B339" i="7"/>
  <c r="B338" i="7"/>
  <c r="B337" i="7"/>
  <c r="B336" i="7"/>
  <c r="B335" i="7"/>
  <c r="B334" i="7"/>
  <c r="B333" i="7"/>
  <c r="B332" i="7"/>
  <c r="B331" i="7"/>
  <c r="B330" i="7"/>
  <c r="B329" i="7"/>
  <c r="B328" i="7"/>
  <c r="B326" i="7"/>
  <c r="B325" i="7"/>
  <c r="B324" i="7"/>
  <c r="B323" i="7"/>
  <c r="B322" i="7"/>
  <c r="B321" i="7"/>
  <c r="B320" i="7"/>
  <c r="B319" i="7"/>
  <c r="B318" i="7"/>
  <c r="B317" i="7"/>
  <c r="B316" i="7"/>
  <c r="B315" i="7"/>
  <c r="B314" i="7"/>
  <c r="B313" i="7"/>
  <c r="B312" i="7"/>
  <c r="B310" i="7"/>
  <c r="B308" i="7"/>
  <c r="B307" i="7"/>
  <c r="B306" i="7"/>
  <c r="B305" i="7"/>
  <c r="B304" i="7"/>
  <c r="B302" i="7"/>
  <c r="B301" i="7"/>
  <c r="B300" i="7"/>
  <c r="B299" i="7"/>
  <c r="B298" i="7"/>
  <c r="B296" i="7"/>
  <c r="B295" i="7"/>
  <c r="B293" i="7"/>
  <c r="B291" i="7"/>
  <c r="B290" i="7"/>
  <c r="B289" i="7"/>
  <c r="B288" i="7"/>
  <c r="B286" i="7"/>
  <c r="B285" i="7"/>
  <c r="B284" i="7"/>
  <c r="B283" i="7"/>
  <c r="B282" i="7"/>
  <c r="B281" i="7"/>
  <c r="B279" i="7"/>
  <c r="B278" i="7"/>
  <c r="B277" i="7"/>
  <c r="B276" i="7"/>
  <c r="B275" i="7"/>
  <c r="B273" i="7"/>
  <c r="B272" i="7"/>
  <c r="B271" i="7"/>
  <c r="B270" i="7"/>
  <c r="B269" i="7"/>
  <c r="B268" i="7"/>
  <c r="B267" i="7"/>
  <c r="B266" i="7"/>
  <c r="B265" i="7"/>
  <c r="B264" i="7"/>
  <c r="B263" i="7"/>
  <c r="B262" i="7"/>
  <c r="B261" i="7"/>
  <c r="B260" i="7"/>
  <c r="B259" i="7"/>
  <c r="B258" i="7"/>
  <c r="B257" i="7"/>
  <c r="B256" i="7"/>
  <c r="B255" i="7"/>
  <c r="B254" i="7"/>
  <c r="B253" i="7"/>
  <c r="B252" i="7"/>
  <c r="B251" i="7"/>
  <c r="B250" i="7"/>
  <c r="B249" i="7"/>
  <c r="B248" i="7"/>
  <c r="B246" i="7"/>
  <c r="B245" i="7"/>
  <c r="B244" i="7"/>
  <c r="B243" i="7"/>
  <c r="B242" i="7"/>
  <c r="B240" i="7"/>
  <c r="B239" i="7"/>
  <c r="B238" i="7"/>
  <c r="B237" i="7"/>
  <c r="B236" i="7"/>
  <c r="B235" i="7"/>
  <c r="B234" i="7"/>
  <c r="B233" i="7"/>
  <c r="B232" i="7"/>
  <c r="B231" i="7"/>
  <c r="B230" i="7"/>
  <c r="B229" i="7"/>
  <c r="B228" i="7"/>
  <c r="B227" i="7"/>
  <c r="B226" i="7"/>
  <c r="B225" i="7"/>
  <c r="B224" i="7"/>
  <c r="B223" i="7"/>
  <c r="B222" i="7"/>
  <c r="B221" i="7"/>
  <c r="B220" i="7"/>
  <c r="B219" i="7"/>
  <c r="B218" i="7"/>
  <c r="B217" i="7"/>
  <c r="B216" i="7"/>
  <c r="B215" i="7"/>
  <c r="B214" i="7"/>
  <c r="B213" i="7"/>
  <c r="B212" i="7"/>
  <c r="B211" i="7"/>
  <c r="B210" i="7"/>
  <c r="B209" i="7"/>
  <c r="B208" i="7"/>
  <c r="B207" i="7"/>
  <c r="B206" i="7"/>
  <c r="B205" i="7"/>
  <c r="B204" i="7"/>
  <c r="B202" i="7"/>
  <c r="B201" i="7"/>
  <c r="B200" i="7"/>
  <c r="B199" i="7"/>
  <c r="B198" i="7"/>
  <c r="B197" i="7"/>
  <c r="B196" i="7"/>
  <c r="B195" i="7"/>
  <c r="B194" i="7"/>
  <c r="B193" i="7"/>
  <c r="B192" i="7"/>
  <c r="B191" i="7"/>
  <c r="B190" i="7"/>
  <c r="B189" i="7"/>
  <c r="B188" i="7"/>
  <c r="B187" i="7"/>
  <c r="B186" i="7"/>
  <c r="B185" i="7"/>
  <c r="B184" i="7"/>
  <c r="B183" i="7"/>
  <c r="B182" i="7"/>
  <c r="B181" i="7"/>
  <c r="B180" i="7"/>
  <c r="B179" i="7"/>
  <c r="B178" i="7"/>
  <c r="B177" i="7"/>
  <c r="B176" i="7"/>
  <c r="B175" i="7"/>
  <c r="B174" i="7"/>
  <c r="B173" i="7"/>
  <c r="B172" i="7"/>
  <c r="B171" i="7"/>
  <c r="B170" i="7"/>
  <c r="B169" i="7"/>
  <c r="B168" i="7"/>
  <c r="B167" i="7"/>
  <c r="B166" i="7"/>
  <c r="B165" i="7"/>
  <c r="B164" i="7"/>
  <c r="B163" i="7"/>
  <c r="B162" i="7"/>
  <c r="B161" i="7"/>
  <c r="B160" i="7"/>
  <c r="B159" i="7"/>
  <c r="B158" i="7"/>
  <c r="B156" i="7"/>
  <c r="B155" i="7"/>
  <c r="B154" i="7"/>
  <c r="B153" i="7"/>
  <c r="B152" i="7"/>
  <c r="B151" i="7"/>
  <c r="B150" i="7"/>
  <c r="B149" i="7"/>
  <c r="B148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134" i="7"/>
  <c r="B133" i="7"/>
  <c r="B132" i="7"/>
  <c r="B131" i="7"/>
  <c r="B130" i="7"/>
  <c r="B129" i="7"/>
  <c r="B128" i="7"/>
  <c r="B127" i="7"/>
  <c r="B125" i="7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AF856" i="3"/>
  <c r="W856" i="3" s="1"/>
  <c r="T856" i="3"/>
  <c r="V856" i="3" s="1"/>
  <c r="S856" i="3"/>
  <c r="N491" i="7"/>
  <c r="N1269" i="7"/>
  <c r="AC862" i="7"/>
  <c r="D862" i="7" s="1"/>
  <c r="N386" i="7"/>
  <c r="N371" i="7"/>
  <c r="AC371" i="7" s="1"/>
  <c r="D371" i="7" s="1"/>
  <c r="AC296" i="7"/>
  <c r="D296" i="7" s="1"/>
  <c r="CD260" i="7"/>
  <c r="N260" i="7"/>
  <c r="AC260" i="7" s="1"/>
  <c r="D260" i="7" s="1"/>
  <c r="D61" i="7"/>
  <c r="D29" i="7"/>
  <c r="D104" i="7"/>
  <c r="B22" i="7"/>
  <c r="D22" i="7"/>
  <c r="N129" i="7" l="1"/>
  <c r="N368" i="7"/>
  <c r="N969" i="7" l="1"/>
  <c r="N782" i="7" l="1"/>
  <c r="U765" i="7"/>
  <c r="L195" i="7"/>
  <c r="G479" i="7" l="1"/>
  <c r="L44" i="7" l="1"/>
  <c r="N996" i="7" l="1"/>
  <c r="D998" i="7"/>
  <c r="D999" i="7"/>
  <c r="D997" i="7"/>
  <c r="AE995" i="7"/>
  <c r="AD995" i="7"/>
  <c r="AB995" i="7"/>
  <c r="AA995" i="7"/>
  <c r="Z995" i="7"/>
  <c r="Y995" i="7"/>
  <c r="X995" i="7"/>
  <c r="W995" i="7"/>
  <c r="V995" i="7"/>
  <c r="U995" i="7"/>
  <c r="T995" i="7"/>
  <c r="S995" i="7"/>
  <c r="R995" i="7"/>
  <c r="Q995" i="7"/>
  <c r="P995" i="7"/>
  <c r="O995" i="7"/>
  <c r="N995" i="7"/>
  <c r="M995" i="7"/>
  <c r="L995" i="7"/>
  <c r="K995" i="7"/>
  <c r="J995" i="7"/>
  <c r="I995" i="7"/>
  <c r="H995" i="7"/>
  <c r="G995" i="7"/>
  <c r="F995" i="7"/>
  <c r="E995" i="7"/>
  <c r="D11" i="5"/>
  <c r="AD233" i="3"/>
  <c r="W233" i="3" s="1"/>
  <c r="T233" i="3"/>
  <c r="V233" i="3" s="1"/>
  <c r="S233" i="3"/>
  <c r="AJ234" i="3"/>
  <c r="AF234" i="3"/>
  <c r="T234" i="3"/>
  <c r="S234" i="3"/>
  <c r="L239" i="7"/>
  <c r="D239" i="7" s="1"/>
  <c r="AC240" i="7"/>
  <c r="D240" i="7" s="1"/>
  <c r="T882" i="3"/>
  <c r="U882" i="3" s="1"/>
  <c r="S882" i="3"/>
  <c r="K882" i="3"/>
  <c r="K886" i="3"/>
  <c r="AC892" i="7"/>
  <c r="D892" i="7" s="1"/>
  <c r="W234" i="3" l="1"/>
  <c r="U234" i="3"/>
  <c r="V234" i="3" s="1"/>
  <c r="AC343" i="7" l="1"/>
  <c r="D343" i="7" s="1"/>
  <c r="AN328" i="3"/>
  <c r="W328" i="3" s="1"/>
  <c r="T328" i="3"/>
  <c r="V328" i="3" s="1"/>
  <c r="S328" i="3"/>
  <c r="R334" i="7"/>
  <c r="AC334" i="7" s="1"/>
  <c r="D334" i="7" s="1"/>
  <c r="N990" i="7"/>
  <c r="N1001" i="7"/>
  <c r="T439" i="3"/>
  <c r="S439" i="3"/>
  <c r="AC445" i="7"/>
  <c r="D445" i="7" s="1"/>
  <c r="T923" i="3"/>
  <c r="T924" i="3"/>
  <c r="T925" i="3"/>
  <c r="T926" i="3"/>
  <c r="T927" i="3"/>
  <c r="V927" i="3" s="1"/>
  <c r="T928" i="3"/>
  <c r="S923" i="3"/>
  <c r="S924" i="3"/>
  <c r="S925" i="3"/>
  <c r="S926" i="3"/>
  <c r="S927" i="3"/>
  <c r="S928" i="3"/>
  <c r="AC934" i="7"/>
  <c r="D934" i="7" s="1"/>
  <c r="K1237" i="3"/>
  <c r="K809" i="3"/>
  <c r="K808" i="3"/>
  <c r="AF927" i="3"/>
  <c r="W927" i="3" s="1"/>
  <c r="AC933" i="7"/>
  <c r="D933" i="7" s="1"/>
  <c r="U786" i="3"/>
  <c r="R786" i="3"/>
  <c r="Q786" i="3"/>
  <c r="L786" i="3"/>
  <c r="K786" i="3"/>
  <c r="J786" i="3"/>
  <c r="I786" i="3"/>
  <c r="AE792" i="7"/>
  <c r="AD792" i="7"/>
  <c r="AB792" i="7"/>
  <c r="AA792" i="7"/>
  <c r="Z792" i="7"/>
  <c r="Y792" i="7"/>
  <c r="X792" i="7"/>
  <c r="W792" i="7"/>
  <c r="V792" i="7"/>
  <c r="U792" i="7"/>
  <c r="T792" i="7"/>
  <c r="S792" i="7"/>
  <c r="R792" i="7"/>
  <c r="Q792" i="7"/>
  <c r="P792" i="7"/>
  <c r="O792" i="7"/>
  <c r="N792" i="7"/>
  <c r="M792" i="7"/>
  <c r="L792" i="7"/>
  <c r="K792" i="7"/>
  <c r="J792" i="7"/>
  <c r="I792" i="7"/>
  <c r="H792" i="7"/>
  <c r="G792" i="7"/>
  <c r="F792" i="7"/>
  <c r="E792" i="7"/>
  <c r="N989" i="7"/>
  <c r="H975" i="7"/>
  <c r="AF670" i="3" l="1"/>
  <c r="W670" i="3" s="1"/>
  <c r="T670" i="3"/>
  <c r="V670" i="3" s="1"/>
  <c r="S670" i="3"/>
  <c r="CD676" i="7"/>
  <c r="AC676" i="7"/>
  <c r="D676" i="7" s="1"/>
  <c r="AF254" i="3"/>
  <c r="W254" i="3" s="1"/>
  <c r="T254" i="3"/>
  <c r="S254" i="3"/>
  <c r="V254" i="3" l="1"/>
  <c r="N523" i="7"/>
  <c r="D1288" i="7"/>
  <c r="D1286" i="7"/>
  <c r="D1284" i="7"/>
  <c r="Q236" i="9" l="1"/>
  <c r="Q234" i="9"/>
  <c r="Q232" i="9"/>
  <c r="Q229" i="9"/>
  <c r="Q227" i="9"/>
  <c r="Q225" i="9"/>
  <c r="Q223" i="9"/>
  <c r="Q221" i="9"/>
  <c r="Q219" i="9"/>
  <c r="Q217" i="9"/>
  <c r="Q213" i="9"/>
  <c r="Q211" i="9"/>
  <c r="Q209" i="9"/>
  <c r="Q207" i="9"/>
  <c r="Q203" i="9"/>
  <c r="Q200" i="9"/>
  <c r="Q197" i="9"/>
  <c r="Q195" i="9"/>
  <c r="Q190" i="9"/>
  <c r="Q188" i="9"/>
  <c r="Q185" i="9"/>
  <c r="Q182" i="9"/>
  <c r="Q176" i="9"/>
  <c r="Q160" i="9"/>
  <c r="Q129" i="9"/>
  <c r="Q124" i="9"/>
  <c r="Q116" i="9"/>
  <c r="Q99" i="9"/>
  <c r="Q95" i="9"/>
  <c r="Q93" i="9"/>
  <c r="Q86" i="9"/>
  <c r="Q82" i="9"/>
  <c r="Q80" i="9"/>
  <c r="Q78" i="9"/>
  <c r="Q76" i="9"/>
  <c r="Q72" i="9"/>
  <c r="Q70" i="9"/>
  <c r="Q68" i="9"/>
  <c r="Q64" i="9"/>
  <c r="Q61" i="9"/>
  <c r="Q59" i="9"/>
  <c r="Q57" i="9"/>
  <c r="Q53" i="9"/>
  <c r="Q51" i="9"/>
  <c r="Q49" i="9"/>
  <c r="Q47" i="9"/>
  <c r="Q43" i="9"/>
  <c r="Q41" i="9"/>
  <c r="Q35" i="9"/>
  <c r="Q32" i="9"/>
  <c r="Q29" i="9"/>
  <c r="Q27" i="9"/>
  <c r="Q25" i="9"/>
  <c r="Q23" i="9"/>
  <c r="Q14" i="9"/>
  <c r="Q12" i="9"/>
  <c r="U1290" i="3"/>
  <c r="U1288" i="3"/>
  <c r="U1284" i="3"/>
  <c r="U1280" i="3"/>
  <c r="U1278" i="3"/>
  <c r="U1276" i="3"/>
  <c r="U1272" i="3"/>
  <c r="U1268" i="3"/>
  <c r="U1266" i="3"/>
  <c r="U1264" i="3"/>
  <c r="U1262" i="3"/>
  <c r="U1258" i="3"/>
  <c r="U1255" i="3"/>
  <c r="U1253" i="3"/>
  <c r="U1251" i="3"/>
  <c r="U1248" i="3"/>
  <c r="U1244" i="3"/>
  <c r="U1240" i="3"/>
  <c r="U1236" i="3"/>
  <c r="U1233" i="3"/>
  <c r="U1231" i="3"/>
  <c r="U1229" i="3"/>
  <c r="U1227" i="3"/>
  <c r="U1223" i="3"/>
  <c r="U1221" i="3"/>
  <c r="U1219" i="3"/>
  <c r="U1217" i="3"/>
  <c r="U1213" i="3"/>
  <c r="U1211" i="3"/>
  <c r="U1209" i="3"/>
  <c r="U1207" i="3"/>
  <c r="U1205" i="3"/>
  <c r="U1203" i="3"/>
  <c r="U1201" i="3"/>
  <c r="U1197" i="3"/>
  <c r="U1195" i="3"/>
  <c r="U1192" i="3"/>
  <c r="U1188" i="3"/>
  <c r="U1185" i="3"/>
  <c r="U1178" i="3"/>
  <c r="U1176" i="3"/>
  <c r="U1174" i="3"/>
  <c r="U1172" i="3"/>
  <c r="U1169" i="3"/>
  <c r="U1166" i="3"/>
  <c r="U1164" i="3"/>
  <c r="U1162" i="3"/>
  <c r="U1160" i="3"/>
  <c r="U1156" i="3"/>
  <c r="U1149" i="3"/>
  <c r="U1147" i="3"/>
  <c r="U1145" i="3"/>
  <c r="U1142" i="3"/>
  <c r="U1140" i="3"/>
  <c r="U1138" i="3"/>
  <c r="U1135" i="3"/>
  <c r="U1131" i="3"/>
  <c r="U1128" i="3"/>
  <c r="U1119" i="3"/>
  <c r="U1116" i="3"/>
  <c r="U1104" i="3"/>
  <c r="U1077" i="3"/>
  <c r="U1062" i="3"/>
  <c r="U999" i="3"/>
  <c r="U996" i="3"/>
  <c r="U994" i="3"/>
  <c r="U989" i="3"/>
  <c r="U982" i="3"/>
  <c r="U980" i="3"/>
  <c r="U978" i="3"/>
  <c r="U972" i="3"/>
  <c r="U970" i="3"/>
  <c r="U968" i="3"/>
  <c r="U966" i="3"/>
  <c r="U964" i="3"/>
  <c r="U960" i="3"/>
  <c r="U954" i="3"/>
  <c r="U948" i="3"/>
  <c r="U944" i="3"/>
  <c r="U942" i="3"/>
  <c r="U940" i="3"/>
  <c r="U938" i="3"/>
  <c r="U935" i="3"/>
  <c r="U933" i="3"/>
  <c r="U929" i="3"/>
  <c r="U921" i="3"/>
  <c r="U919" i="3"/>
  <c r="U915" i="3"/>
  <c r="U909" i="3"/>
  <c r="U907" i="3"/>
  <c r="U904" i="3"/>
  <c r="U899" i="3"/>
  <c r="U897" i="3"/>
  <c r="U895" i="3"/>
  <c r="U893" i="3"/>
  <c r="U889" i="3"/>
  <c r="U887" i="3"/>
  <c r="U874" i="3"/>
  <c r="U871" i="3"/>
  <c r="U868" i="3"/>
  <c r="U865" i="3"/>
  <c r="U861" i="3"/>
  <c r="U858" i="3"/>
  <c r="U846" i="3"/>
  <c r="U844" i="3"/>
  <c r="U839" i="3"/>
  <c r="U837" i="3"/>
  <c r="U835" i="3"/>
  <c r="U833" i="3"/>
  <c r="U831" i="3"/>
  <c r="U829" i="3"/>
  <c r="U825" i="3"/>
  <c r="U822" i="3"/>
  <c r="U811" i="3"/>
  <c r="U796" i="3"/>
  <c r="U794" i="3"/>
  <c r="U792" i="3"/>
  <c r="U788" i="3"/>
  <c r="U781" i="3"/>
  <c r="U773" i="3"/>
  <c r="U765" i="3"/>
  <c r="U739" i="3"/>
  <c r="U731" i="3"/>
  <c r="U712" i="3"/>
  <c r="U672" i="3"/>
  <c r="U641" i="3"/>
  <c r="U551" i="3"/>
  <c r="U547" i="3"/>
  <c r="U544" i="3"/>
  <c r="U539" i="3"/>
  <c r="U527" i="3"/>
  <c r="U524" i="3"/>
  <c r="U522" i="3"/>
  <c r="U516" i="3"/>
  <c r="U513" i="3"/>
  <c r="U511" i="3"/>
  <c r="U508" i="3"/>
  <c r="U505" i="3"/>
  <c r="U503" i="3"/>
  <c r="U497" i="3"/>
  <c r="U492" i="3"/>
  <c r="U490" i="3"/>
  <c r="U488" i="3"/>
  <c r="U479" i="3"/>
  <c r="U467" i="3"/>
  <c r="U461" i="3"/>
  <c r="U459" i="3"/>
  <c r="U457" i="3"/>
  <c r="U455" i="3"/>
  <c r="U453" i="3"/>
  <c r="U451" i="3"/>
  <c r="U449" i="3"/>
  <c r="U435" i="3"/>
  <c r="U429" i="3"/>
  <c r="U422" i="3"/>
  <c r="U418" i="3"/>
  <c r="U416" i="3"/>
  <c r="U412" i="3"/>
  <c r="U408" i="3"/>
  <c r="U406" i="3"/>
  <c r="U398" i="3"/>
  <c r="U396" i="3"/>
  <c r="U391" i="3"/>
  <c r="U389" i="3"/>
  <c r="U386" i="3"/>
  <c r="U381" i="3"/>
  <c r="U377" i="3"/>
  <c r="U374" i="3"/>
  <c r="U357" i="3"/>
  <c r="U354" i="3"/>
  <c r="U350" i="3"/>
  <c r="U347" i="3"/>
  <c r="U344" i="3"/>
  <c r="U338" i="3"/>
  <c r="U321" i="3"/>
  <c r="U305" i="3"/>
  <c r="U303" i="3"/>
  <c r="U297" i="3"/>
  <c r="U291" i="3"/>
  <c r="U286" i="3"/>
  <c r="U281" i="3"/>
  <c r="U274" i="3"/>
  <c r="U268" i="3"/>
  <c r="U241" i="3"/>
  <c r="U235" i="3"/>
  <c r="U197" i="3"/>
  <c r="U151" i="3"/>
  <c r="Q85" i="9" l="1"/>
  <c r="Q63" i="9"/>
  <c r="U1283" i="3"/>
  <c r="U1275" i="3"/>
  <c r="U998" i="3"/>
  <c r="AD329" i="7" l="1"/>
  <c r="K60" i="9" l="1"/>
  <c r="K69" i="9"/>
  <c r="K83" i="9"/>
  <c r="T1271" i="3" l="1"/>
  <c r="T1270" i="3"/>
  <c r="T1269" i="3"/>
  <c r="T1267" i="3"/>
  <c r="T1265" i="3"/>
  <c r="T1263" i="3"/>
  <c r="T1261" i="3"/>
  <c r="T1260" i="3"/>
  <c r="T1259" i="3"/>
  <c r="T1257" i="3"/>
  <c r="T1256" i="3"/>
  <c r="T1254" i="3"/>
  <c r="T1252" i="3"/>
  <c r="T1250" i="3"/>
  <c r="T1249" i="3"/>
  <c r="T1247" i="3"/>
  <c r="T1246" i="3"/>
  <c r="T1245" i="3"/>
  <c r="T1243" i="3"/>
  <c r="T1242" i="3"/>
  <c r="T1241" i="3"/>
  <c r="T1239" i="3"/>
  <c r="T1238" i="3"/>
  <c r="V1238" i="3" s="1"/>
  <c r="T1237" i="3"/>
  <c r="T1235" i="3"/>
  <c r="T1234" i="3"/>
  <c r="T1232" i="3"/>
  <c r="T1230" i="3"/>
  <c r="T1228" i="3"/>
  <c r="T1226" i="3"/>
  <c r="T1225" i="3"/>
  <c r="T1224" i="3"/>
  <c r="T1222" i="3"/>
  <c r="T1220" i="3"/>
  <c r="T1218" i="3"/>
  <c r="T1216" i="3"/>
  <c r="T1215" i="3"/>
  <c r="T1214" i="3"/>
  <c r="T1212" i="3"/>
  <c r="T1210" i="3"/>
  <c r="T1208" i="3"/>
  <c r="T1206" i="3"/>
  <c r="T1204" i="3"/>
  <c r="T1202" i="3"/>
  <c r="T1200" i="3"/>
  <c r="T1199" i="3"/>
  <c r="T1198" i="3"/>
  <c r="T1196" i="3"/>
  <c r="T1194" i="3"/>
  <c r="T1193" i="3"/>
  <c r="T1191" i="3"/>
  <c r="T1190" i="3"/>
  <c r="T1189" i="3"/>
  <c r="T1187" i="3"/>
  <c r="T1186" i="3"/>
  <c r="T1184" i="3"/>
  <c r="T1183" i="3"/>
  <c r="T1182" i="3"/>
  <c r="T1181" i="3"/>
  <c r="T1180" i="3"/>
  <c r="T1179" i="3"/>
  <c r="T1177" i="3"/>
  <c r="T1175" i="3"/>
  <c r="T1173" i="3"/>
  <c r="T1171" i="3"/>
  <c r="T1170" i="3"/>
  <c r="T1168" i="3"/>
  <c r="T1167" i="3"/>
  <c r="T1165" i="3"/>
  <c r="T1163" i="3"/>
  <c r="T1161" i="3"/>
  <c r="T1159" i="3"/>
  <c r="T1158" i="3"/>
  <c r="V1158" i="3" s="1"/>
  <c r="T1157" i="3"/>
  <c r="T1155" i="3"/>
  <c r="T1154" i="3"/>
  <c r="T1153" i="3"/>
  <c r="T1152" i="3"/>
  <c r="T1151" i="3"/>
  <c r="T1150" i="3"/>
  <c r="T1148" i="3"/>
  <c r="T1146" i="3"/>
  <c r="T1144" i="3"/>
  <c r="T1143" i="3"/>
  <c r="T1141" i="3"/>
  <c r="T1139" i="3"/>
  <c r="T1137" i="3"/>
  <c r="T1136" i="3"/>
  <c r="T1134" i="3"/>
  <c r="T1133" i="3"/>
  <c r="V1133" i="3" s="1"/>
  <c r="T1132" i="3"/>
  <c r="T1130" i="3"/>
  <c r="T1129" i="3"/>
  <c r="T1127" i="3"/>
  <c r="T1126" i="3"/>
  <c r="T1125" i="3"/>
  <c r="T1124" i="3"/>
  <c r="T1123" i="3"/>
  <c r="T1122" i="3"/>
  <c r="T1121" i="3"/>
  <c r="T1120" i="3"/>
  <c r="T1118" i="3"/>
  <c r="T1117" i="3"/>
  <c r="T1115" i="3"/>
  <c r="T1114" i="3"/>
  <c r="T1113" i="3"/>
  <c r="T1112" i="3"/>
  <c r="T1111" i="3"/>
  <c r="T1110" i="3"/>
  <c r="T1109" i="3"/>
  <c r="T1108" i="3"/>
  <c r="T1107" i="3"/>
  <c r="T1106" i="3"/>
  <c r="T1105" i="3"/>
  <c r="T1103" i="3"/>
  <c r="T1102" i="3"/>
  <c r="T1101" i="3"/>
  <c r="T1100" i="3"/>
  <c r="T1099" i="3"/>
  <c r="T1098" i="3"/>
  <c r="T1097" i="3"/>
  <c r="T1096" i="3"/>
  <c r="T1095" i="3"/>
  <c r="T1094" i="3"/>
  <c r="T1093" i="3"/>
  <c r="T1092" i="3"/>
  <c r="T1091" i="3"/>
  <c r="T1090" i="3"/>
  <c r="T1089" i="3"/>
  <c r="T1088" i="3"/>
  <c r="T1087" i="3"/>
  <c r="T1086" i="3"/>
  <c r="T1085" i="3"/>
  <c r="T1084" i="3"/>
  <c r="T1083" i="3"/>
  <c r="T1082" i="3"/>
  <c r="T1081" i="3"/>
  <c r="T1080" i="3"/>
  <c r="T1079" i="3"/>
  <c r="T1078" i="3"/>
  <c r="T1076" i="3"/>
  <c r="T1075" i="3"/>
  <c r="T1074" i="3"/>
  <c r="T1073" i="3"/>
  <c r="T1072" i="3"/>
  <c r="T1071" i="3"/>
  <c r="T1070" i="3"/>
  <c r="T1069" i="3"/>
  <c r="T1068" i="3"/>
  <c r="T1067" i="3"/>
  <c r="T1066" i="3"/>
  <c r="T1065" i="3"/>
  <c r="T1064" i="3"/>
  <c r="T1063" i="3"/>
  <c r="T1061" i="3"/>
  <c r="T1060" i="3"/>
  <c r="T1059" i="3"/>
  <c r="V1059" i="3" s="1"/>
  <c r="T1058" i="3"/>
  <c r="T1057" i="3"/>
  <c r="T1056" i="3"/>
  <c r="T1055" i="3"/>
  <c r="T1054" i="3"/>
  <c r="T1053" i="3"/>
  <c r="T1052" i="3"/>
  <c r="T1051" i="3"/>
  <c r="T1050" i="3"/>
  <c r="T1049" i="3"/>
  <c r="T1048" i="3"/>
  <c r="T1047" i="3"/>
  <c r="T1046" i="3"/>
  <c r="T1045" i="3"/>
  <c r="T1044" i="3"/>
  <c r="T1043" i="3"/>
  <c r="T1042" i="3"/>
  <c r="T1041" i="3"/>
  <c r="T1040" i="3"/>
  <c r="T1039" i="3"/>
  <c r="T1038" i="3"/>
  <c r="T1037" i="3"/>
  <c r="T1036" i="3"/>
  <c r="T1035" i="3"/>
  <c r="T1034" i="3"/>
  <c r="T1033" i="3"/>
  <c r="T1032" i="3"/>
  <c r="T1031" i="3"/>
  <c r="T1030" i="3"/>
  <c r="T1029" i="3"/>
  <c r="T1028" i="3"/>
  <c r="T1027" i="3"/>
  <c r="T1026" i="3"/>
  <c r="T1025" i="3"/>
  <c r="T1024" i="3"/>
  <c r="T1023" i="3"/>
  <c r="T1022" i="3"/>
  <c r="T1021" i="3"/>
  <c r="T1020" i="3"/>
  <c r="T1019" i="3"/>
  <c r="T1018" i="3"/>
  <c r="T1017" i="3"/>
  <c r="T1016" i="3"/>
  <c r="T1015" i="3"/>
  <c r="T1014" i="3"/>
  <c r="T1013" i="3"/>
  <c r="T1012" i="3"/>
  <c r="T1011" i="3"/>
  <c r="T1010" i="3"/>
  <c r="T1009" i="3"/>
  <c r="T1008" i="3"/>
  <c r="T1007" i="3"/>
  <c r="T1006" i="3"/>
  <c r="T1005" i="3"/>
  <c r="T1004" i="3"/>
  <c r="T1003" i="3"/>
  <c r="T1002" i="3"/>
  <c r="T1001" i="3"/>
  <c r="T1000" i="3"/>
  <c r="T997" i="3"/>
  <c r="T995" i="3"/>
  <c r="T993" i="3"/>
  <c r="T992" i="3"/>
  <c r="V992" i="3" s="1"/>
  <c r="T991" i="3"/>
  <c r="V991" i="3" s="1"/>
  <c r="T990" i="3"/>
  <c r="T988" i="3"/>
  <c r="T987" i="3"/>
  <c r="T986" i="3"/>
  <c r="T985" i="3"/>
  <c r="V985" i="3" s="1"/>
  <c r="T984" i="3"/>
  <c r="T983" i="3"/>
  <c r="T981" i="3"/>
  <c r="T979" i="3"/>
  <c r="T977" i="3"/>
  <c r="T976" i="3"/>
  <c r="T975" i="3"/>
  <c r="T974" i="3"/>
  <c r="T973" i="3"/>
  <c r="T971" i="3"/>
  <c r="T969" i="3"/>
  <c r="V969" i="3" s="1"/>
  <c r="T967" i="3"/>
  <c r="T965" i="3"/>
  <c r="T963" i="3"/>
  <c r="V963" i="3" s="1"/>
  <c r="T962" i="3"/>
  <c r="T961" i="3"/>
  <c r="T959" i="3"/>
  <c r="T958" i="3"/>
  <c r="T957" i="3"/>
  <c r="V957" i="3" s="1"/>
  <c r="T956" i="3"/>
  <c r="V956" i="3" s="1"/>
  <c r="T955" i="3"/>
  <c r="T953" i="3"/>
  <c r="V953" i="3" s="1"/>
  <c r="T952" i="3"/>
  <c r="T951" i="3"/>
  <c r="T950" i="3"/>
  <c r="V950" i="3" s="1"/>
  <c r="T949" i="3"/>
  <c r="V949" i="3" s="1"/>
  <c r="T947" i="3"/>
  <c r="T946" i="3"/>
  <c r="V946" i="3" s="1"/>
  <c r="T945" i="3"/>
  <c r="V945" i="3" s="1"/>
  <c r="T943" i="3"/>
  <c r="V943" i="3" s="1"/>
  <c r="T941" i="3"/>
  <c r="T939" i="3"/>
  <c r="T937" i="3"/>
  <c r="T936" i="3"/>
  <c r="V936" i="3" s="1"/>
  <c r="T934" i="3"/>
  <c r="T932" i="3"/>
  <c r="T931" i="3"/>
  <c r="T930" i="3"/>
  <c r="V925" i="3"/>
  <c r="V924" i="3"/>
  <c r="T922" i="3"/>
  <c r="T920" i="3"/>
  <c r="T918" i="3"/>
  <c r="T917" i="3"/>
  <c r="T916" i="3"/>
  <c r="T914" i="3"/>
  <c r="T913" i="3"/>
  <c r="T912" i="3"/>
  <c r="V912" i="3" s="1"/>
  <c r="T911" i="3"/>
  <c r="V911" i="3" s="1"/>
  <c r="T910" i="3"/>
  <c r="T908" i="3"/>
  <c r="T906" i="3"/>
  <c r="T905" i="3"/>
  <c r="T903" i="3"/>
  <c r="T902" i="3"/>
  <c r="V902" i="3" s="1"/>
  <c r="T901" i="3"/>
  <c r="V901" i="3" s="1"/>
  <c r="T900" i="3"/>
  <c r="T898" i="3"/>
  <c r="T896" i="3"/>
  <c r="T894" i="3"/>
  <c r="T892" i="3"/>
  <c r="T891" i="3"/>
  <c r="V891" i="3" s="1"/>
  <c r="T890" i="3"/>
  <c r="T888" i="3"/>
  <c r="T886" i="3"/>
  <c r="U886" i="3" s="1"/>
  <c r="U883" i="3" s="1"/>
  <c r="U550" i="3" s="1"/>
  <c r="T885" i="3"/>
  <c r="V885" i="3" s="1"/>
  <c r="T884" i="3"/>
  <c r="T881" i="3"/>
  <c r="T880" i="3"/>
  <c r="T879" i="3"/>
  <c r="V879" i="3" s="1"/>
  <c r="T878" i="3"/>
  <c r="T877" i="3"/>
  <c r="V877" i="3" s="1"/>
  <c r="T876" i="3"/>
  <c r="T875" i="3"/>
  <c r="T873" i="3"/>
  <c r="T872" i="3"/>
  <c r="V872" i="3" s="1"/>
  <c r="T870" i="3"/>
  <c r="T869" i="3"/>
  <c r="V869" i="3" s="1"/>
  <c r="T867" i="3"/>
  <c r="T866" i="3"/>
  <c r="T864" i="3"/>
  <c r="T863" i="3"/>
  <c r="V863" i="3" s="1"/>
  <c r="T862" i="3"/>
  <c r="V862" i="3" s="1"/>
  <c r="T860" i="3"/>
  <c r="V860" i="3" s="1"/>
  <c r="T859" i="3"/>
  <c r="V859" i="3" s="1"/>
  <c r="T857" i="3"/>
  <c r="T855" i="3"/>
  <c r="T854" i="3"/>
  <c r="T853" i="3"/>
  <c r="V853" i="3" s="1"/>
  <c r="T852" i="3"/>
  <c r="T851" i="3"/>
  <c r="T850" i="3"/>
  <c r="T849" i="3"/>
  <c r="T848" i="3"/>
  <c r="T847" i="3"/>
  <c r="T845" i="3"/>
  <c r="V845" i="3" s="1"/>
  <c r="T843" i="3"/>
  <c r="T842" i="3"/>
  <c r="V842" i="3" s="1"/>
  <c r="T841" i="3"/>
  <c r="V841" i="3" s="1"/>
  <c r="T840" i="3"/>
  <c r="T838" i="3"/>
  <c r="T836" i="3"/>
  <c r="T834" i="3"/>
  <c r="T832" i="3"/>
  <c r="T830" i="3"/>
  <c r="T828" i="3"/>
  <c r="V828" i="3" s="1"/>
  <c r="T827" i="3"/>
  <c r="V827" i="3" s="1"/>
  <c r="T826" i="3"/>
  <c r="V826" i="3" s="1"/>
  <c r="T824" i="3"/>
  <c r="T823" i="3"/>
  <c r="T821" i="3"/>
  <c r="T820" i="3"/>
  <c r="T819" i="3"/>
  <c r="T818" i="3"/>
  <c r="V818" i="3" s="1"/>
  <c r="T817" i="3"/>
  <c r="V817" i="3" s="1"/>
  <c r="T816" i="3"/>
  <c r="V816" i="3" s="1"/>
  <c r="T815" i="3"/>
  <c r="V815" i="3" s="1"/>
  <c r="T814" i="3"/>
  <c r="V814" i="3" s="1"/>
  <c r="T813" i="3"/>
  <c r="V813" i="3" s="1"/>
  <c r="T812" i="3"/>
  <c r="T810" i="3"/>
  <c r="T809" i="3"/>
  <c r="T808" i="3"/>
  <c r="T807" i="3"/>
  <c r="T806" i="3"/>
  <c r="T805" i="3"/>
  <c r="T804" i="3"/>
  <c r="V804" i="3" s="1"/>
  <c r="T803" i="3"/>
  <c r="V803" i="3" s="1"/>
  <c r="T802" i="3"/>
  <c r="V802" i="3" s="1"/>
  <c r="T801" i="3"/>
  <c r="V801" i="3" s="1"/>
  <c r="T800" i="3"/>
  <c r="V800" i="3" s="1"/>
  <c r="T799" i="3"/>
  <c r="V799" i="3" s="1"/>
  <c r="T798" i="3"/>
  <c r="T797" i="3"/>
  <c r="T795" i="3"/>
  <c r="T793" i="3"/>
  <c r="T791" i="3"/>
  <c r="T790" i="3"/>
  <c r="W790" i="3" s="1"/>
  <c r="T789" i="3"/>
  <c r="T787" i="3"/>
  <c r="T785" i="3"/>
  <c r="T784" i="3"/>
  <c r="T783" i="3"/>
  <c r="V783" i="3" s="1"/>
  <c r="T782" i="3"/>
  <c r="T780" i="3"/>
  <c r="T779" i="3"/>
  <c r="T778" i="3"/>
  <c r="T777" i="3"/>
  <c r="V777" i="3" s="1"/>
  <c r="T776" i="3"/>
  <c r="V776" i="3" s="1"/>
  <c r="T775" i="3"/>
  <c r="V775" i="3" s="1"/>
  <c r="T774" i="3"/>
  <c r="T772" i="3"/>
  <c r="T771" i="3"/>
  <c r="T770" i="3"/>
  <c r="T769" i="3"/>
  <c r="V769" i="3" s="1"/>
  <c r="T768" i="3"/>
  <c r="V768" i="3" s="1"/>
  <c r="T767" i="3"/>
  <c r="T766" i="3"/>
  <c r="T764" i="3"/>
  <c r="T763" i="3"/>
  <c r="T762" i="3"/>
  <c r="T761" i="3"/>
  <c r="T760" i="3"/>
  <c r="T759" i="3"/>
  <c r="T758" i="3"/>
  <c r="T757" i="3"/>
  <c r="T756" i="3"/>
  <c r="V756" i="3" s="1"/>
  <c r="T755" i="3"/>
  <c r="V755" i="3" s="1"/>
  <c r="T754" i="3"/>
  <c r="V754" i="3" s="1"/>
  <c r="T753" i="3"/>
  <c r="V753" i="3" s="1"/>
  <c r="T752" i="3"/>
  <c r="V752" i="3" s="1"/>
  <c r="T751" i="3"/>
  <c r="V751" i="3" s="1"/>
  <c r="T750" i="3"/>
  <c r="V750" i="3" s="1"/>
  <c r="T749" i="3"/>
  <c r="T748" i="3"/>
  <c r="T747" i="3"/>
  <c r="T746" i="3"/>
  <c r="T745" i="3"/>
  <c r="T744" i="3"/>
  <c r="T743" i="3"/>
  <c r="T742" i="3"/>
  <c r="T741" i="3"/>
  <c r="T740" i="3"/>
  <c r="T738" i="3"/>
  <c r="T737" i="3"/>
  <c r="T736" i="3"/>
  <c r="T735" i="3"/>
  <c r="T734" i="3"/>
  <c r="V734" i="3" s="1"/>
  <c r="T733" i="3"/>
  <c r="T732" i="3"/>
  <c r="T730" i="3"/>
  <c r="T729" i="3"/>
  <c r="T728" i="3"/>
  <c r="T727" i="3"/>
  <c r="T726" i="3"/>
  <c r="T725" i="3"/>
  <c r="T724" i="3"/>
  <c r="T723" i="3"/>
  <c r="T722" i="3"/>
  <c r="T721" i="3"/>
  <c r="T720" i="3"/>
  <c r="T719" i="3"/>
  <c r="T718" i="3"/>
  <c r="T717" i="3"/>
  <c r="T716" i="3"/>
  <c r="T715" i="3"/>
  <c r="T714" i="3"/>
  <c r="T713" i="3"/>
  <c r="T711" i="3"/>
  <c r="T710" i="3"/>
  <c r="T709" i="3"/>
  <c r="T708" i="3"/>
  <c r="T707" i="3"/>
  <c r="T706" i="3"/>
  <c r="T705" i="3"/>
  <c r="T704" i="3"/>
  <c r="T703" i="3"/>
  <c r="T702" i="3"/>
  <c r="T701" i="3"/>
  <c r="T700" i="3"/>
  <c r="T699" i="3"/>
  <c r="T698" i="3"/>
  <c r="T697" i="3"/>
  <c r="T696" i="3"/>
  <c r="T695" i="3"/>
  <c r="T694" i="3"/>
  <c r="T693" i="3"/>
  <c r="T692" i="3"/>
  <c r="T691" i="3"/>
  <c r="T690" i="3"/>
  <c r="T689" i="3"/>
  <c r="T688" i="3"/>
  <c r="T687" i="3"/>
  <c r="T686" i="3"/>
  <c r="T685" i="3"/>
  <c r="T684" i="3"/>
  <c r="T683" i="3"/>
  <c r="T682" i="3"/>
  <c r="T681" i="3"/>
  <c r="T680" i="3"/>
  <c r="T679" i="3"/>
  <c r="T678" i="3"/>
  <c r="T677" i="3"/>
  <c r="T676" i="3"/>
  <c r="T675" i="3"/>
  <c r="T674" i="3"/>
  <c r="T673" i="3"/>
  <c r="T671" i="3"/>
  <c r="T669" i="3"/>
  <c r="T668" i="3"/>
  <c r="T667" i="3"/>
  <c r="T666" i="3"/>
  <c r="T665" i="3"/>
  <c r="T664" i="3"/>
  <c r="T663" i="3"/>
  <c r="T662" i="3"/>
  <c r="V662" i="3" s="1"/>
  <c r="T661" i="3"/>
  <c r="V661" i="3" s="1"/>
  <c r="T660" i="3"/>
  <c r="V660" i="3" s="1"/>
  <c r="T659" i="3"/>
  <c r="T658" i="3"/>
  <c r="V658" i="3" s="1"/>
  <c r="T657" i="3"/>
  <c r="T656" i="3"/>
  <c r="T655" i="3"/>
  <c r="T654" i="3"/>
  <c r="T653" i="3"/>
  <c r="T652" i="3"/>
  <c r="T651" i="3"/>
  <c r="T650" i="3"/>
  <c r="T649" i="3"/>
  <c r="T648" i="3"/>
  <c r="T647" i="3"/>
  <c r="T646" i="3"/>
  <c r="T645" i="3"/>
  <c r="T644" i="3"/>
  <c r="T643" i="3"/>
  <c r="T642" i="3"/>
  <c r="T640" i="3"/>
  <c r="T639" i="3"/>
  <c r="T638" i="3"/>
  <c r="T637" i="3"/>
  <c r="T636" i="3"/>
  <c r="T635" i="3"/>
  <c r="T634" i="3"/>
  <c r="T633" i="3"/>
  <c r="T632" i="3"/>
  <c r="T631" i="3"/>
  <c r="T630" i="3"/>
  <c r="T629" i="3"/>
  <c r="T628" i="3"/>
  <c r="T627" i="3"/>
  <c r="T626" i="3"/>
  <c r="T625" i="3"/>
  <c r="T624" i="3"/>
  <c r="T623" i="3"/>
  <c r="T622" i="3"/>
  <c r="T621" i="3"/>
  <c r="T620" i="3"/>
  <c r="T619" i="3"/>
  <c r="T618" i="3"/>
  <c r="T617" i="3"/>
  <c r="T616" i="3"/>
  <c r="T615" i="3"/>
  <c r="T614" i="3"/>
  <c r="T613" i="3"/>
  <c r="T612" i="3"/>
  <c r="T611" i="3"/>
  <c r="T610" i="3"/>
  <c r="T609" i="3"/>
  <c r="T608" i="3"/>
  <c r="T607" i="3"/>
  <c r="T606" i="3"/>
  <c r="T605" i="3"/>
  <c r="T604" i="3"/>
  <c r="T603" i="3"/>
  <c r="T602" i="3"/>
  <c r="T601" i="3"/>
  <c r="T600" i="3"/>
  <c r="T599" i="3"/>
  <c r="T598" i="3"/>
  <c r="T597" i="3"/>
  <c r="T596" i="3"/>
  <c r="T595" i="3"/>
  <c r="T594" i="3"/>
  <c r="T593" i="3"/>
  <c r="T592" i="3"/>
  <c r="T591" i="3"/>
  <c r="T590" i="3"/>
  <c r="T589" i="3"/>
  <c r="T588" i="3"/>
  <c r="T587" i="3"/>
  <c r="T586" i="3"/>
  <c r="T585" i="3"/>
  <c r="T584" i="3"/>
  <c r="T583" i="3"/>
  <c r="T582" i="3"/>
  <c r="T581" i="3"/>
  <c r="T580" i="3"/>
  <c r="T579" i="3"/>
  <c r="T578" i="3"/>
  <c r="T577" i="3"/>
  <c r="T576" i="3"/>
  <c r="T575" i="3"/>
  <c r="T574" i="3"/>
  <c r="T573" i="3"/>
  <c r="T572" i="3"/>
  <c r="T571" i="3"/>
  <c r="T570" i="3"/>
  <c r="T569" i="3"/>
  <c r="T568" i="3"/>
  <c r="T567" i="3"/>
  <c r="T566" i="3"/>
  <c r="T565" i="3"/>
  <c r="T564" i="3"/>
  <c r="T563" i="3"/>
  <c r="T562" i="3"/>
  <c r="T561" i="3"/>
  <c r="T560" i="3"/>
  <c r="T559" i="3"/>
  <c r="T558" i="3"/>
  <c r="T557" i="3"/>
  <c r="T556" i="3"/>
  <c r="T555" i="3"/>
  <c r="T554" i="3"/>
  <c r="T553" i="3"/>
  <c r="T552" i="3"/>
  <c r="T549" i="3"/>
  <c r="T548" i="3"/>
  <c r="V548" i="3" s="1"/>
  <c r="T546" i="3"/>
  <c r="T545" i="3"/>
  <c r="T543" i="3"/>
  <c r="T542" i="3"/>
  <c r="T541" i="3"/>
  <c r="T540" i="3"/>
  <c r="T538" i="3"/>
  <c r="T537" i="3"/>
  <c r="T536" i="3"/>
  <c r="W536" i="3" s="1"/>
  <c r="T535" i="3"/>
  <c r="T534" i="3"/>
  <c r="T533" i="3"/>
  <c r="T532" i="3"/>
  <c r="T531" i="3"/>
  <c r="T530" i="3"/>
  <c r="T528" i="3"/>
  <c r="T526" i="3"/>
  <c r="T525" i="3"/>
  <c r="T523" i="3"/>
  <c r="T521" i="3"/>
  <c r="T520" i="3"/>
  <c r="T519" i="3"/>
  <c r="T518" i="3"/>
  <c r="T517" i="3"/>
  <c r="T515" i="3"/>
  <c r="T514" i="3"/>
  <c r="V514" i="3" s="1"/>
  <c r="T512" i="3"/>
  <c r="T510" i="3"/>
  <c r="T509" i="3"/>
  <c r="T507" i="3"/>
  <c r="T506" i="3"/>
  <c r="V506" i="3" s="1"/>
  <c r="T504" i="3"/>
  <c r="T502" i="3"/>
  <c r="T501" i="3"/>
  <c r="T500" i="3"/>
  <c r="T499" i="3"/>
  <c r="T498" i="3"/>
  <c r="T496" i="3"/>
  <c r="T495" i="3"/>
  <c r="T494" i="3"/>
  <c r="T493" i="3"/>
  <c r="T491" i="3"/>
  <c r="T489" i="3"/>
  <c r="T487" i="3"/>
  <c r="T486" i="3"/>
  <c r="T485" i="3"/>
  <c r="T484" i="3"/>
  <c r="T483" i="3"/>
  <c r="T482" i="3"/>
  <c r="T481" i="3"/>
  <c r="T480" i="3"/>
  <c r="T478" i="3"/>
  <c r="T477" i="3"/>
  <c r="T476" i="3"/>
  <c r="T475" i="3"/>
  <c r="T474" i="3"/>
  <c r="T473" i="3"/>
  <c r="T472" i="3"/>
  <c r="T471" i="3"/>
  <c r="T470" i="3"/>
  <c r="T469" i="3"/>
  <c r="T468" i="3"/>
  <c r="T466" i="3"/>
  <c r="T465" i="3"/>
  <c r="T464" i="3"/>
  <c r="T463" i="3"/>
  <c r="T462" i="3"/>
  <c r="T460" i="3"/>
  <c r="T458" i="3"/>
  <c r="T456" i="3"/>
  <c r="T454" i="3"/>
  <c r="T452" i="3"/>
  <c r="T450" i="3"/>
  <c r="T448" i="3"/>
  <c r="T447" i="3"/>
  <c r="T446" i="3"/>
  <c r="V446" i="3" s="1"/>
  <c r="T445" i="3"/>
  <c r="T444" i="3"/>
  <c r="T443" i="3"/>
  <c r="T442" i="3"/>
  <c r="T441" i="3"/>
  <c r="U441" i="3" s="1"/>
  <c r="T440" i="3"/>
  <c r="T437" i="3"/>
  <c r="T436" i="3"/>
  <c r="T434" i="3"/>
  <c r="T433" i="3"/>
  <c r="T432" i="3"/>
  <c r="T431" i="3"/>
  <c r="T430" i="3"/>
  <c r="T428" i="3"/>
  <c r="T427" i="3"/>
  <c r="T426" i="3"/>
  <c r="T425" i="3"/>
  <c r="T424" i="3"/>
  <c r="T423" i="3"/>
  <c r="T421" i="3"/>
  <c r="T420" i="3"/>
  <c r="T419" i="3"/>
  <c r="T417" i="3"/>
  <c r="T415" i="3"/>
  <c r="T414" i="3"/>
  <c r="T413" i="3"/>
  <c r="T411" i="3"/>
  <c r="V411" i="3" s="1"/>
  <c r="T410" i="3"/>
  <c r="W410" i="3" s="1"/>
  <c r="T409" i="3"/>
  <c r="W409" i="3" s="1"/>
  <c r="T407" i="3"/>
  <c r="T405" i="3"/>
  <c r="T404" i="3"/>
  <c r="T403" i="3"/>
  <c r="T402" i="3"/>
  <c r="V402" i="3" s="1"/>
  <c r="T401" i="3"/>
  <c r="V401" i="3" s="1"/>
  <c r="T400" i="3"/>
  <c r="T399" i="3"/>
  <c r="T397" i="3"/>
  <c r="T395" i="3"/>
  <c r="T394" i="3"/>
  <c r="T393" i="3"/>
  <c r="T392" i="3"/>
  <c r="T390" i="3"/>
  <c r="T388" i="3"/>
  <c r="T387" i="3"/>
  <c r="T385" i="3"/>
  <c r="T384" i="3"/>
  <c r="T383" i="3"/>
  <c r="T382" i="3"/>
  <c r="T380" i="3"/>
  <c r="U379" i="3" s="1"/>
  <c r="T378" i="3"/>
  <c r="T376" i="3"/>
  <c r="T375" i="3"/>
  <c r="T373" i="3"/>
  <c r="T372" i="3"/>
  <c r="T371" i="3"/>
  <c r="T370" i="3"/>
  <c r="U370" i="3" s="1"/>
  <c r="T369" i="3"/>
  <c r="T368" i="3"/>
  <c r="T367" i="3"/>
  <c r="T366" i="3"/>
  <c r="T365" i="3"/>
  <c r="U359" i="3" s="1"/>
  <c r="T364" i="3"/>
  <c r="T363" i="3"/>
  <c r="T362" i="3"/>
  <c r="T361" i="3"/>
  <c r="T360" i="3"/>
  <c r="T358" i="3"/>
  <c r="T356" i="3"/>
  <c r="T355" i="3"/>
  <c r="T353" i="3"/>
  <c r="T352" i="3"/>
  <c r="T351" i="3"/>
  <c r="T349" i="3"/>
  <c r="T348" i="3"/>
  <c r="T346" i="3"/>
  <c r="T345" i="3"/>
  <c r="T343" i="3"/>
  <c r="T342" i="3"/>
  <c r="T341" i="3"/>
  <c r="T340" i="3"/>
  <c r="T339" i="3"/>
  <c r="T337" i="3"/>
  <c r="T336" i="3"/>
  <c r="T335" i="3"/>
  <c r="T334" i="3"/>
  <c r="T333" i="3"/>
  <c r="T332" i="3"/>
  <c r="T331" i="3"/>
  <c r="T330" i="3"/>
  <c r="T329" i="3"/>
  <c r="T327" i="3"/>
  <c r="T326" i="3"/>
  <c r="T325" i="3"/>
  <c r="T324" i="3"/>
  <c r="T323" i="3"/>
  <c r="T322" i="3"/>
  <c r="T320" i="3"/>
  <c r="T319" i="3"/>
  <c r="T318" i="3"/>
  <c r="T317" i="3"/>
  <c r="T316" i="3"/>
  <c r="T315" i="3"/>
  <c r="T314" i="3"/>
  <c r="T313" i="3"/>
  <c r="T312" i="3"/>
  <c r="T311" i="3"/>
  <c r="T310" i="3"/>
  <c r="T309" i="3"/>
  <c r="T308" i="3"/>
  <c r="T307" i="3"/>
  <c r="T306" i="3"/>
  <c r="T304" i="3"/>
  <c r="T302" i="3"/>
  <c r="T301" i="3"/>
  <c r="T300" i="3"/>
  <c r="T299" i="3"/>
  <c r="T298" i="3"/>
  <c r="T296" i="3"/>
  <c r="T295" i="3"/>
  <c r="T294" i="3"/>
  <c r="T293" i="3"/>
  <c r="T292" i="3"/>
  <c r="T290" i="3"/>
  <c r="U288" i="3" s="1"/>
  <c r="T289" i="3"/>
  <c r="T287" i="3"/>
  <c r="T285" i="3"/>
  <c r="T284" i="3"/>
  <c r="T283" i="3"/>
  <c r="T282" i="3"/>
  <c r="T280" i="3"/>
  <c r="T279" i="3"/>
  <c r="T278" i="3"/>
  <c r="T277" i="3"/>
  <c r="T276" i="3"/>
  <c r="T275" i="3"/>
  <c r="T273" i="3"/>
  <c r="T272" i="3"/>
  <c r="T271" i="3"/>
  <c r="T270" i="3"/>
  <c r="T269" i="3"/>
  <c r="T267" i="3"/>
  <c r="T266" i="3"/>
  <c r="T265" i="3"/>
  <c r="T264" i="3"/>
  <c r="T263" i="3"/>
  <c r="T262" i="3"/>
  <c r="T261" i="3"/>
  <c r="T260" i="3"/>
  <c r="T259" i="3"/>
  <c r="T258" i="3"/>
  <c r="T257" i="3"/>
  <c r="T256" i="3"/>
  <c r="T255" i="3"/>
  <c r="T253" i="3"/>
  <c r="T252" i="3"/>
  <c r="T251" i="3"/>
  <c r="T250" i="3"/>
  <c r="T249" i="3"/>
  <c r="T248" i="3"/>
  <c r="T247" i="3"/>
  <c r="T246" i="3"/>
  <c r="T245" i="3"/>
  <c r="T244" i="3"/>
  <c r="T243" i="3"/>
  <c r="T242" i="3"/>
  <c r="T240" i="3"/>
  <c r="T239" i="3"/>
  <c r="T238" i="3"/>
  <c r="T237" i="3"/>
  <c r="T236" i="3"/>
  <c r="T232" i="3"/>
  <c r="T231" i="3"/>
  <c r="T230" i="3"/>
  <c r="T229" i="3"/>
  <c r="T228" i="3"/>
  <c r="T227" i="3"/>
  <c r="T226" i="3"/>
  <c r="T225" i="3"/>
  <c r="T224" i="3"/>
  <c r="T223" i="3"/>
  <c r="T222" i="3"/>
  <c r="T221" i="3"/>
  <c r="T220" i="3"/>
  <c r="T219" i="3"/>
  <c r="T218" i="3"/>
  <c r="T217" i="3"/>
  <c r="T216" i="3"/>
  <c r="T215" i="3"/>
  <c r="T214" i="3"/>
  <c r="T213" i="3"/>
  <c r="T212" i="3"/>
  <c r="T211" i="3"/>
  <c r="T210" i="3"/>
  <c r="T209" i="3"/>
  <c r="T208" i="3"/>
  <c r="T207" i="3"/>
  <c r="T206" i="3"/>
  <c r="T205" i="3"/>
  <c r="T204" i="3"/>
  <c r="T203" i="3"/>
  <c r="T202" i="3"/>
  <c r="T201" i="3"/>
  <c r="T200" i="3"/>
  <c r="T199" i="3"/>
  <c r="T198" i="3"/>
  <c r="T196" i="3"/>
  <c r="T195" i="3"/>
  <c r="T194" i="3"/>
  <c r="T193" i="3"/>
  <c r="T192" i="3"/>
  <c r="V192" i="3" s="1"/>
  <c r="T191" i="3"/>
  <c r="V191" i="3" s="1"/>
  <c r="T190" i="3"/>
  <c r="V190" i="3" s="1"/>
  <c r="T189" i="3"/>
  <c r="V189" i="3" s="1"/>
  <c r="T188" i="3"/>
  <c r="V188" i="3" s="1"/>
  <c r="T187" i="3"/>
  <c r="T186" i="3"/>
  <c r="T185" i="3"/>
  <c r="T184" i="3"/>
  <c r="T183" i="3"/>
  <c r="T182" i="3"/>
  <c r="T181" i="3"/>
  <c r="T180" i="3"/>
  <c r="T179" i="3"/>
  <c r="T178" i="3"/>
  <c r="T177" i="3"/>
  <c r="T176" i="3"/>
  <c r="T175" i="3"/>
  <c r="T174" i="3"/>
  <c r="T173" i="3"/>
  <c r="T172" i="3"/>
  <c r="T171" i="3"/>
  <c r="T170" i="3"/>
  <c r="T169" i="3"/>
  <c r="T168" i="3"/>
  <c r="T167" i="3"/>
  <c r="T166" i="3"/>
  <c r="T165" i="3"/>
  <c r="T164" i="3"/>
  <c r="T163" i="3"/>
  <c r="T162" i="3"/>
  <c r="T161" i="3"/>
  <c r="T160" i="3"/>
  <c r="T159" i="3"/>
  <c r="T158" i="3"/>
  <c r="T157" i="3"/>
  <c r="T156" i="3"/>
  <c r="T155" i="3"/>
  <c r="T154" i="3"/>
  <c r="T153" i="3"/>
  <c r="T152" i="3"/>
  <c r="T150" i="3"/>
  <c r="T149" i="3"/>
  <c r="T148" i="3"/>
  <c r="T147" i="3"/>
  <c r="T146" i="3"/>
  <c r="T145" i="3"/>
  <c r="T144" i="3"/>
  <c r="T143" i="3"/>
  <c r="T142" i="3"/>
  <c r="T141" i="3"/>
  <c r="T140" i="3"/>
  <c r="T139" i="3"/>
  <c r="T138" i="3"/>
  <c r="T137" i="3"/>
  <c r="T136" i="3"/>
  <c r="T135" i="3"/>
  <c r="T134" i="3"/>
  <c r="T133" i="3"/>
  <c r="T132" i="3"/>
  <c r="U132" i="3" s="1"/>
  <c r="U120" i="3" s="1"/>
  <c r="T131" i="3"/>
  <c r="T130" i="3"/>
  <c r="T129" i="3"/>
  <c r="T128" i="3"/>
  <c r="T127" i="3"/>
  <c r="T126" i="3"/>
  <c r="T125" i="3"/>
  <c r="T124" i="3"/>
  <c r="T123" i="3"/>
  <c r="T122" i="3"/>
  <c r="T121" i="3"/>
  <c r="T119" i="3"/>
  <c r="T118" i="3"/>
  <c r="T117" i="3"/>
  <c r="T116" i="3"/>
  <c r="T115" i="3"/>
  <c r="T114" i="3"/>
  <c r="T113" i="3"/>
  <c r="T112" i="3"/>
  <c r="T111" i="3"/>
  <c r="T110" i="3"/>
  <c r="T109" i="3"/>
  <c r="T108" i="3"/>
  <c r="T107" i="3"/>
  <c r="T106" i="3"/>
  <c r="T105" i="3"/>
  <c r="T104" i="3"/>
  <c r="T103" i="3"/>
  <c r="T102" i="3"/>
  <c r="T101" i="3"/>
  <c r="T100" i="3"/>
  <c r="T99" i="3"/>
  <c r="T98" i="3"/>
  <c r="T97" i="3"/>
  <c r="T96" i="3"/>
  <c r="T95" i="3"/>
  <c r="T94" i="3"/>
  <c r="T93" i="3"/>
  <c r="T92" i="3"/>
  <c r="T91" i="3"/>
  <c r="T90" i="3"/>
  <c r="T89" i="3"/>
  <c r="T88" i="3"/>
  <c r="T87" i="3"/>
  <c r="T86" i="3"/>
  <c r="T85" i="3"/>
  <c r="T84" i="3"/>
  <c r="T83" i="3"/>
  <c r="T82" i="3"/>
  <c r="T81" i="3"/>
  <c r="T80" i="3"/>
  <c r="T79" i="3"/>
  <c r="T78" i="3"/>
  <c r="T77" i="3"/>
  <c r="T76" i="3"/>
  <c r="T75" i="3"/>
  <c r="T74" i="3"/>
  <c r="T73" i="3"/>
  <c r="T72" i="3"/>
  <c r="T71" i="3"/>
  <c r="T70" i="3"/>
  <c r="T69" i="3"/>
  <c r="T68" i="3"/>
  <c r="T67" i="3"/>
  <c r="T66" i="3"/>
  <c r="T65" i="3"/>
  <c r="T64" i="3"/>
  <c r="T63" i="3"/>
  <c r="T62" i="3"/>
  <c r="T61" i="3"/>
  <c r="T60" i="3"/>
  <c r="T59" i="3"/>
  <c r="T58" i="3"/>
  <c r="T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C210" i="5"/>
  <c r="I1276" i="3"/>
  <c r="I1278" i="3"/>
  <c r="I1280" i="3"/>
  <c r="R1156" i="3"/>
  <c r="Q1156" i="3"/>
  <c r="R1131" i="3"/>
  <c r="Q1131" i="3"/>
  <c r="R513" i="3"/>
  <c r="Q513" i="3"/>
  <c r="R505" i="3"/>
  <c r="Q505" i="3"/>
  <c r="R909" i="3"/>
  <c r="Q909" i="3"/>
  <c r="L909" i="3"/>
  <c r="K909" i="3"/>
  <c r="J909" i="3"/>
  <c r="I909" i="3"/>
  <c r="T909" i="3" s="1"/>
  <c r="R547" i="3"/>
  <c r="Q547" i="3"/>
  <c r="L547" i="3"/>
  <c r="K547" i="3"/>
  <c r="J547" i="3"/>
  <c r="I547" i="3"/>
  <c r="T547" i="3" s="1"/>
  <c r="R408" i="3"/>
  <c r="Q408" i="3"/>
  <c r="R1236" i="3"/>
  <c r="Q1236" i="3"/>
  <c r="L1236" i="3"/>
  <c r="K1236" i="3"/>
  <c r="J1236" i="3"/>
  <c r="I1236" i="3"/>
  <c r="T1236" i="3" s="1"/>
  <c r="AF1238" i="3"/>
  <c r="W1238" i="3" s="1"/>
  <c r="S1238" i="3"/>
  <c r="L1221" i="3"/>
  <c r="K1221" i="3"/>
  <c r="J1221" i="3"/>
  <c r="I1221" i="3"/>
  <c r="T1221" i="3" s="1"/>
  <c r="L1219" i="3"/>
  <c r="K1219" i="3"/>
  <c r="J1219" i="3"/>
  <c r="I1219" i="3"/>
  <c r="T1219" i="3" s="1"/>
  <c r="L1211" i="3"/>
  <c r="K1211" i="3"/>
  <c r="J1211" i="3"/>
  <c r="I1211" i="3"/>
  <c r="T1211" i="3" s="1"/>
  <c r="L1209" i="3"/>
  <c r="K1209" i="3"/>
  <c r="J1209" i="3"/>
  <c r="I1209" i="3"/>
  <c r="T1209" i="3" s="1"/>
  <c r="L1207" i="3"/>
  <c r="K1207" i="3"/>
  <c r="J1207" i="3"/>
  <c r="I1207" i="3"/>
  <c r="T1207" i="3" s="1"/>
  <c r="L1176" i="3"/>
  <c r="K1176" i="3"/>
  <c r="J1176" i="3"/>
  <c r="I1176" i="3"/>
  <c r="T1176" i="3" s="1"/>
  <c r="L1174" i="3"/>
  <c r="K1174" i="3"/>
  <c r="J1174" i="3"/>
  <c r="I1174" i="3"/>
  <c r="T1174" i="3" s="1"/>
  <c r="AF1158" i="3"/>
  <c r="W1158" i="3" s="1"/>
  <c r="S1158" i="3"/>
  <c r="AL1133" i="3"/>
  <c r="AJ1133" i="3"/>
  <c r="S1133" i="3"/>
  <c r="AF1059" i="3"/>
  <c r="W1059" i="3" s="1"/>
  <c r="S1059" i="3"/>
  <c r="AE889" i="7"/>
  <c r="AD889" i="7"/>
  <c r="AB889" i="7"/>
  <c r="AA889" i="7"/>
  <c r="Z889" i="7"/>
  <c r="Y889" i="7"/>
  <c r="X889" i="7"/>
  <c r="W889" i="7"/>
  <c r="V889" i="7"/>
  <c r="U889" i="7"/>
  <c r="T889" i="7"/>
  <c r="S889" i="7"/>
  <c r="R889" i="7"/>
  <c r="Q889" i="7"/>
  <c r="P889" i="7"/>
  <c r="O889" i="7"/>
  <c r="M889" i="7"/>
  <c r="L889" i="7"/>
  <c r="K889" i="7"/>
  <c r="J889" i="7"/>
  <c r="I889" i="7"/>
  <c r="H889" i="7"/>
  <c r="G889" i="7"/>
  <c r="F889" i="7"/>
  <c r="E889" i="7"/>
  <c r="N891" i="7"/>
  <c r="AC891" i="7" s="1"/>
  <c r="D891" i="7" s="1"/>
  <c r="AF995" i="3"/>
  <c r="W995" i="3" s="1"/>
  <c r="V995" i="3"/>
  <c r="S995" i="3"/>
  <c r="S994" i="3" s="1"/>
  <c r="R994" i="3"/>
  <c r="Q994" i="3"/>
  <c r="L994" i="3"/>
  <c r="K994" i="3"/>
  <c r="J994" i="3"/>
  <c r="I994" i="3"/>
  <c r="T994" i="3" s="1"/>
  <c r="R989" i="3"/>
  <c r="Q989" i="3"/>
  <c r="L989" i="3"/>
  <c r="K989" i="3"/>
  <c r="J989" i="3"/>
  <c r="I989" i="3"/>
  <c r="T989" i="3" s="1"/>
  <c r="W992" i="3"/>
  <c r="S992" i="3"/>
  <c r="W991" i="3"/>
  <c r="S991" i="3"/>
  <c r="W990" i="3"/>
  <c r="V990" i="3"/>
  <c r="S990" i="3"/>
  <c r="W985" i="3"/>
  <c r="S985" i="3"/>
  <c r="AJ975" i="3"/>
  <c r="W975" i="3" s="1"/>
  <c r="V975" i="3"/>
  <c r="S975" i="3"/>
  <c r="AF969" i="3"/>
  <c r="W969" i="3" s="1"/>
  <c r="S969" i="3"/>
  <c r="S968" i="3" s="1"/>
  <c r="R968" i="3"/>
  <c r="Q968" i="3"/>
  <c r="L968" i="3"/>
  <c r="K968" i="3"/>
  <c r="J968" i="3"/>
  <c r="I968" i="3"/>
  <c r="T968" i="3" s="1"/>
  <c r="AF957" i="3"/>
  <c r="W957" i="3" s="1"/>
  <c r="S957" i="3"/>
  <c r="AF956" i="3"/>
  <c r="W956" i="3" s="1"/>
  <c r="S956" i="3"/>
  <c r="AF963" i="3"/>
  <c r="W963" i="3" s="1"/>
  <c r="S963" i="3"/>
  <c r="AF962" i="3"/>
  <c r="W962" i="3" s="1"/>
  <c r="V962" i="3"/>
  <c r="S962" i="3"/>
  <c r="R948" i="3"/>
  <c r="Q948" i="3"/>
  <c r="L948" i="3"/>
  <c r="K948" i="3"/>
  <c r="J948" i="3"/>
  <c r="I948" i="3"/>
  <c r="T948" i="3" s="1"/>
  <c r="AF951" i="3"/>
  <c r="W951" i="3" s="1"/>
  <c r="V951" i="3"/>
  <c r="S951" i="3"/>
  <c r="AF950" i="3"/>
  <c r="W950" i="3" s="1"/>
  <c r="S950" i="3"/>
  <c r="AF953" i="3"/>
  <c r="W953" i="3" s="1"/>
  <c r="S953" i="3"/>
  <c r="AF952" i="3"/>
  <c r="W952" i="3" s="1"/>
  <c r="V952" i="3"/>
  <c r="S952" i="3"/>
  <c r="AF949" i="3"/>
  <c r="W949" i="3" s="1"/>
  <c r="S949" i="3"/>
  <c r="R944" i="3"/>
  <c r="Q944" i="3"/>
  <c r="L944" i="3"/>
  <c r="K944" i="3"/>
  <c r="J944" i="3"/>
  <c r="I944" i="3"/>
  <c r="T944" i="3" s="1"/>
  <c r="AF946" i="3"/>
  <c r="W946" i="3" s="1"/>
  <c r="S946" i="3"/>
  <c r="AF945" i="3"/>
  <c r="W945" i="3" s="1"/>
  <c r="S945" i="3"/>
  <c r="AF943" i="3"/>
  <c r="W943" i="3" s="1"/>
  <c r="S943" i="3"/>
  <c r="S942" i="3" s="1"/>
  <c r="R942" i="3"/>
  <c r="Q942" i="3"/>
  <c r="L942" i="3"/>
  <c r="K942" i="3"/>
  <c r="J942" i="3"/>
  <c r="I942" i="3"/>
  <c r="T942" i="3" s="1"/>
  <c r="R935" i="3"/>
  <c r="Q935" i="3"/>
  <c r="L935" i="3"/>
  <c r="K935" i="3"/>
  <c r="J935" i="3"/>
  <c r="I935" i="3"/>
  <c r="T935" i="3" s="1"/>
  <c r="AF936" i="3"/>
  <c r="W936" i="3" s="1"/>
  <c r="S936" i="3"/>
  <c r="AF934" i="3"/>
  <c r="W934" i="3" s="1"/>
  <c r="V934" i="3"/>
  <c r="S934" i="3"/>
  <c r="S933" i="3" s="1"/>
  <c r="R933" i="3"/>
  <c r="Q933" i="3"/>
  <c r="L933" i="3"/>
  <c r="K933" i="3"/>
  <c r="J933" i="3"/>
  <c r="I933" i="3"/>
  <c r="T933" i="3" s="1"/>
  <c r="AF925" i="3"/>
  <c r="W925" i="3" s="1"/>
  <c r="AF924" i="3"/>
  <c r="W924" i="3" s="1"/>
  <c r="AF912" i="3"/>
  <c r="W912" i="3" s="1"/>
  <c r="S912" i="3"/>
  <c r="AF911" i="3"/>
  <c r="W911" i="3" s="1"/>
  <c r="S911" i="3"/>
  <c r="AF901" i="3"/>
  <c r="W901" i="3" s="1"/>
  <c r="S901" i="3"/>
  <c r="AF902" i="3"/>
  <c r="W902" i="3" s="1"/>
  <c r="S902" i="3"/>
  <c r="AF891" i="3"/>
  <c r="W891" i="3" s="1"/>
  <c r="S891" i="3"/>
  <c r="AF885" i="3"/>
  <c r="W885" i="3" s="1"/>
  <c r="S885" i="3"/>
  <c r="AF879" i="3"/>
  <c r="W879" i="3" s="1"/>
  <c r="S879" i="3"/>
  <c r="AF878" i="3"/>
  <c r="W878" i="3" s="1"/>
  <c r="V878" i="3"/>
  <c r="S878" i="3"/>
  <c r="AF877" i="3"/>
  <c r="W877" i="3" s="1"/>
  <c r="S877" i="3"/>
  <c r="R871" i="3"/>
  <c r="Q871" i="3"/>
  <c r="L871" i="3"/>
  <c r="K871" i="3"/>
  <c r="J871" i="3"/>
  <c r="I871" i="3"/>
  <c r="T871" i="3" s="1"/>
  <c r="R868" i="3"/>
  <c r="Q868" i="3"/>
  <c r="L868" i="3"/>
  <c r="K868" i="3"/>
  <c r="J868" i="3"/>
  <c r="I868" i="3"/>
  <c r="T868" i="3" s="1"/>
  <c r="AF872" i="3"/>
  <c r="W872" i="3" s="1"/>
  <c r="S872" i="3"/>
  <c r="AF869" i="3"/>
  <c r="W869" i="3" s="1"/>
  <c r="S869" i="3"/>
  <c r="R861" i="3"/>
  <c r="Q861" i="3"/>
  <c r="L861" i="3"/>
  <c r="K861" i="3"/>
  <c r="J861" i="3"/>
  <c r="I861" i="3"/>
  <c r="T861" i="3" s="1"/>
  <c r="AJ863" i="3"/>
  <c r="W863" i="3" s="1"/>
  <c r="S863" i="3"/>
  <c r="AJ862" i="3"/>
  <c r="W862" i="3" s="1"/>
  <c r="S862" i="3"/>
  <c r="AJ860" i="3"/>
  <c r="W860" i="3" s="1"/>
  <c r="S860" i="3"/>
  <c r="AJ859" i="3"/>
  <c r="W859" i="3" s="1"/>
  <c r="S859" i="3"/>
  <c r="R858" i="3"/>
  <c r="Q858" i="3"/>
  <c r="L858" i="3"/>
  <c r="K858" i="3"/>
  <c r="J858" i="3"/>
  <c r="I858" i="3"/>
  <c r="T858" i="3" s="1"/>
  <c r="AF853" i="3"/>
  <c r="W853" i="3" s="1"/>
  <c r="S853" i="3"/>
  <c r="AF845" i="3"/>
  <c r="W845" i="3" s="1"/>
  <c r="S845" i="3"/>
  <c r="S844" i="3" s="1"/>
  <c r="R844" i="3"/>
  <c r="Q844" i="3"/>
  <c r="L844" i="3"/>
  <c r="K844" i="3"/>
  <c r="J844" i="3"/>
  <c r="I844" i="3"/>
  <c r="T844" i="3" s="1"/>
  <c r="AF842" i="3"/>
  <c r="W842" i="3" s="1"/>
  <c r="S842" i="3"/>
  <c r="AF841" i="3"/>
  <c r="W841" i="3" s="1"/>
  <c r="S841" i="3"/>
  <c r="AJ827" i="3"/>
  <c r="W827" i="3" s="1"/>
  <c r="S827" i="3"/>
  <c r="AJ828" i="3"/>
  <c r="W828" i="3" s="1"/>
  <c r="S828" i="3"/>
  <c r="AJ826" i="3"/>
  <c r="W826" i="3" s="1"/>
  <c r="S826" i="3"/>
  <c r="R825" i="3"/>
  <c r="Q825" i="3"/>
  <c r="L825" i="3"/>
  <c r="K825" i="3"/>
  <c r="J825" i="3"/>
  <c r="I825" i="3"/>
  <c r="T825" i="3" s="1"/>
  <c r="AL818" i="3"/>
  <c r="W818" i="3" s="1"/>
  <c r="S818" i="3"/>
  <c r="AF817" i="3"/>
  <c r="W817" i="3" s="1"/>
  <c r="S817" i="3"/>
  <c r="AN816" i="3"/>
  <c r="W816" i="3" s="1"/>
  <c r="S816" i="3"/>
  <c r="AL815" i="3"/>
  <c r="W815" i="3" s="1"/>
  <c r="S815" i="3"/>
  <c r="AF814" i="3"/>
  <c r="W814" i="3" s="1"/>
  <c r="S814" i="3"/>
  <c r="AN813" i="3"/>
  <c r="W813" i="3" s="1"/>
  <c r="S813" i="3"/>
  <c r="AF804" i="3"/>
  <c r="W804" i="3" s="1"/>
  <c r="S804" i="3"/>
  <c r="AF803" i="3"/>
  <c r="W803" i="3" s="1"/>
  <c r="S803" i="3"/>
  <c r="AF802" i="3"/>
  <c r="W802" i="3" s="1"/>
  <c r="S802" i="3"/>
  <c r="AF801" i="3"/>
  <c r="W801" i="3" s="1"/>
  <c r="S801" i="3"/>
  <c r="AF800" i="3"/>
  <c r="W800" i="3" s="1"/>
  <c r="S800" i="3"/>
  <c r="AF799" i="3"/>
  <c r="W799" i="3" s="1"/>
  <c r="S799" i="3"/>
  <c r="S790" i="3"/>
  <c r="AF783" i="3"/>
  <c r="W783" i="3" s="1"/>
  <c r="S783" i="3"/>
  <c r="AF777" i="3"/>
  <c r="W777" i="3" s="1"/>
  <c r="S777" i="3"/>
  <c r="AF776" i="3"/>
  <c r="W776" i="3" s="1"/>
  <c r="S776" i="3"/>
  <c r="AF775" i="3"/>
  <c r="W775" i="3" s="1"/>
  <c r="S775" i="3"/>
  <c r="AF769" i="3"/>
  <c r="W769" i="3" s="1"/>
  <c r="S769" i="3"/>
  <c r="W768" i="3"/>
  <c r="S768" i="3"/>
  <c r="AF756" i="3"/>
  <c r="W756" i="3" s="1"/>
  <c r="S756" i="3"/>
  <c r="AF755" i="3"/>
  <c r="W755" i="3" s="1"/>
  <c r="S755" i="3"/>
  <c r="AF754" i="3"/>
  <c r="W754" i="3" s="1"/>
  <c r="S754" i="3"/>
  <c r="AF753" i="3"/>
  <c r="W753" i="3" s="1"/>
  <c r="S753" i="3"/>
  <c r="AF752" i="3"/>
  <c r="W752" i="3" s="1"/>
  <c r="S752" i="3"/>
  <c r="AF751" i="3"/>
  <c r="W751" i="3" s="1"/>
  <c r="S751" i="3"/>
  <c r="AF750" i="3"/>
  <c r="W750" i="3" s="1"/>
  <c r="S750" i="3"/>
  <c r="W735" i="3"/>
  <c r="V735" i="3"/>
  <c r="S735" i="3"/>
  <c r="AJ734" i="3"/>
  <c r="W734" i="3" s="1"/>
  <c r="S734" i="3"/>
  <c r="AJ663" i="3"/>
  <c r="W663" i="3"/>
  <c r="S663" i="3"/>
  <c r="AJ662" i="3"/>
  <c r="W662" i="3" s="1"/>
  <c r="S662" i="3"/>
  <c r="W661" i="3"/>
  <c r="S661" i="3"/>
  <c r="W660" i="3"/>
  <c r="S660" i="3"/>
  <c r="W659" i="3"/>
  <c r="V659" i="3"/>
  <c r="S659" i="3"/>
  <c r="W658" i="3"/>
  <c r="S658" i="3"/>
  <c r="AF548" i="3"/>
  <c r="W548" i="3" s="1"/>
  <c r="S548" i="3"/>
  <c r="S536" i="3"/>
  <c r="L513" i="3"/>
  <c r="K513" i="3"/>
  <c r="J513" i="3"/>
  <c r="I513" i="3"/>
  <c r="T513" i="3" s="1"/>
  <c r="W514" i="3"/>
  <c r="S514" i="3"/>
  <c r="L505" i="3"/>
  <c r="K505" i="3"/>
  <c r="J505" i="3"/>
  <c r="I505" i="3"/>
  <c r="T505" i="3" s="1"/>
  <c r="AF506" i="3"/>
  <c r="W506" i="3" s="1"/>
  <c r="S506" i="3"/>
  <c r="L459" i="3"/>
  <c r="K459" i="3"/>
  <c r="J459" i="3"/>
  <c r="I459" i="3"/>
  <c r="T459" i="3" s="1"/>
  <c r="L457" i="3"/>
  <c r="K457" i="3"/>
  <c r="J457" i="3"/>
  <c r="I457" i="3"/>
  <c r="T457" i="3" s="1"/>
  <c r="L455" i="3"/>
  <c r="K455" i="3"/>
  <c r="J455" i="3"/>
  <c r="I455" i="3"/>
  <c r="T455" i="3" s="1"/>
  <c r="L453" i="3"/>
  <c r="K453" i="3"/>
  <c r="J453" i="3"/>
  <c r="I453" i="3"/>
  <c r="T453" i="3" s="1"/>
  <c r="L451" i="3"/>
  <c r="K451" i="3"/>
  <c r="J451" i="3"/>
  <c r="I451" i="3"/>
  <c r="T451" i="3" s="1"/>
  <c r="L449" i="3"/>
  <c r="K449" i="3"/>
  <c r="J449" i="3"/>
  <c r="AF446" i="3"/>
  <c r="W446" i="3" s="1"/>
  <c r="S446" i="3"/>
  <c r="L408" i="3"/>
  <c r="K408" i="3"/>
  <c r="J408" i="3"/>
  <c r="I408" i="3"/>
  <c r="T408" i="3" s="1"/>
  <c r="S410" i="3"/>
  <c r="S409" i="3"/>
  <c r="S411" i="3"/>
  <c r="AF402" i="3"/>
  <c r="W402" i="3" s="1"/>
  <c r="S402" i="3"/>
  <c r="AF401" i="3"/>
  <c r="W401" i="3" s="1"/>
  <c r="S401" i="3"/>
  <c r="I197" i="3"/>
  <c r="T197" i="3" s="1"/>
  <c r="J197" i="3"/>
  <c r="K197" i="3"/>
  <c r="L197" i="3"/>
  <c r="AF188" i="3"/>
  <c r="W188" i="3" s="1"/>
  <c r="S188" i="3"/>
  <c r="AD192" i="3"/>
  <c r="W192" i="3" s="1"/>
  <c r="S192" i="3"/>
  <c r="AF191" i="3"/>
  <c r="W191" i="3" s="1"/>
  <c r="S191" i="3"/>
  <c r="AF190" i="3"/>
  <c r="W190" i="3" s="1"/>
  <c r="S190" i="3"/>
  <c r="AF189" i="3"/>
  <c r="W189" i="3" s="1"/>
  <c r="S189" i="3"/>
  <c r="U438" i="3" l="1"/>
  <c r="U15" i="3"/>
  <c r="S858" i="3"/>
  <c r="S948" i="3"/>
  <c r="V408" i="3"/>
  <c r="S408" i="3"/>
  <c r="W1133" i="3"/>
  <c r="V994" i="3"/>
  <c r="V968" i="3"/>
  <c r="V942" i="3"/>
  <c r="V933" i="3"/>
  <c r="S825" i="3"/>
  <c r="V858" i="3"/>
  <c r="V844" i="3"/>
  <c r="V825" i="3"/>
  <c r="V790" i="3"/>
  <c r="V663" i="3"/>
  <c r="V536" i="3"/>
  <c r="W411" i="3"/>
  <c r="V410" i="3"/>
  <c r="V409" i="3"/>
  <c r="N337" i="7" l="1"/>
  <c r="D491" i="12"/>
  <c r="B491" i="12"/>
  <c r="D490" i="12"/>
  <c r="D489" i="12" s="1"/>
  <c r="B490" i="12"/>
  <c r="AA489" i="12"/>
  <c r="Z489" i="12"/>
  <c r="Y489" i="12"/>
  <c r="X489" i="12"/>
  <c r="W489" i="12"/>
  <c r="V489" i="12"/>
  <c r="U489" i="12"/>
  <c r="T489" i="12"/>
  <c r="S489" i="12"/>
  <c r="R489" i="12"/>
  <c r="Q489" i="12"/>
  <c r="P489" i="12"/>
  <c r="O489" i="12"/>
  <c r="N489" i="12"/>
  <c r="M489" i="12"/>
  <c r="L489" i="12"/>
  <c r="K489" i="12"/>
  <c r="J489" i="12"/>
  <c r="I489" i="12"/>
  <c r="H489" i="12"/>
  <c r="G489" i="12"/>
  <c r="F489" i="12"/>
  <c r="E489" i="12"/>
  <c r="D488" i="12"/>
  <c r="B488" i="12"/>
  <c r="D487" i="12"/>
  <c r="B487" i="12"/>
  <c r="AA486" i="12"/>
  <c r="Z486" i="12"/>
  <c r="Y486" i="12"/>
  <c r="X486" i="12"/>
  <c r="W486" i="12"/>
  <c r="V486" i="12"/>
  <c r="U486" i="12"/>
  <c r="T486" i="12"/>
  <c r="S486" i="12"/>
  <c r="R486" i="12"/>
  <c r="Q486" i="12"/>
  <c r="P486" i="12"/>
  <c r="O486" i="12"/>
  <c r="N486" i="12"/>
  <c r="M486" i="12"/>
  <c r="L486" i="12"/>
  <c r="K486" i="12"/>
  <c r="J486" i="12"/>
  <c r="I486" i="12"/>
  <c r="H486" i="12"/>
  <c r="G486" i="12"/>
  <c r="F486" i="12"/>
  <c r="E486" i="12"/>
  <c r="D485" i="12"/>
  <c r="B485" i="12"/>
  <c r="D484" i="12"/>
  <c r="B484" i="12"/>
  <c r="D483" i="12"/>
  <c r="B483" i="12"/>
  <c r="D482" i="12"/>
  <c r="B482" i="12"/>
  <c r="D481" i="12"/>
  <c r="B481" i="12"/>
  <c r="D480" i="12"/>
  <c r="B480" i="12"/>
  <c r="AA479" i="12"/>
  <c r="Z479" i="12"/>
  <c r="Y479" i="12"/>
  <c r="X479" i="12"/>
  <c r="W479" i="12"/>
  <c r="V479" i="12"/>
  <c r="U479" i="12"/>
  <c r="T479" i="12"/>
  <c r="S479" i="12"/>
  <c r="R479" i="12"/>
  <c r="Q479" i="12"/>
  <c r="P479" i="12"/>
  <c r="O479" i="12"/>
  <c r="N479" i="12"/>
  <c r="M479" i="12"/>
  <c r="L479" i="12"/>
  <c r="K479" i="12"/>
  <c r="J479" i="12"/>
  <c r="I479" i="12"/>
  <c r="H479" i="12"/>
  <c r="G479" i="12"/>
  <c r="F479" i="12"/>
  <c r="E479" i="12"/>
  <c r="D478" i="12"/>
  <c r="B478" i="12"/>
  <c r="D477" i="12"/>
  <c r="B477" i="12"/>
  <c r="D476" i="12"/>
  <c r="B476" i="12"/>
  <c r="D475" i="12"/>
  <c r="D474" i="12" s="1"/>
  <c r="B475" i="12"/>
  <c r="AA474" i="12"/>
  <c r="Z474" i="12"/>
  <c r="Y474" i="12"/>
  <c r="X474" i="12"/>
  <c r="W474" i="12"/>
  <c r="V474" i="12"/>
  <c r="U474" i="12"/>
  <c r="T474" i="12"/>
  <c r="S474" i="12"/>
  <c r="R474" i="12"/>
  <c r="Q474" i="12"/>
  <c r="P474" i="12"/>
  <c r="O474" i="12"/>
  <c r="N474" i="12"/>
  <c r="M474" i="12"/>
  <c r="L474" i="12"/>
  <c r="K474" i="12"/>
  <c r="J474" i="12"/>
  <c r="I474" i="12"/>
  <c r="H474" i="12"/>
  <c r="G474" i="12"/>
  <c r="F474" i="12"/>
  <c r="E474" i="12"/>
  <c r="D473" i="12"/>
  <c r="B473" i="12"/>
  <c r="D472" i="12"/>
  <c r="D470" i="12" s="1"/>
  <c r="B472" i="12"/>
  <c r="D471" i="12"/>
  <c r="B471" i="12"/>
  <c r="AA470" i="12"/>
  <c r="AA462" i="12" s="1"/>
  <c r="Z470" i="12"/>
  <c r="Z462" i="12" s="1"/>
  <c r="Y470" i="12"/>
  <c r="Y462" i="12" s="1"/>
  <c r="X470" i="12"/>
  <c r="W470" i="12"/>
  <c r="W462" i="12" s="1"/>
  <c r="V470" i="12"/>
  <c r="V462" i="12" s="1"/>
  <c r="U470" i="12"/>
  <c r="U462" i="12" s="1"/>
  <c r="T470" i="12"/>
  <c r="T462" i="12" s="1"/>
  <c r="S470" i="12"/>
  <c r="S462" i="12" s="1"/>
  <c r="R470" i="12"/>
  <c r="R462" i="12" s="1"/>
  <c r="Q470" i="12"/>
  <c r="P470" i="12"/>
  <c r="O470" i="12"/>
  <c r="O462" i="12" s="1"/>
  <c r="N470" i="12"/>
  <c r="N462" i="12" s="1"/>
  <c r="M470" i="12"/>
  <c r="L470" i="12"/>
  <c r="L462" i="12" s="1"/>
  <c r="K470" i="12"/>
  <c r="K462" i="12" s="1"/>
  <c r="J470" i="12"/>
  <c r="J462" i="12" s="1"/>
  <c r="I470" i="12"/>
  <c r="I462" i="12" s="1"/>
  <c r="H470" i="12"/>
  <c r="G470" i="12"/>
  <c r="G462" i="12" s="1"/>
  <c r="F470" i="12"/>
  <c r="F462" i="12" s="1"/>
  <c r="E470" i="12"/>
  <c r="E462" i="12" s="1"/>
  <c r="D469" i="12"/>
  <c r="B469" i="12"/>
  <c r="D468" i="12"/>
  <c r="B468" i="12"/>
  <c r="D467" i="12"/>
  <c r="B467" i="12"/>
  <c r="D466" i="12"/>
  <c r="B466" i="12"/>
  <c r="D465" i="12"/>
  <c r="B465" i="12"/>
  <c r="D464" i="12"/>
  <c r="B464" i="12"/>
  <c r="D463" i="12"/>
  <c r="B463" i="12"/>
  <c r="X462" i="12"/>
  <c r="Q462" i="12"/>
  <c r="P462" i="12"/>
  <c r="M462" i="12"/>
  <c r="H462" i="12"/>
  <c r="D461" i="12"/>
  <c r="B461" i="12"/>
  <c r="D460" i="12"/>
  <c r="D458" i="12" s="1"/>
  <c r="B460" i="12"/>
  <c r="D459" i="12"/>
  <c r="B459" i="12"/>
  <c r="AA458" i="12"/>
  <c r="Z458" i="12"/>
  <c r="Y458" i="12"/>
  <c r="X458" i="12"/>
  <c r="W458" i="12"/>
  <c r="V458" i="12"/>
  <c r="U458" i="12"/>
  <c r="T458" i="12"/>
  <c r="S458" i="12"/>
  <c r="R458" i="12"/>
  <c r="Q458" i="12"/>
  <c r="P458" i="12"/>
  <c r="O458" i="12"/>
  <c r="N458" i="12"/>
  <c r="M458" i="12"/>
  <c r="L458" i="12"/>
  <c r="K458" i="12"/>
  <c r="J458" i="12"/>
  <c r="I458" i="12"/>
  <c r="H458" i="12"/>
  <c r="G458" i="12"/>
  <c r="F458" i="12"/>
  <c r="E458" i="12"/>
  <c r="D457" i="12"/>
  <c r="D456" i="12" s="1"/>
  <c r="B457" i="12"/>
  <c r="AA456" i="12"/>
  <c r="Z456" i="12"/>
  <c r="Y456" i="12"/>
  <c r="X456" i="12"/>
  <c r="W456" i="12"/>
  <c r="V456" i="12"/>
  <c r="U456" i="12"/>
  <c r="T456" i="12"/>
  <c r="S456" i="12"/>
  <c r="R456" i="12"/>
  <c r="Q456" i="12"/>
  <c r="P456" i="12"/>
  <c r="O456" i="12"/>
  <c r="N456" i="12"/>
  <c r="M456" i="12"/>
  <c r="L456" i="12"/>
  <c r="K456" i="12"/>
  <c r="J456" i="12"/>
  <c r="I456" i="12"/>
  <c r="H456" i="12"/>
  <c r="G456" i="12"/>
  <c r="F456" i="12"/>
  <c r="E456" i="12"/>
  <c r="D455" i="12"/>
  <c r="D454" i="12" s="1"/>
  <c r="B455" i="12"/>
  <c r="AA454" i="12"/>
  <c r="Z454" i="12"/>
  <c r="Y454" i="12"/>
  <c r="X454" i="12"/>
  <c r="W454" i="12"/>
  <c r="V454" i="12"/>
  <c r="U454" i="12"/>
  <c r="T454" i="12"/>
  <c r="S454" i="12"/>
  <c r="R454" i="12"/>
  <c r="Q454" i="12"/>
  <c r="P454" i="12"/>
  <c r="O454" i="12"/>
  <c r="N454" i="12"/>
  <c r="M454" i="12"/>
  <c r="L454" i="12"/>
  <c r="K454" i="12"/>
  <c r="J454" i="12"/>
  <c r="I454" i="12"/>
  <c r="H454" i="12"/>
  <c r="G454" i="12"/>
  <c r="F454" i="12"/>
  <c r="E454" i="12"/>
  <c r="D453" i="12"/>
  <c r="B453" i="12"/>
  <c r="D452" i="12"/>
  <c r="B452" i="12"/>
  <c r="AA451" i="12"/>
  <c r="Z451" i="12"/>
  <c r="Y451" i="12"/>
  <c r="X451" i="12"/>
  <c r="W451" i="12"/>
  <c r="V451" i="12"/>
  <c r="U451" i="12"/>
  <c r="T451" i="12"/>
  <c r="S451" i="12"/>
  <c r="R451" i="12"/>
  <c r="Q451" i="12"/>
  <c r="P451" i="12"/>
  <c r="O451" i="12"/>
  <c r="N451" i="12"/>
  <c r="M451" i="12"/>
  <c r="L451" i="12"/>
  <c r="K451" i="12"/>
  <c r="J451" i="12"/>
  <c r="I451" i="12"/>
  <c r="H451" i="12"/>
  <c r="G451" i="12"/>
  <c r="F451" i="12"/>
  <c r="E451" i="12"/>
  <c r="D450" i="12"/>
  <c r="B450" i="12"/>
  <c r="D449" i="12"/>
  <c r="B449" i="12"/>
  <c r="D448" i="12"/>
  <c r="D447" i="12" s="1"/>
  <c r="B448" i="12"/>
  <c r="AA447" i="12"/>
  <c r="Z447" i="12"/>
  <c r="Y447" i="12"/>
  <c r="X447" i="12"/>
  <c r="W447" i="12"/>
  <c r="V447" i="12"/>
  <c r="U447" i="12"/>
  <c r="T447" i="12"/>
  <c r="S447" i="12"/>
  <c r="R447" i="12"/>
  <c r="Q447" i="12"/>
  <c r="P447" i="12"/>
  <c r="O447" i="12"/>
  <c r="N447" i="12"/>
  <c r="M447" i="12"/>
  <c r="L447" i="12"/>
  <c r="K447" i="12"/>
  <c r="J447" i="12"/>
  <c r="I447" i="12"/>
  <c r="H447" i="12"/>
  <c r="G447" i="12"/>
  <c r="F447" i="12"/>
  <c r="E447" i="12"/>
  <c r="D446" i="12"/>
  <c r="B446" i="12"/>
  <c r="D445" i="12"/>
  <c r="B445" i="12"/>
  <c r="D444" i="12"/>
  <c r="B444" i="12"/>
  <c r="D443" i="12"/>
  <c r="B443" i="12"/>
  <c r="D442" i="12"/>
  <c r="B442" i="12"/>
  <c r="D441" i="12"/>
  <c r="D440" i="12" s="1"/>
  <c r="B441" i="12"/>
  <c r="AA440" i="12"/>
  <c r="Z440" i="12"/>
  <c r="Y440" i="12"/>
  <c r="X440" i="12"/>
  <c r="W440" i="12"/>
  <c r="V440" i="12"/>
  <c r="U440" i="12"/>
  <c r="T440" i="12"/>
  <c r="S440" i="12"/>
  <c r="R440" i="12"/>
  <c r="Q440" i="12"/>
  <c r="P440" i="12"/>
  <c r="O440" i="12"/>
  <c r="N440" i="12"/>
  <c r="M440" i="12"/>
  <c r="L440" i="12"/>
  <c r="K440" i="12"/>
  <c r="J440" i="12"/>
  <c r="I440" i="12"/>
  <c r="H440" i="12"/>
  <c r="G440" i="12"/>
  <c r="F440" i="12"/>
  <c r="E440" i="12"/>
  <c r="D439" i="12"/>
  <c r="B439" i="12"/>
  <c r="D438" i="12"/>
  <c r="B438" i="12"/>
  <c r="D437" i="12"/>
  <c r="B437" i="12"/>
  <c r="D436" i="12"/>
  <c r="B436" i="12"/>
  <c r="D435" i="12"/>
  <c r="B435" i="12"/>
  <c r="D434" i="12"/>
  <c r="D433" i="12" s="1"/>
  <c r="B434" i="12"/>
  <c r="AA433" i="12"/>
  <c r="Z433" i="12"/>
  <c r="Y433" i="12"/>
  <c r="X433" i="12"/>
  <c r="W433" i="12"/>
  <c r="V433" i="12"/>
  <c r="U433" i="12"/>
  <c r="T433" i="12"/>
  <c r="S433" i="12"/>
  <c r="R433" i="12"/>
  <c r="Q433" i="12"/>
  <c r="P433" i="12"/>
  <c r="O433" i="12"/>
  <c r="N433" i="12"/>
  <c r="M433" i="12"/>
  <c r="L433" i="12"/>
  <c r="K433" i="12"/>
  <c r="J433" i="12"/>
  <c r="I433" i="12"/>
  <c r="H433" i="12"/>
  <c r="G433" i="12"/>
  <c r="F433" i="12"/>
  <c r="E433" i="12"/>
  <c r="D432" i="12"/>
  <c r="B432" i="12"/>
  <c r="D431" i="12"/>
  <c r="B431" i="12"/>
  <c r="D430" i="12"/>
  <c r="B430" i="12"/>
  <c r="D429" i="12"/>
  <c r="B429" i="12"/>
  <c r="D428" i="12"/>
  <c r="B428" i="12"/>
  <c r="D427" i="12"/>
  <c r="B427" i="12"/>
  <c r="D426" i="12"/>
  <c r="B426" i="12"/>
  <c r="AA425" i="12"/>
  <c r="Z425" i="12"/>
  <c r="Y425" i="12"/>
  <c r="X425" i="12"/>
  <c r="W425" i="12"/>
  <c r="V425" i="12"/>
  <c r="U425" i="12"/>
  <c r="T425" i="12"/>
  <c r="S425" i="12"/>
  <c r="R425" i="12"/>
  <c r="Q425" i="12"/>
  <c r="P425" i="12"/>
  <c r="O425" i="12"/>
  <c r="N425" i="12"/>
  <c r="M425" i="12"/>
  <c r="L425" i="12"/>
  <c r="K425" i="12"/>
  <c r="J425" i="12"/>
  <c r="I425" i="12"/>
  <c r="H425" i="12"/>
  <c r="G425" i="12"/>
  <c r="F425" i="12"/>
  <c r="E425" i="12"/>
  <c r="D424" i="12"/>
  <c r="B424" i="12"/>
  <c r="D423" i="12"/>
  <c r="B423" i="12"/>
  <c r="AA422" i="12"/>
  <c r="Z422" i="12"/>
  <c r="Y422" i="12"/>
  <c r="X422" i="12"/>
  <c r="W422" i="12"/>
  <c r="V422" i="12"/>
  <c r="U422" i="12"/>
  <c r="T422" i="12"/>
  <c r="S422" i="12"/>
  <c r="R422" i="12"/>
  <c r="Q422" i="12"/>
  <c r="P422" i="12"/>
  <c r="O422" i="12"/>
  <c r="N422" i="12"/>
  <c r="M422" i="12"/>
  <c r="L422" i="12"/>
  <c r="K422" i="12"/>
  <c r="J422" i="12"/>
  <c r="I422" i="12"/>
  <c r="H422" i="12"/>
  <c r="G422" i="12"/>
  <c r="F422" i="12"/>
  <c r="E422" i="12"/>
  <c r="D421" i="12"/>
  <c r="D420" i="12" s="1"/>
  <c r="B421" i="12"/>
  <c r="AA420" i="12"/>
  <c r="Z420" i="12"/>
  <c r="Y420" i="12"/>
  <c r="X420" i="12"/>
  <c r="W420" i="12"/>
  <c r="V420" i="12"/>
  <c r="U420" i="12"/>
  <c r="T420" i="12"/>
  <c r="S420" i="12"/>
  <c r="R420" i="12"/>
  <c r="Q420" i="12"/>
  <c r="P420" i="12"/>
  <c r="O420" i="12"/>
  <c r="N420" i="12"/>
  <c r="M420" i="12"/>
  <c r="L420" i="12"/>
  <c r="K420" i="12"/>
  <c r="J420" i="12"/>
  <c r="I420" i="12"/>
  <c r="H420" i="12"/>
  <c r="G420" i="12"/>
  <c r="F420" i="12"/>
  <c r="E420" i="12"/>
  <c r="D419" i="12"/>
  <c r="B419" i="12"/>
  <c r="AA418" i="12"/>
  <c r="Z418" i="12"/>
  <c r="Y418" i="12"/>
  <c r="X418" i="12"/>
  <c r="W418" i="12"/>
  <c r="V418" i="12"/>
  <c r="U418" i="12"/>
  <c r="T418" i="12"/>
  <c r="S418" i="12"/>
  <c r="R418" i="12"/>
  <c r="Q418" i="12"/>
  <c r="P418" i="12"/>
  <c r="O418" i="12"/>
  <c r="N418" i="12"/>
  <c r="M418" i="12"/>
  <c r="L418" i="12"/>
  <c r="K418" i="12"/>
  <c r="J418" i="12"/>
  <c r="I418" i="12"/>
  <c r="H418" i="12"/>
  <c r="G418" i="12"/>
  <c r="F418" i="12"/>
  <c r="E418" i="12"/>
  <c r="D418" i="12"/>
  <c r="B417" i="12"/>
  <c r="D416" i="12"/>
  <c r="B416" i="12"/>
  <c r="D415" i="12"/>
  <c r="B415" i="12"/>
  <c r="D414" i="12"/>
  <c r="B414" i="12"/>
  <c r="D413" i="12"/>
  <c r="B413" i="12"/>
  <c r="D412" i="12"/>
  <c r="B412" i="12"/>
  <c r="D411" i="12"/>
  <c r="B411" i="12"/>
  <c r="D410" i="12"/>
  <c r="B410" i="12"/>
  <c r="D409" i="12"/>
  <c r="B409" i="12"/>
  <c r="D408" i="12"/>
  <c r="B408" i="12"/>
  <c r="D407" i="12"/>
  <c r="B407" i="12"/>
  <c r="D406" i="12"/>
  <c r="B406" i="12"/>
  <c r="D405" i="12"/>
  <c r="B405" i="12"/>
  <c r="D404" i="12"/>
  <c r="B404" i="12"/>
  <c r="D403" i="12"/>
  <c r="B403" i="12"/>
  <c r="D402" i="12"/>
  <c r="B402" i="12"/>
  <c r="D401" i="12"/>
  <c r="B401" i="12"/>
  <c r="D400" i="12"/>
  <c r="B400" i="12"/>
  <c r="D399" i="12"/>
  <c r="B399" i="12"/>
  <c r="D398" i="12"/>
  <c r="B398" i="12"/>
  <c r="D397" i="12"/>
  <c r="B397" i="12"/>
  <c r="D396" i="12"/>
  <c r="B396" i="12"/>
  <c r="D395" i="12"/>
  <c r="B395" i="12"/>
  <c r="D394" i="12"/>
  <c r="B394" i="12"/>
  <c r="B393" i="12"/>
  <c r="B392" i="12"/>
  <c r="B391" i="12"/>
  <c r="D390" i="12"/>
  <c r="B390" i="12"/>
  <c r="D389" i="12"/>
  <c r="B389" i="12"/>
  <c r="D388" i="12"/>
  <c r="B388" i="12"/>
  <c r="D387" i="12"/>
  <c r="B387" i="12"/>
  <c r="D386" i="12"/>
  <c r="B386" i="12"/>
  <c r="D385" i="12"/>
  <c r="B385" i="12"/>
  <c r="D384" i="12"/>
  <c r="B384" i="12"/>
  <c r="D383" i="12"/>
  <c r="B383" i="12"/>
  <c r="D382" i="12"/>
  <c r="B382" i="12"/>
  <c r="D381" i="12"/>
  <c r="B381" i="12"/>
  <c r="D380" i="12"/>
  <c r="B380" i="12"/>
  <c r="D379" i="12"/>
  <c r="B379" i="12"/>
  <c r="D378" i="12"/>
  <c r="B378" i="12"/>
  <c r="D377" i="12"/>
  <c r="B377" i="12"/>
  <c r="D376" i="12"/>
  <c r="B376" i="12"/>
  <c r="D375" i="12"/>
  <c r="B375" i="12"/>
  <c r="D374" i="12"/>
  <c r="B374" i="12"/>
  <c r="D373" i="12"/>
  <c r="B373" i="12"/>
  <c r="AA372" i="12"/>
  <c r="Z372" i="12"/>
  <c r="Y372" i="12"/>
  <c r="X372" i="12"/>
  <c r="W372" i="12"/>
  <c r="V372" i="12"/>
  <c r="U372" i="12"/>
  <c r="T372" i="12"/>
  <c r="S372" i="12"/>
  <c r="R372" i="12"/>
  <c r="Q372" i="12"/>
  <c r="P372" i="12"/>
  <c r="O372" i="12"/>
  <c r="N372" i="12"/>
  <c r="M372" i="12"/>
  <c r="L372" i="12"/>
  <c r="K372" i="12"/>
  <c r="J372" i="12"/>
  <c r="I372" i="12"/>
  <c r="H372" i="12"/>
  <c r="G372" i="12"/>
  <c r="F372" i="12"/>
  <c r="E372" i="12"/>
  <c r="B371" i="12"/>
  <c r="D370" i="12"/>
  <c r="B370" i="12"/>
  <c r="D369" i="12"/>
  <c r="B369" i="12"/>
  <c r="D368" i="12"/>
  <c r="B368" i="12"/>
  <c r="D367" i="12"/>
  <c r="B367" i="12"/>
  <c r="D366" i="12"/>
  <c r="B366" i="12"/>
  <c r="D365" i="12"/>
  <c r="B365" i="12"/>
  <c r="D364" i="12"/>
  <c r="B364" i="12"/>
  <c r="D363" i="12"/>
  <c r="B363" i="12"/>
  <c r="D362" i="12"/>
  <c r="B362" i="12"/>
  <c r="D361" i="12"/>
  <c r="B361" i="12"/>
  <c r="D360" i="12"/>
  <c r="B360" i="12"/>
  <c r="D359" i="12"/>
  <c r="B359" i="12"/>
  <c r="D358" i="12"/>
  <c r="B358" i="12"/>
  <c r="D357" i="12"/>
  <c r="B357" i="12"/>
  <c r="D356" i="12"/>
  <c r="B356" i="12"/>
  <c r="D355" i="12"/>
  <c r="B355" i="12"/>
  <c r="D354" i="12"/>
  <c r="B354" i="12"/>
  <c r="D353" i="12"/>
  <c r="B353" i="12"/>
  <c r="D352" i="12"/>
  <c r="B352" i="12"/>
  <c r="D351" i="12"/>
  <c r="B351" i="12"/>
  <c r="D350" i="12"/>
  <c r="B350" i="12"/>
  <c r="D349" i="12"/>
  <c r="B349" i="12"/>
  <c r="D348" i="12"/>
  <c r="B348" i="12"/>
  <c r="D347" i="12"/>
  <c r="B347" i="12"/>
  <c r="B346" i="12"/>
  <c r="D345" i="12"/>
  <c r="B345" i="12"/>
  <c r="D344" i="12"/>
  <c r="B344" i="12"/>
  <c r="D343" i="12"/>
  <c r="B343" i="12"/>
  <c r="D342" i="12"/>
  <c r="B342" i="12"/>
  <c r="I341" i="12"/>
  <c r="D341" i="12"/>
  <c r="B341" i="12"/>
  <c r="D340" i="12"/>
  <c r="B340" i="12"/>
  <c r="AA339" i="12"/>
  <c r="Z339" i="12"/>
  <c r="Y339" i="12"/>
  <c r="X339" i="12"/>
  <c r="W339" i="12"/>
  <c r="V339" i="12"/>
  <c r="U339" i="12"/>
  <c r="T339" i="12"/>
  <c r="S339" i="12"/>
  <c r="R339" i="12"/>
  <c r="Q339" i="12"/>
  <c r="P339" i="12"/>
  <c r="O339" i="12"/>
  <c r="N339" i="12"/>
  <c r="M339" i="12"/>
  <c r="L339" i="12"/>
  <c r="K339" i="12"/>
  <c r="J339" i="12"/>
  <c r="I339" i="12"/>
  <c r="H339" i="12"/>
  <c r="G339" i="12"/>
  <c r="F339" i="12"/>
  <c r="E339" i="12"/>
  <c r="D338" i="12"/>
  <c r="D337" i="12" s="1"/>
  <c r="B338" i="12"/>
  <c r="AA337" i="12"/>
  <c r="Z337" i="12"/>
  <c r="Y337" i="12"/>
  <c r="X337" i="12"/>
  <c r="W337" i="12"/>
  <c r="V337" i="12"/>
  <c r="U337" i="12"/>
  <c r="T337" i="12"/>
  <c r="S337" i="12"/>
  <c r="R337" i="12"/>
  <c r="Q337" i="12"/>
  <c r="P337" i="12"/>
  <c r="O337" i="12"/>
  <c r="N337" i="12"/>
  <c r="M337" i="12"/>
  <c r="L337" i="12"/>
  <c r="K337" i="12"/>
  <c r="J337" i="12"/>
  <c r="I337" i="12"/>
  <c r="H337" i="12"/>
  <c r="G337" i="12"/>
  <c r="F337" i="12"/>
  <c r="E337" i="12"/>
  <c r="D336" i="12"/>
  <c r="D335" i="12" s="1"/>
  <c r="B336" i="12"/>
  <c r="AA335" i="12"/>
  <c r="Z335" i="12"/>
  <c r="Y335" i="12"/>
  <c r="X335" i="12"/>
  <c r="W335" i="12"/>
  <c r="V335" i="12"/>
  <c r="U335" i="12"/>
  <c r="T335" i="12"/>
  <c r="S335" i="12"/>
  <c r="R335" i="12"/>
  <c r="Q335" i="12"/>
  <c r="P335" i="12"/>
  <c r="O335" i="12"/>
  <c r="N335" i="12"/>
  <c r="M335" i="12"/>
  <c r="L335" i="12"/>
  <c r="K335" i="12"/>
  <c r="J335" i="12"/>
  <c r="I335" i="12"/>
  <c r="H335" i="12"/>
  <c r="G335" i="12"/>
  <c r="F335" i="12"/>
  <c r="E335" i="12"/>
  <c r="D334" i="12"/>
  <c r="B334" i="12"/>
  <c r="D333" i="12"/>
  <c r="B333" i="12"/>
  <c r="D332" i="12"/>
  <c r="B332" i="12"/>
  <c r="D331" i="12"/>
  <c r="B331" i="12"/>
  <c r="AA330" i="12"/>
  <c r="Z330" i="12"/>
  <c r="Y330" i="12"/>
  <c r="X330" i="12"/>
  <c r="W330" i="12"/>
  <c r="V330" i="12"/>
  <c r="U330" i="12"/>
  <c r="T330" i="12"/>
  <c r="S330" i="12"/>
  <c r="R330" i="12"/>
  <c r="Q330" i="12"/>
  <c r="P330" i="12"/>
  <c r="O330" i="12"/>
  <c r="N330" i="12"/>
  <c r="M330" i="12"/>
  <c r="L330" i="12"/>
  <c r="K330" i="12"/>
  <c r="J330" i="12"/>
  <c r="I330" i="12"/>
  <c r="H330" i="12"/>
  <c r="G330" i="12"/>
  <c r="F330" i="12"/>
  <c r="E330" i="12"/>
  <c r="D329" i="12"/>
  <c r="B329" i="12"/>
  <c r="B328" i="12"/>
  <c r="D327" i="12"/>
  <c r="B327" i="12"/>
  <c r="D326" i="12"/>
  <c r="B326" i="12"/>
  <c r="D325" i="12"/>
  <c r="B325" i="12"/>
  <c r="D324" i="12"/>
  <c r="B324" i="12"/>
  <c r="D323" i="12"/>
  <c r="B323" i="12"/>
  <c r="D322" i="12"/>
  <c r="B322" i="12"/>
  <c r="D321" i="12"/>
  <c r="B321" i="12"/>
  <c r="D320" i="12"/>
  <c r="B320" i="12"/>
  <c r="D319" i="12"/>
  <c r="B319" i="12"/>
  <c r="D318" i="12"/>
  <c r="B318" i="12"/>
  <c r="D317" i="12"/>
  <c r="B317" i="12"/>
  <c r="D316" i="12"/>
  <c r="B316" i="12"/>
  <c r="D315" i="12"/>
  <c r="B315" i="12"/>
  <c r="D314" i="12"/>
  <c r="B314" i="12"/>
  <c r="D313" i="12"/>
  <c r="B313" i="12"/>
  <c r="D312" i="12"/>
  <c r="B312" i="12"/>
  <c r="D311" i="12"/>
  <c r="B311" i="12"/>
  <c r="D310" i="12"/>
  <c r="B310" i="12"/>
  <c r="D309" i="12"/>
  <c r="B309" i="12"/>
  <c r="D308" i="12"/>
  <c r="B308" i="12"/>
  <c r="D307" i="12"/>
  <c r="B307" i="12"/>
  <c r="D306" i="12"/>
  <c r="B306" i="12"/>
  <c r="D305" i="12"/>
  <c r="B305" i="12"/>
  <c r="D304" i="12"/>
  <c r="B304" i="12"/>
  <c r="D303" i="12"/>
  <c r="B303" i="12"/>
  <c r="D302" i="12"/>
  <c r="B302" i="12"/>
  <c r="D301" i="12"/>
  <c r="B301" i="12"/>
  <c r="D300" i="12"/>
  <c r="B300" i="12"/>
  <c r="D299" i="12"/>
  <c r="B299" i="12"/>
  <c r="D298" i="12"/>
  <c r="B298" i="12"/>
  <c r="D297" i="12"/>
  <c r="B297" i="12"/>
  <c r="D296" i="12"/>
  <c r="B296" i="12"/>
  <c r="D295" i="12"/>
  <c r="B295" i="12"/>
  <c r="D294" i="12"/>
  <c r="B294" i="12"/>
  <c r="D293" i="12"/>
  <c r="B293" i="12"/>
  <c r="D292" i="12"/>
  <c r="B292" i="12"/>
  <c r="D291" i="12"/>
  <c r="B291" i="12"/>
  <c r="D290" i="12"/>
  <c r="B290" i="12"/>
  <c r="D289" i="12"/>
  <c r="B289" i="12"/>
  <c r="D288" i="12"/>
  <c r="B288" i="12"/>
  <c r="D287" i="12"/>
  <c r="B287" i="12"/>
  <c r="D286" i="12"/>
  <c r="B286" i="12"/>
  <c r="D285" i="12"/>
  <c r="B285" i="12"/>
  <c r="D284" i="12"/>
  <c r="B284" i="12"/>
  <c r="D283" i="12"/>
  <c r="B283" i="12"/>
  <c r="D282" i="12"/>
  <c r="B282" i="12"/>
  <c r="D281" i="12"/>
  <c r="B281" i="12"/>
  <c r="D280" i="12"/>
  <c r="B280" i="12"/>
  <c r="D279" i="12"/>
  <c r="B279" i="12"/>
  <c r="D278" i="12"/>
  <c r="B278" i="12"/>
  <c r="D277" i="12"/>
  <c r="B277" i="12"/>
  <c r="D276" i="12"/>
  <c r="B276" i="12"/>
  <c r="D275" i="12"/>
  <c r="B275" i="12"/>
  <c r="D274" i="12"/>
  <c r="B274" i="12"/>
  <c r="D273" i="12"/>
  <c r="B273" i="12"/>
  <c r="D272" i="12"/>
  <c r="B272" i="12"/>
  <c r="D271" i="12"/>
  <c r="B271" i="12"/>
  <c r="D270" i="12"/>
  <c r="B270" i="12"/>
  <c r="D269" i="12"/>
  <c r="B269" i="12"/>
  <c r="D268" i="12"/>
  <c r="B268" i="12"/>
  <c r="D267" i="12"/>
  <c r="B267" i="12"/>
  <c r="D266" i="12"/>
  <c r="B266" i="12"/>
  <c r="D265" i="12"/>
  <c r="B265" i="12"/>
  <c r="D264" i="12"/>
  <c r="B264" i="12"/>
  <c r="D263" i="12"/>
  <c r="B263" i="12"/>
  <c r="D262" i="12"/>
  <c r="B262" i="12"/>
  <c r="D261" i="12"/>
  <c r="B261" i="12"/>
  <c r="D260" i="12"/>
  <c r="B260" i="12"/>
  <c r="D259" i="12"/>
  <c r="B259" i="12"/>
  <c r="D258" i="12"/>
  <c r="B258" i="12"/>
  <c r="D257" i="12"/>
  <c r="B257" i="12"/>
  <c r="D256" i="12"/>
  <c r="B256" i="12"/>
  <c r="D255" i="12"/>
  <c r="B255" i="12"/>
  <c r="D254" i="12"/>
  <c r="B254" i="12"/>
  <c r="D253" i="12"/>
  <c r="B253" i="12"/>
  <c r="D252" i="12"/>
  <c r="B252" i="12"/>
  <c r="D251" i="12"/>
  <c r="B251" i="12"/>
  <c r="D250" i="12"/>
  <c r="B250" i="12"/>
  <c r="D249" i="12"/>
  <c r="B249" i="12"/>
  <c r="D248" i="12"/>
  <c r="B248" i="12"/>
  <c r="D247" i="12"/>
  <c r="B247" i="12"/>
  <c r="D246" i="12"/>
  <c r="B246" i="12"/>
  <c r="D245" i="12"/>
  <c r="B245" i="12"/>
  <c r="D244" i="12"/>
  <c r="B244" i="12"/>
  <c r="D243" i="12"/>
  <c r="B243" i="12"/>
  <c r="D242" i="12"/>
  <c r="B242" i="12"/>
  <c r="O241" i="12"/>
  <c r="D241" i="12"/>
  <c r="B241" i="12"/>
  <c r="L240" i="12"/>
  <c r="D240" i="12" s="1"/>
  <c r="B240" i="12"/>
  <c r="M239" i="12"/>
  <c r="D239" i="12"/>
  <c r="B239" i="12"/>
  <c r="D238" i="12"/>
  <c r="B238" i="12"/>
  <c r="M237" i="12"/>
  <c r="D237" i="12" s="1"/>
  <c r="B237" i="12"/>
  <c r="D236" i="12"/>
  <c r="B236" i="12"/>
  <c r="D235" i="12"/>
  <c r="B235" i="12"/>
  <c r="M234" i="12"/>
  <c r="D234" i="12"/>
  <c r="B234" i="12"/>
  <c r="D233" i="12"/>
  <c r="B233" i="12"/>
  <c r="L232" i="12"/>
  <c r="D232" i="12" s="1"/>
  <c r="B232" i="12"/>
  <c r="D231" i="12"/>
  <c r="B231" i="12"/>
  <c r="M230" i="12"/>
  <c r="D230" i="12"/>
  <c r="B230" i="12"/>
  <c r="D229" i="12"/>
  <c r="B229" i="12"/>
  <c r="L228" i="12"/>
  <c r="D228" i="12" s="1"/>
  <c r="B228" i="12"/>
  <c r="D227" i="12"/>
  <c r="B227" i="12"/>
  <c r="D226" i="12"/>
  <c r="B226" i="12"/>
  <c r="D225" i="12"/>
  <c r="B225" i="12"/>
  <c r="L224" i="12"/>
  <c r="D224" i="12"/>
  <c r="B224" i="12"/>
  <c r="D223" i="12"/>
  <c r="B223" i="12"/>
  <c r="D222" i="12"/>
  <c r="B222" i="12"/>
  <c r="M221" i="12"/>
  <c r="D221" i="12" s="1"/>
  <c r="B221" i="12"/>
  <c r="AA220" i="12"/>
  <c r="Z220" i="12"/>
  <c r="Y220" i="12"/>
  <c r="X220" i="12"/>
  <c r="W220" i="12"/>
  <c r="V220" i="12"/>
  <c r="U220" i="12"/>
  <c r="T220" i="12"/>
  <c r="T7" i="12" s="1"/>
  <c r="S220" i="12"/>
  <c r="R220" i="12"/>
  <c r="Q220" i="12"/>
  <c r="P220" i="12"/>
  <c r="O220" i="12"/>
  <c r="N220" i="12"/>
  <c r="K220" i="12"/>
  <c r="J220" i="12"/>
  <c r="I220" i="12"/>
  <c r="H220" i="12"/>
  <c r="G220" i="12"/>
  <c r="F220" i="12"/>
  <c r="E220" i="12"/>
  <c r="D219" i="12"/>
  <c r="B219" i="12"/>
  <c r="D218" i="12"/>
  <c r="B218" i="12"/>
  <c r="D217" i="12"/>
  <c r="B217" i="12"/>
  <c r="D216" i="12"/>
  <c r="B216" i="12"/>
  <c r="D215" i="12"/>
  <c r="B215" i="12"/>
  <c r="D214" i="12"/>
  <c r="B214" i="12"/>
  <c r="D213" i="12"/>
  <c r="B213" i="12"/>
  <c r="D212" i="12"/>
  <c r="B212" i="12"/>
  <c r="D211" i="12"/>
  <c r="B211" i="12"/>
  <c r="D210" i="12"/>
  <c r="B210" i="12"/>
  <c r="D209" i="12"/>
  <c r="B209" i="12"/>
  <c r="B208" i="12"/>
  <c r="B207" i="12"/>
  <c r="B206" i="12"/>
  <c r="B205" i="12"/>
  <c r="B204" i="12"/>
  <c r="D203" i="12"/>
  <c r="B203" i="12"/>
  <c r="D202" i="12"/>
  <c r="B202" i="12"/>
  <c r="D201" i="12"/>
  <c r="B201" i="12"/>
  <c r="AA200" i="12"/>
  <c r="Z200" i="12"/>
  <c r="Y200" i="12"/>
  <c r="X200" i="12"/>
  <c r="W200" i="12"/>
  <c r="V200" i="12"/>
  <c r="U200" i="12"/>
  <c r="T200" i="12"/>
  <c r="S200" i="12"/>
  <c r="R200" i="12"/>
  <c r="Q200" i="12"/>
  <c r="P200" i="12"/>
  <c r="O200" i="12"/>
  <c r="N200" i="12"/>
  <c r="M200" i="12"/>
  <c r="L200" i="12"/>
  <c r="K200" i="12"/>
  <c r="J200" i="12"/>
  <c r="I200" i="12"/>
  <c r="H200" i="12"/>
  <c r="G200" i="12"/>
  <c r="F200" i="12"/>
  <c r="E200" i="12"/>
  <c r="D199" i="12"/>
  <c r="B199" i="12"/>
  <c r="D198" i="12"/>
  <c r="B198" i="12"/>
  <c r="D197" i="12"/>
  <c r="B197" i="12"/>
  <c r="D196" i="12"/>
  <c r="B196" i="12"/>
  <c r="D195" i="12"/>
  <c r="B195" i="12"/>
  <c r="D194" i="12"/>
  <c r="B194" i="12"/>
  <c r="D193" i="12"/>
  <c r="B193" i="12"/>
  <c r="D192" i="12"/>
  <c r="B192" i="12"/>
  <c r="D191" i="12"/>
  <c r="B191" i="12"/>
  <c r="D190" i="12"/>
  <c r="B190" i="12"/>
  <c r="D189" i="12"/>
  <c r="B189" i="12"/>
  <c r="D188" i="12"/>
  <c r="B188" i="12"/>
  <c r="D187" i="12"/>
  <c r="B187" i="12"/>
  <c r="D186" i="12"/>
  <c r="B186" i="12"/>
  <c r="D185" i="12"/>
  <c r="B185" i="12"/>
  <c r="D184" i="12"/>
  <c r="B184" i="12"/>
  <c r="AA183" i="12"/>
  <c r="Z183" i="12"/>
  <c r="Y183" i="12"/>
  <c r="X183" i="12"/>
  <c r="W183" i="12"/>
  <c r="V183" i="12"/>
  <c r="U183" i="12"/>
  <c r="T183" i="12"/>
  <c r="S183" i="12"/>
  <c r="R183" i="12"/>
  <c r="Q183" i="12"/>
  <c r="P183" i="12"/>
  <c r="O183" i="12"/>
  <c r="N183" i="12"/>
  <c r="M183" i="12"/>
  <c r="L183" i="12"/>
  <c r="K183" i="12"/>
  <c r="J183" i="12"/>
  <c r="I183" i="12"/>
  <c r="H183" i="12"/>
  <c r="G183" i="12"/>
  <c r="F183" i="12"/>
  <c r="E183" i="12"/>
  <c r="B182" i="12"/>
  <c r="D181" i="12"/>
  <c r="B181" i="12"/>
  <c r="D180" i="12"/>
  <c r="B180" i="12"/>
  <c r="D179" i="12"/>
  <c r="B179" i="12"/>
  <c r="D178" i="12"/>
  <c r="B178" i="12"/>
  <c r="D177" i="12"/>
  <c r="B177" i="12"/>
  <c r="D176" i="12"/>
  <c r="B176" i="12"/>
  <c r="D175" i="12"/>
  <c r="B175" i="12"/>
  <c r="D174" i="12"/>
  <c r="B174" i="12"/>
  <c r="D173" i="12"/>
  <c r="B173" i="12"/>
  <c r="D172" i="12"/>
  <c r="B172" i="12"/>
  <c r="D171" i="12"/>
  <c r="B171" i="12"/>
  <c r="D170" i="12"/>
  <c r="B170" i="12"/>
  <c r="D169" i="12"/>
  <c r="B169" i="12"/>
  <c r="D168" i="12"/>
  <c r="B168" i="12"/>
  <c r="D167" i="12"/>
  <c r="B167" i="12"/>
  <c r="D166" i="12"/>
  <c r="B166" i="12"/>
  <c r="D165" i="12"/>
  <c r="B165" i="12"/>
  <c r="D164" i="12"/>
  <c r="B164" i="12"/>
  <c r="D163" i="12"/>
  <c r="B163" i="12"/>
  <c r="D162" i="12"/>
  <c r="B162" i="12"/>
  <c r="D161" i="12"/>
  <c r="B161" i="12"/>
  <c r="D160" i="12"/>
  <c r="B160" i="12"/>
  <c r="D159" i="12"/>
  <c r="B159" i="12"/>
  <c r="D158" i="12"/>
  <c r="B158" i="12"/>
  <c r="D157" i="12"/>
  <c r="B157" i="12"/>
  <c r="D156" i="12"/>
  <c r="B156" i="12"/>
  <c r="D155" i="12"/>
  <c r="B155" i="12"/>
  <c r="D154" i="12"/>
  <c r="B154" i="12"/>
  <c r="D153" i="12"/>
  <c r="B153" i="12"/>
  <c r="D152" i="12"/>
  <c r="B152" i="12"/>
  <c r="D151" i="12"/>
  <c r="B151" i="12"/>
  <c r="D150" i="12"/>
  <c r="B150" i="12"/>
  <c r="D149" i="12"/>
  <c r="B149" i="12"/>
  <c r="D148" i="12"/>
  <c r="B148" i="12"/>
  <c r="D147" i="12"/>
  <c r="B147" i="12"/>
  <c r="D146" i="12"/>
  <c r="B146" i="12"/>
  <c r="D145" i="12"/>
  <c r="B145" i="12"/>
  <c r="D144" i="12"/>
  <c r="B144" i="12"/>
  <c r="D143" i="12"/>
  <c r="B143" i="12"/>
  <c r="D142" i="12"/>
  <c r="B142" i="12"/>
  <c r="D141" i="12"/>
  <c r="B141" i="12"/>
  <c r="D140" i="12"/>
  <c r="B140" i="12"/>
  <c r="D139" i="12"/>
  <c r="B139" i="12"/>
  <c r="D138" i="12"/>
  <c r="B138" i="12"/>
  <c r="D137" i="12"/>
  <c r="B137" i="12"/>
  <c r="D136" i="12"/>
  <c r="B136" i="12"/>
  <c r="D135" i="12"/>
  <c r="B135" i="12"/>
  <c r="D134" i="12"/>
  <c r="B134" i="12"/>
  <c r="D133" i="12"/>
  <c r="B133" i="12"/>
  <c r="D132" i="12"/>
  <c r="B132" i="12"/>
  <c r="D131" i="12"/>
  <c r="B131" i="12"/>
  <c r="D130" i="12"/>
  <c r="B130" i="12"/>
  <c r="D129" i="12"/>
  <c r="B129" i="12"/>
  <c r="D128" i="12"/>
  <c r="B128" i="12"/>
  <c r="D127" i="12"/>
  <c r="B127" i="12"/>
  <c r="D126" i="12"/>
  <c r="B126" i="12"/>
  <c r="D125" i="12"/>
  <c r="B125" i="12"/>
  <c r="D124" i="12"/>
  <c r="B124" i="12"/>
  <c r="D123" i="12"/>
  <c r="B123" i="12"/>
  <c r="D122" i="12"/>
  <c r="B122" i="12"/>
  <c r="D121" i="12"/>
  <c r="B121" i="12"/>
  <c r="D120" i="12"/>
  <c r="B120" i="12"/>
  <c r="D119" i="12"/>
  <c r="B119" i="12"/>
  <c r="D118" i="12"/>
  <c r="B118" i="12"/>
  <c r="D117" i="12"/>
  <c r="B117" i="12"/>
  <c r="D116" i="12"/>
  <c r="B116" i="12"/>
  <c r="D115" i="12"/>
  <c r="B115" i="12"/>
  <c r="D114" i="12"/>
  <c r="B114" i="12"/>
  <c r="D113" i="12"/>
  <c r="B113" i="12"/>
  <c r="D112" i="12"/>
  <c r="B112" i="12"/>
  <c r="D111" i="12"/>
  <c r="B111" i="12"/>
  <c r="D110" i="12"/>
  <c r="B110" i="12"/>
  <c r="D109" i="12"/>
  <c r="B109" i="12"/>
  <c r="D108" i="12"/>
  <c r="B108" i="12"/>
  <c r="D107" i="12"/>
  <c r="B107" i="12"/>
  <c r="D106" i="12"/>
  <c r="B106" i="12"/>
  <c r="D105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D74" i="12"/>
  <c r="B74" i="12"/>
  <c r="D73" i="12"/>
  <c r="B73" i="12"/>
  <c r="D72" i="12"/>
  <c r="B72" i="12"/>
  <c r="D71" i="12"/>
  <c r="B71" i="12"/>
  <c r="D70" i="12"/>
  <c r="B70" i="12"/>
  <c r="D69" i="12"/>
  <c r="B69" i="12"/>
  <c r="D68" i="12"/>
  <c r="B68" i="12"/>
  <c r="O67" i="12"/>
  <c r="D67" i="12"/>
  <c r="B67" i="12"/>
  <c r="D66" i="12"/>
  <c r="B66" i="12"/>
  <c r="D65" i="12"/>
  <c r="B65" i="12"/>
  <c r="D64" i="12"/>
  <c r="B64" i="12"/>
  <c r="D63" i="12"/>
  <c r="B63" i="12"/>
  <c r="D62" i="12"/>
  <c r="B62" i="12"/>
  <c r="D61" i="12"/>
  <c r="B61" i="12"/>
  <c r="D60" i="12"/>
  <c r="B60" i="12"/>
  <c r="D59" i="12"/>
  <c r="B59" i="12"/>
  <c r="D58" i="12"/>
  <c r="B58" i="12"/>
  <c r="D57" i="12"/>
  <c r="B57" i="12"/>
  <c r="D56" i="12"/>
  <c r="B56" i="12"/>
  <c r="D55" i="12"/>
  <c r="B55" i="12"/>
  <c r="D54" i="12"/>
  <c r="B54" i="12"/>
  <c r="D53" i="12"/>
  <c r="B53" i="12"/>
  <c r="D52" i="12"/>
  <c r="B52" i="12"/>
  <c r="D51" i="12"/>
  <c r="B51" i="12"/>
  <c r="D50" i="12"/>
  <c r="B50" i="12"/>
  <c r="D49" i="12"/>
  <c r="B49" i="12"/>
  <c r="D48" i="12"/>
  <c r="B48" i="12"/>
  <c r="D47" i="12"/>
  <c r="B47" i="12"/>
  <c r="D46" i="12"/>
  <c r="B46" i="12"/>
  <c r="D45" i="12"/>
  <c r="B45" i="12"/>
  <c r="D44" i="12"/>
  <c r="B44" i="12"/>
  <c r="D43" i="12"/>
  <c r="B43" i="12"/>
  <c r="D42" i="12"/>
  <c r="B42" i="12"/>
  <c r="D41" i="12"/>
  <c r="B41" i="12"/>
  <c r="D40" i="12"/>
  <c r="B40" i="12"/>
  <c r="N39" i="12"/>
  <c r="N8" i="12" s="1"/>
  <c r="M39" i="12"/>
  <c r="G39" i="12"/>
  <c r="D39" i="12" s="1"/>
  <c r="B39" i="12"/>
  <c r="D38" i="12"/>
  <c r="B38" i="12"/>
  <c r="D37" i="12"/>
  <c r="B37" i="12"/>
  <c r="D36" i="12"/>
  <c r="B36" i="12"/>
  <c r="D35" i="12"/>
  <c r="B35" i="12"/>
  <c r="D34" i="12"/>
  <c r="B34" i="12"/>
  <c r="D33" i="12"/>
  <c r="B33" i="12"/>
  <c r="E32" i="12"/>
  <c r="D32" i="12"/>
  <c r="B32" i="12"/>
  <c r="D31" i="12"/>
  <c r="B31" i="12"/>
  <c r="D30" i="12"/>
  <c r="B30" i="12"/>
  <c r="D29" i="12"/>
  <c r="B29" i="12"/>
  <c r="D28" i="12"/>
  <c r="B28" i="12"/>
  <c r="D27" i="12"/>
  <c r="B27" i="12"/>
  <c r="L26" i="12"/>
  <c r="D26" i="12" s="1"/>
  <c r="B26" i="12"/>
  <c r="G25" i="12"/>
  <c r="D25" i="12"/>
  <c r="B25" i="12"/>
  <c r="L24" i="12"/>
  <c r="D24" i="12" s="1"/>
  <c r="B24" i="12"/>
  <c r="D23" i="12"/>
  <c r="B23" i="12"/>
  <c r="L22" i="12"/>
  <c r="D22" i="12"/>
  <c r="B22" i="12"/>
  <c r="D21" i="12"/>
  <c r="B21" i="12"/>
  <c r="L20" i="12"/>
  <c r="D20" i="12" s="1"/>
  <c r="B20" i="12"/>
  <c r="D19" i="12"/>
  <c r="B19" i="12"/>
  <c r="G18" i="12"/>
  <c r="G8" i="12" s="1"/>
  <c r="D18" i="12"/>
  <c r="B18" i="12"/>
  <c r="O17" i="12"/>
  <c r="D17" i="12" s="1"/>
  <c r="B17" i="12"/>
  <c r="D16" i="12"/>
  <c r="B16" i="12"/>
  <c r="D15" i="12"/>
  <c r="B15" i="12"/>
  <c r="M14" i="12"/>
  <c r="D14" i="12"/>
  <c r="B14" i="12"/>
  <c r="I13" i="12"/>
  <c r="D13" i="12" s="1"/>
  <c r="B13" i="12"/>
  <c r="D12" i="12"/>
  <c r="B12" i="12"/>
  <c r="O11" i="12"/>
  <c r="D11" i="12"/>
  <c r="B11" i="12"/>
  <c r="O10" i="12"/>
  <c r="D10" i="12" s="1"/>
  <c r="B10" i="12"/>
  <c r="D9" i="12"/>
  <c r="B9" i="12"/>
  <c r="AA8" i="12"/>
  <c r="Z8" i="12"/>
  <c r="Y8" i="12"/>
  <c r="X8" i="12"/>
  <c r="W8" i="12"/>
  <c r="V8" i="12"/>
  <c r="U8" i="12"/>
  <c r="T8" i="12"/>
  <c r="S8" i="12"/>
  <c r="R8" i="12"/>
  <c r="Q8" i="12"/>
  <c r="P8" i="12"/>
  <c r="M8" i="12"/>
  <c r="L8" i="12"/>
  <c r="K8" i="12"/>
  <c r="J8" i="12"/>
  <c r="H8" i="12"/>
  <c r="F8" i="12"/>
  <c r="E8" i="12"/>
  <c r="X7" i="12" l="1"/>
  <c r="D486" i="12"/>
  <c r="H7" i="12"/>
  <c r="P7" i="12"/>
  <c r="D330" i="12"/>
  <c r="D425" i="12"/>
  <c r="D451" i="12"/>
  <c r="D479" i="12"/>
  <c r="D422" i="12"/>
  <c r="D462" i="12"/>
  <c r="S7" i="12"/>
  <c r="V7" i="12"/>
  <c r="Z7" i="12"/>
  <c r="K7" i="12"/>
  <c r="W7" i="12"/>
  <c r="AA7" i="12"/>
  <c r="R7" i="12"/>
  <c r="N7" i="12"/>
  <c r="D200" i="12"/>
  <c r="D339" i="12"/>
  <c r="G7" i="12"/>
  <c r="E7" i="12"/>
  <c r="Q7" i="12"/>
  <c r="U7" i="12"/>
  <c r="Y7" i="12"/>
  <c r="D183" i="12"/>
  <c r="F7" i="12"/>
  <c r="J7" i="12"/>
  <c r="D372" i="12"/>
  <c r="D8" i="12"/>
  <c r="D220" i="12"/>
  <c r="I8" i="12"/>
  <c r="I7" i="12" s="1"/>
  <c r="L220" i="12"/>
  <c r="L7" i="12" s="1"/>
  <c r="O8" i="12"/>
  <c r="O7" i="12" s="1"/>
  <c r="M220" i="12"/>
  <c r="M7" i="12" s="1"/>
  <c r="N770" i="7"/>
  <c r="N769" i="7"/>
  <c r="N768" i="7"/>
  <c r="N866" i="7"/>
  <c r="R869" i="7"/>
  <c r="L238" i="7"/>
  <c r="D238" i="7" s="1"/>
  <c r="D7" i="12" l="1"/>
  <c r="R822" i="7"/>
  <c r="N814" i="7"/>
  <c r="AC814" i="7" s="1"/>
  <c r="D814" i="7" s="1"/>
  <c r="R969" i="7"/>
  <c r="N959" i="7"/>
  <c r="AC876" i="7"/>
  <c r="D876" i="7" s="1"/>
  <c r="R874" i="7"/>
  <c r="AE874" i="7"/>
  <c r="AD874" i="7"/>
  <c r="AB874" i="7"/>
  <c r="AA874" i="7"/>
  <c r="Z874" i="7"/>
  <c r="Y874" i="7"/>
  <c r="X874" i="7"/>
  <c r="W874" i="7"/>
  <c r="V874" i="7"/>
  <c r="U874" i="7"/>
  <c r="T874" i="7"/>
  <c r="S874" i="7"/>
  <c r="Q874" i="7"/>
  <c r="P874" i="7"/>
  <c r="O874" i="7"/>
  <c r="N874" i="7"/>
  <c r="M874" i="7"/>
  <c r="L874" i="7"/>
  <c r="K874" i="7"/>
  <c r="J874" i="7"/>
  <c r="I874" i="7"/>
  <c r="H874" i="7"/>
  <c r="G874" i="7"/>
  <c r="F874" i="7"/>
  <c r="E874" i="7"/>
  <c r="N942" i="7"/>
  <c r="N949" i="7"/>
  <c r="AC949" i="7" s="1"/>
  <c r="D949" i="7" s="1"/>
  <c r="U952" i="7"/>
  <c r="AC952" i="7" s="1"/>
  <c r="D952" i="7" s="1"/>
  <c r="AE1242" i="7"/>
  <c r="AD1242" i="7"/>
  <c r="AB1242" i="7"/>
  <c r="AA1242" i="7"/>
  <c r="Z1242" i="7"/>
  <c r="Y1242" i="7"/>
  <c r="X1242" i="7"/>
  <c r="W1242" i="7"/>
  <c r="V1242" i="7"/>
  <c r="U1242" i="7"/>
  <c r="T1242" i="7"/>
  <c r="S1242" i="7"/>
  <c r="R1242" i="7"/>
  <c r="Q1242" i="7"/>
  <c r="P1242" i="7"/>
  <c r="O1242" i="7"/>
  <c r="N1242" i="7"/>
  <c r="M1242" i="7"/>
  <c r="L1242" i="7"/>
  <c r="K1242" i="7"/>
  <c r="J1242" i="7"/>
  <c r="I1242" i="7"/>
  <c r="H1242" i="7"/>
  <c r="G1242" i="7"/>
  <c r="F1242" i="7"/>
  <c r="E1242" i="7"/>
  <c r="N971" i="7"/>
  <c r="T815" i="7"/>
  <c r="AC815" i="7" s="1"/>
  <c r="N964" i="7"/>
  <c r="AC964" i="7" s="1"/>
  <c r="D964" i="7" s="1"/>
  <c r="N963" i="7"/>
  <c r="AC849" i="7"/>
  <c r="AC848" i="7"/>
  <c r="D848" i="7" s="1"/>
  <c r="AC785" i="7"/>
  <c r="D785" i="7" s="1"/>
  <c r="AC784" i="7"/>
  <c r="D784" i="7" s="1"/>
  <c r="AC1140" i="7"/>
  <c r="D1140" i="7" s="1"/>
  <c r="AC1139" i="7"/>
  <c r="D1139" i="7" s="1"/>
  <c r="AC1244" i="7"/>
  <c r="D1244" i="7" s="1"/>
  <c r="AC744" i="7"/>
  <c r="D744" i="7" s="1"/>
  <c r="D1160" i="7"/>
  <c r="D1114" i="7"/>
  <c r="D1109" i="7"/>
  <c r="D1097" i="7"/>
  <c r="D1067" i="7"/>
  <c r="D1066" i="7"/>
  <c r="D1065" i="7"/>
  <c r="D1064" i="7"/>
  <c r="D1063" i="7"/>
  <c r="D1062" i="7"/>
  <c r="D1061" i="7"/>
  <c r="D1060" i="7"/>
  <c r="D1059" i="7"/>
  <c r="D1058" i="7"/>
  <c r="D1057" i="7"/>
  <c r="D1056" i="7"/>
  <c r="D1055" i="7"/>
  <c r="D1054" i="7"/>
  <c r="D1053" i="7"/>
  <c r="D1052" i="7"/>
  <c r="D1051" i="7"/>
  <c r="D1050" i="7"/>
  <c r="D1049" i="7"/>
  <c r="D1048" i="7"/>
  <c r="D1047" i="7"/>
  <c r="D1046" i="7"/>
  <c r="D1045" i="7"/>
  <c r="D1044" i="7"/>
  <c r="D1043" i="7"/>
  <c r="D1042" i="7"/>
  <c r="D1041" i="7"/>
  <c r="D1040" i="7"/>
  <c r="D1039" i="7"/>
  <c r="D1038" i="7"/>
  <c r="D1037" i="7"/>
  <c r="D1036" i="7"/>
  <c r="D1035" i="7"/>
  <c r="D1034" i="7"/>
  <c r="D1033" i="7"/>
  <c r="D1032" i="7"/>
  <c r="D1031" i="7"/>
  <c r="D1030" i="7"/>
  <c r="D1029" i="7"/>
  <c r="D1028" i="7"/>
  <c r="D1027" i="7"/>
  <c r="D1026" i="7"/>
  <c r="D1025" i="7"/>
  <c r="D1024" i="7"/>
  <c r="D1023" i="7"/>
  <c r="D1022" i="7"/>
  <c r="D1021" i="7"/>
  <c r="D1020" i="7"/>
  <c r="D1019" i="7"/>
  <c r="D1018" i="7"/>
  <c r="D1017" i="7"/>
  <c r="D1016" i="7"/>
  <c r="D1015" i="7"/>
  <c r="D1014" i="7"/>
  <c r="D1013" i="7"/>
  <c r="D1012" i="7"/>
  <c r="D1011" i="7"/>
  <c r="D1010" i="7"/>
  <c r="D1009" i="7"/>
  <c r="D1008" i="7"/>
  <c r="D1007" i="7"/>
  <c r="AE1162" i="7"/>
  <c r="AD1162" i="7"/>
  <c r="AB1162" i="7"/>
  <c r="AA1162" i="7"/>
  <c r="Z1162" i="7"/>
  <c r="Y1162" i="7"/>
  <c r="X1162" i="7"/>
  <c r="W1162" i="7"/>
  <c r="V1162" i="7"/>
  <c r="U1162" i="7"/>
  <c r="T1162" i="7"/>
  <c r="S1162" i="7"/>
  <c r="R1162" i="7"/>
  <c r="Q1162" i="7"/>
  <c r="P1162" i="7"/>
  <c r="O1162" i="7"/>
  <c r="N1162" i="7"/>
  <c r="M1162" i="7"/>
  <c r="L1162" i="7"/>
  <c r="K1162" i="7"/>
  <c r="J1162" i="7"/>
  <c r="I1162" i="7"/>
  <c r="H1162" i="7"/>
  <c r="G1162" i="7"/>
  <c r="F1162" i="7"/>
  <c r="E1162" i="7"/>
  <c r="CD964" i="7"/>
  <c r="AC965" i="7"/>
  <c r="D965" i="7" s="1"/>
  <c r="CD958" i="7"/>
  <c r="AC958" i="7"/>
  <c r="D958" i="7" s="1"/>
  <c r="AC959" i="7"/>
  <c r="D959" i="7" s="1"/>
  <c r="N929" i="7"/>
  <c r="N928" i="7"/>
  <c r="N917" i="7"/>
  <c r="N906" i="7"/>
  <c r="CD887" i="7"/>
  <c r="N887" i="7"/>
  <c r="AC887" i="7" s="1"/>
  <c r="D887" i="7" s="1"/>
  <c r="AC888" i="7"/>
  <c r="D888" i="7" s="1"/>
  <c r="AC866" i="7"/>
  <c r="D866" i="7" s="1"/>
  <c r="D743" i="7"/>
  <c r="AC1161" i="7"/>
  <c r="D1161" i="7" s="1"/>
  <c r="AE1137" i="7"/>
  <c r="AD1137" i="7"/>
  <c r="AB1137" i="7"/>
  <c r="AA1137" i="7"/>
  <c r="Z1137" i="7"/>
  <c r="Y1137" i="7"/>
  <c r="X1137" i="7"/>
  <c r="W1137" i="7"/>
  <c r="V1137" i="7"/>
  <c r="U1137" i="7"/>
  <c r="T1137" i="7"/>
  <c r="S1137" i="7"/>
  <c r="R1137" i="7"/>
  <c r="Q1137" i="7"/>
  <c r="P1137" i="7"/>
  <c r="O1137" i="7"/>
  <c r="N1137" i="7"/>
  <c r="M1137" i="7"/>
  <c r="L1137" i="7"/>
  <c r="K1137" i="7"/>
  <c r="J1137" i="7"/>
  <c r="I1137" i="7"/>
  <c r="H1137" i="7"/>
  <c r="G1137" i="7"/>
  <c r="F1137" i="7"/>
  <c r="E1137" i="7"/>
  <c r="AC783" i="7"/>
  <c r="D783" i="7" s="1"/>
  <c r="CD452" i="7"/>
  <c r="AC452" i="7"/>
  <c r="D452" i="7" s="1"/>
  <c r="AC454" i="7"/>
  <c r="D454" i="7" s="1"/>
  <c r="AC453" i="7"/>
  <c r="D453" i="7" s="1"/>
  <c r="N930" i="7"/>
  <c r="AE414" i="7"/>
  <c r="AD414" i="7"/>
  <c r="AB414" i="7"/>
  <c r="AA414" i="7"/>
  <c r="Z414" i="7"/>
  <c r="Y414" i="7"/>
  <c r="X414" i="7"/>
  <c r="W414" i="7"/>
  <c r="V414" i="7"/>
  <c r="U414" i="7"/>
  <c r="T414" i="7"/>
  <c r="S414" i="7"/>
  <c r="R414" i="7"/>
  <c r="Q414" i="7"/>
  <c r="P414" i="7"/>
  <c r="O414" i="7"/>
  <c r="N414" i="7"/>
  <c r="M414" i="7"/>
  <c r="L414" i="7"/>
  <c r="K414" i="7"/>
  <c r="J414" i="7"/>
  <c r="I414" i="7"/>
  <c r="H414" i="7"/>
  <c r="G414" i="7"/>
  <c r="F414" i="7"/>
  <c r="E414" i="7"/>
  <c r="AC417" i="7"/>
  <c r="D417" i="7" s="1"/>
  <c r="AC416" i="7"/>
  <c r="D416" i="7" s="1"/>
  <c r="AC411" i="7"/>
  <c r="D411" i="7" s="1"/>
  <c r="AC410" i="7"/>
  <c r="D410" i="7" s="1"/>
  <c r="AC409" i="7"/>
  <c r="D409" i="7" s="1"/>
  <c r="CD408" i="7"/>
  <c r="AC408" i="7"/>
  <c r="D408" i="7" s="1"/>
  <c r="AC342" i="7"/>
  <c r="D342" i="7" s="1"/>
  <c r="AE519" i="7"/>
  <c r="AD519" i="7"/>
  <c r="AB519" i="7"/>
  <c r="AA519" i="7"/>
  <c r="Z519" i="7"/>
  <c r="Y519" i="7"/>
  <c r="X519" i="7"/>
  <c r="W519" i="7"/>
  <c r="V519" i="7"/>
  <c r="U519" i="7"/>
  <c r="T519" i="7"/>
  <c r="S519" i="7"/>
  <c r="R519" i="7"/>
  <c r="Q519" i="7"/>
  <c r="P519" i="7"/>
  <c r="O519" i="7"/>
  <c r="N519" i="7"/>
  <c r="M519" i="7"/>
  <c r="L519" i="7"/>
  <c r="K519" i="7"/>
  <c r="J519" i="7"/>
  <c r="H519" i="7"/>
  <c r="G519" i="7"/>
  <c r="F519" i="7"/>
  <c r="E519" i="7"/>
  <c r="AC521" i="7"/>
  <c r="D521" i="7" s="1"/>
  <c r="AE511" i="7"/>
  <c r="AD511" i="7"/>
  <c r="AB511" i="7"/>
  <c r="AA511" i="7"/>
  <c r="Z511" i="7"/>
  <c r="Y511" i="7"/>
  <c r="X511" i="7"/>
  <c r="W511" i="7"/>
  <c r="V511" i="7"/>
  <c r="U511" i="7"/>
  <c r="T511" i="7"/>
  <c r="S511" i="7"/>
  <c r="R511" i="7"/>
  <c r="Q511" i="7"/>
  <c r="P511" i="7"/>
  <c r="O511" i="7"/>
  <c r="N511" i="7"/>
  <c r="M511" i="7"/>
  <c r="L511" i="7"/>
  <c r="K511" i="7"/>
  <c r="J511" i="7"/>
  <c r="I511" i="7"/>
  <c r="H511" i="7"/>
  <c r="G511" i="7"/>
  <c r="F511" i="7"/>
  <c r="E511" i="7"/>
  <c r="AC513" i="7"/>
  <c r="D513" i="7" s="1"/>
  <c r="AC197" i="7"/>
  <c r="D197" i="7" s="1"/>
  <c r="AC198" i="7"/>
  <c r="D198" i="7" s="1"/>
  <c r="AC199" i="7"/>
  <c r="D199" i="7" s="1"/>
  <c r="AC200" i="7"/>
  <c r="D200" i="7" s="1"/>
  <c r="AC201" i="7"/>
  <c r="D201" i="7" s="1"/>
  <c r="AC202" i="7"/>
  <c r="D202" i="7" s="1"/>
  <c r="AC196" i="7"/>
  <c r="D196" i="7" s="1"/>
  <c r="AE553" i="7"/>
  <c r="AD553" i="7"/>
  <c r="AB553" i="7"/>
  <c r="AA553" i="7"/>
  <c r="Z553" i="7"/>
  <c r="Y553" i="7"/>
  <c r="X553" i="7"/>
  <c r="W553" i="7"/>
  <c r="V553" i="7"/>
  <c r="U553" i="7"/>
  <c r="T553" i="7"/>
  <c r="S553" i="7"/>
  <c r="R553" i="7"/>
  <c r="Q553" i="7"/>
  <c r="P553" i="7"/>
  <c r="O553" i="7"/>
  <c r="N553" i="7"/>
  <c r="M553" i="7"/>
  <c r="L553" i="7"/>
  <c r="K553" i="7"/>
  <c r="J553" i="7"/>
  <c r="I553" i="7"/>
  <c r="H553" i="7"/>
  <c r="G553" i="7"/>
  <c r="F553" i="7"/>
  <c r="E553" i="7"/>
  <c r="AC555" i="7"/>
  <c r="D555" i="7" s="1"/>
  <c r="AC943" i="7"/>
  <c r="D943" i="7" s="1"/>
  <c r="D549" i="7"/>
  <c r="D548" i="7"/>
  <c r="AC544" i="7"/>
  <c r="D544" i="7" s="1"/>
  <c r="AC543" i="7"/>
  <c r="D543" i="7" s="1"/>
  <c r="AC542" i="7"/>
  <c r="D542" i="7" s="1"/>
  <c r="N932" i="7"/>
  <c r="N894" i="7"/>
  <c r="N890" i="7"/>
  <c r="N889" i="7" s="1"/>
  <c r="N885" i="7"/>
  <c r="N883" i="7"/>
  <c r="N882" i="7"/>
  <c r="N973" i="7"/>
  <c r="N711" i="7"/>
  <c r="N705" i="7"/>
  <c r="N694" i="7"/>
  <c r="N693" i="7"/>
  <c r="N688" i="7"/>
  <c r="N687" i="7"/>
  <c r="N683" i="7"/>
  <c r="CD641" i="7"/>
  <c r="D641" i="7"/>
  <c r="L229" i="9"/>
  <c r="K229" i="9"/>
  <c r="J229" i="9"/>
  <c r="I229" i="9"/>
  <c r="P229" i="9" s="1"/>
  <c r="L213" i="9"/>
  <c r="K213" i="9"/>
  <c r="J213" i="9"/>
  <c r="I213" i="9"/>
  <c r="P213" i="9" s="1"/>
  <c r="L236" i="9"/>
  <c r="K236" i="9"/>
  <c r="J236" i="9"/>
  <c r="I236" i="9"/>
  <c r="P236" i="9" s="1"/>
  <c r="L234" i="9"/>
  <c r="K234" i="9"/>
  <c r="J234" i="9"/>
  <c r="I234" i="9"/>
  <c r="P234" i="9" s="1"/>
  <c r="L232" i="9"/>
  <c r="K232" i="9"/>
  <c r="J232" i="9"/>
  <c r="I232" i="9"/>
  <c r="P232" i="9" s="1"/>
  <c r="L227" i="9"/>
  <c r="K227" i="9"/>
  <c r="J227" i="9"/>
  <c r="I227" i="9"/>
  <c r="P227" i="9" s="1"/>
  <c r="L225" i="9"/>
  <c r="K225" i="9"/>
  <c r="J225" i="9"/>
  <c r="I225" i="9"/>
  <c r="P225" i="9" s="1"/>
  <c r="L223" i="9"/>
  <c r="K223" i="9"/>
  <c r="J223" i="9"/>
  <c r="I223" i="9"/>
  <c r="P223" i="9" s="1"/>
  <c r="L221" i="9"/>
  <c r="K221" i="9"/>
  <c r="J221" i="9"/>
  <c r="I221" i="9"/>
  <c r="P221" i="9" s="1"/>
  <c r="L219" i="9"/>
  <c r="K219" i="9"/>
  <c r="J219" i="9"/>
  <c r="I219" i="9"/>
  <c r="P219" i="9" s="1"/>
  <c r="L217" i="9"/>
  <c r="K217" i="9"/>
  <c r="J217" i="9"/>
  <c r="I217" i="9"/>
  <c r="P217" i="9" s="1"/>
  <c r="L211" i="9"/>
  <c r="K211" i="9"/>
  <c r="J211" i="9"/>
  <c r="I211" i="9"/>
  <c r="L209" i="9"/>
  <c r="K209" i="9"/>
  <c r="J209" i="9"/>
  <c r="I209" i="9"/>
  <c r="P209" i="9" s="1"/>
  <c r="L207" i="9"/>
  <c r="K207" i="9"/>
  <c r="J207" i="9"/>
  <c r="I207" i="9"/>
  <c r="P207" i="9" s="1"/>
  <c r="L200" i="9"/>
  <c r="K200" i="9"/>
  <c r="J200" i="9"/>
  <c r="I200" i="9"/>
  <c r="P200" i="9" s="1"/>
  <c r="L195" i="9"/>
  <c r="K195" i="9"/>
  <c r="J195" i="9"/>
  <c r="I195" i="9"/>
  <c r="P195" i="9" s="1"/>
  <c r="L190" i="9"/>
  <c r="K190" i="9"/>
  <c r="J190" i="9"/>
  <c r="I190" i="9"/>
  <c r="P190" i="9" s="1"/>
  <c r="L188" i="9"/>
  <c r="K188" i="9"/>
  <c r="J188" i="9"/>
  <c r="I188" i="9"/>
  <c r="P188" i="9" s="1"/>
  <c r="L182" i="9"/>
  <c r="K182" i="9"/>
  <c r="J182" i="9"/>
  <c r="I182" i="9"/>
  <c r="P182" i="9" s="1"/>
  <c r="L176" i="9"/>
  <c r="K176" i="9"/>
  <c r="J176" i="9"/>
  <c r="I176" i="9"/>
  <c r="P176" i="9" s="1"/>
  <c r="L93" i="9"/>
  <c r="J93" i="9"/>
  <c r="L86" i="9"/>
  <c r="K86" i="9"/>
  <c r="J86" i="9"/>
  <c r="L124" i="9"/>
  <c r="K124" i="9"/>
  <c r="J124" i="9"/>
  <c r="I124" i="9"/>
  <c r="P124" i="9" s="1"/>
  <c r="I93" i="9"/>
  <c r="P93" i="9" s="1"/>
  <c r="I86" i="9"/>
  <c r="P86" i="9" s="1"/>
  <c r="E10" i="10"/>
  <c r="E9" i="10" s="1"/>
  <c r="D10" i="10"/>
  <c r="C10" i="10"/>
  <c r="E29" i="10"/>
  <c r="D29" i="10"/>
  <c r="C29" i="10"/>
  <c r="P237" i="9"/>
  <c r="P235" i="9"/>
  <c r="P233" i="9"/>
  <c r="P231" i="9"/>
  <c r="P230" i="9"/>
  <c r="P228" i="9"/>
  <c r="P226" i="9"/>
  <c r="P224" i="9"/>
  <c r="P222" i="9"/>
  <c r="P220" i="9"/>
  <c r="P218" i="9"/>
  <c r="P216" i="9"/>
  <c r="P215" i="9"/>
  <c r="P214" i="9"/>
  <c r="P212" i="9"/>
  <c r="P210" i="9"/>
  <c r="P208" i="9"/>
  <c r="P206" i="9"/>
  <c r="P205" i="9"/>
  <c r="P204" i="9"/>
  <c r="P202" i="9"/>
  <c r="P201" i="9"/>
  <c r="P199" i="9"/>
  <c r="P198" i="9"/>
  <c r="P196" i="9"/>
  <c r="P194" i="9"/>
  <c r="P193" i="9"/>
  <c r="P192" i="9"/>
  <c r="P191" i="9"/>
  <c r="P189" i="9"/>
  <c r="P187" i="9"/>
  <c r="P186" i="9"/>
  <c r="P184" i="9"/>
  <c r="P183" i="9"/>
  <c r="P181" i="9"/>
  <c r="P180" i="9"/>
  <c r="P179" i="9"/>
  <c r="P178" i="9"/>
  <c r="P177" i="9"/>
  <c r="P175" i="9"/>
  <c r="P174" i="9"/>
  <c r="P173" i="9"/>
  <c r="P172" i="9"/>
  <c r="P171" i="9"/>
  <c r="P170" i="9"/>
  <c r="P169" i="9"/>
  <c r="P168" i="9"/>
  <c r="P167" i="9"/>
  <c r="P166" i="9"/>
  <c r="P165" i="9"/>
  <c r="P164" i="9"/>
  <c r="P163" i="9"/>
  <c r="P162" i="9"/>
  <c r="P161" i="9"/>
  <c r="P159" i="9"/>
  <c r="P158" i="9"/>
  <c r="P157" i="9"/>
  <c r="P156" i="9"/>
  <c r="P155" i="9"/>
  <c r="P154" i="9"/>
  <c r="P153" i="9"/>
  <c r="P152" i="9"/>
  <c r="P151" i="9"/>
  <c r="P150" i="9"/>
  <c r="P149" i="9"/>
  <c r="P148" i="9"/>
  <c r="P147" i="9"/>
  <c r="P146" i="9"/>
  <c r="P145" i="9"/>
  <c r="P144" i="9"/>
  <c r="P143" i="9"/>
  <c r="P142" i="9"/>
  <c r="P141" i="9"/>
  <c r="P140" i="9"/>
  <c r="P139" i="9"/>
  <c r="P138" i="9"/>
  <c r="P137" i="9"/>
  <c r="P136" i="9"/>
  <c r="P135" i="9"/>
  <c r="P134" i="9"/>
  <c r="P133" i="9"/>
  <c r="P132" i="9"/>
  <c r="P131" i="9"/>
  <c r="P130" i="9"/>
  <c r="P128" i="9"/>
  <c r="P127" i="9"/>
  <c r="P126" i="9"/>
  <c r="P125" i="9"/>
  <c r="P123" i="9"/>
  <c r="P122" i="9"/>
  <c r="P121" i="9"/>
  <c r="P120" i="9"/>
  <c r="P119" i="9"/>
  <c r="P118" i="9"/>
  <c r="P117" i="9"/>
  <c r="P115" i="9"/>
  <c r="P114" i="9"/>
  <c r="P113" i="9"/>
  <c r="P112" i="9"/>
  <c r="P111" i="9"/>
  <c r="P110" i="9"/>
  <c r="P109" i="9"/>
  <c r="P108" i="9"/>
  <c r="P107" i="9"/>
  <c r="P106" i="9"/>
  <c r="P105" i="9"/>
  <c r="P104" i="9"/>
  <c r="P103" i="9"/>
  <c r="P102" i="9"/>
  <c r="P101" i="9"/>
  <c r="P100" i="9"/>
  <c r="P98" i="9"/>
  <c r="P97" i="9"/>
  <c r="P96" i="9"/>
  <c r="P94" i="9"/>
  <c r="P92" i="9"/>
  <c r="P91" i="9"/>
  <c r="P90" i="9"/>
  <c r="P89" i="9"/>
  <c r="P88" i="9"/>
  <c r="P87" i="9"/>
  <c r="D9" i="10" l="1"/>
  <c r="C9" i="10"/>
  <c r="D815" i="7"/>
  <c r="AC511" i="7"/>
  <c r="B238" i="8"/>
  <c r="B236" i="8"/>
  <c r="B234" i="8"/>
  <c r="B232" i="8"/>
  <c r="B231" i="8"/>
  <c r="B229" i="8"/>
  <c r="B227" i="8"/>
  <c r="B225" i="8"/>
  <c r="B223" i="8"/>
  <c r="B221" i="8"/>
  <c r="B219" i="8"/>
  <c r="B217" i="8"/>
  <c r="B216" i="8"/>
  <c r="B215" i="8"/>
  <c r="B213" i="8"/>
  <c r="B211" i="8"/>
  <c r="B209" i="8"/>
  <c r="B207" i="8"/>
  <c r="B206" i="8"/>
  <c r="B205" i="8"/>
  <c r="B203" i="8"/>
  <c r="B202" i="8"/>
  <c r="B200" i="8"/>
  <c r="B199" i="8"/>
  <c r="B197" i="8"/>
  <c r="B195" i="8"/>
  <c r="B194" i="8"/>
  <c r="B193" i="8"/>
  <c r="B192" i="8"/>
  <c r="B190" i="8"/>
  <c r="B188" i="8"/>
  <c r="B187" i="8"/>
  <c r="B185" i="8"/>
  <c r="B184" i="8"/>
  <c r="B182" i="8"/>
  <c r="B181" i="8"/>
  <c r="B180" i="8"/>
  <c r="B179" i="8"/>
  <c r="B178" i="8"/>
  <c r="B176" i="8"/>
  <c r="B175" i="8"/>
  <c r="B174" i="8"/>
  <c r="B173" i="8"/>
  <c r="B172" i="8"/>
  <c r="B171" i="8"/>
  <c r="B170" i="8"/>
  <c r="B169" i="8"/>
  <c r="B168" i="8"/>
  <c r="B167" i="8"/>
  <c r="B166" i="8"/>
  <c r="B165" i="8"/>
  <c r="B164" i="8"/>
  <c r="B163" i="8"/>
  <c r="B162" i="8"/>
  <c r="B160" i="8"/>
  <c r="B159" i="8"/>
  <c r="B158" i="8"/>
  <c r="B157" i="8"/>
  <c r="B156" i="8"/>
  <c r="B155" i="8"/>
  <c r="B154" i="8"/>
  <c r="B153" i="8"/>
  <c r="B152" i="8"/>
  <c r="B151" i="8"/>
  <c r="B150" i="8"/>
  <c r="B149" i="8"/>
  <c r="B148" i="8"/>
  <c r="B147" i="8"/>
  <c r="B146" i="8"/>
  <c r="B145" i="8"/>
  <c r="B144" i="8"/>
  <c r="B143" i="8"/>
  <c r="B142" i="8"/>
  <c r="B141" i="8"/>
  <c r="B140" i="8"/>
  <c r="B139" i="8"/>
  <c r="B138" i="8"/>
  <c r="B137" i="8"/>
  <c r="B136" i="8"/>
  <c r="B135" i="8"/>
  <c r="B134" i="8"/>
  <c r="B133" i="8"/>
  <c r="B132" i="8"/>
  <c r="B131" i="8"/>
  <c r="B129" i="8"/>
  <c r="B128" i="8"/>
  <c r="B127" i="8"/>
  <c r="B126" i="8"/>
  <c r="B124" i="8"/>
  <c r="B123" i="8"/>
  <c r="B122" i="8"/>
  <c r="B121" i="8"/>
  <c r="B120" i="8"/>
  <c r="B119" i="8"/>
  <c r="B118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99" i="8"/>
  <c r="L70" i="9"/>
  <c r="L69" i="9" s="1"/>
  <c r="L68" i="9" s="1"/>
  <c r="K70" i="9"/>
  <c r="K68" i="9" s="1"/>
  <c r="J70" i="9"/>
  <c r="J68" i="9" s="1"/>
  <c r="I70" i="9"/>
  <c r="B79" i="9"/>
  <c r="K79" i="9"/>
  <c r="K78" i="9" s="1"/>
  <c r="L78" i="9"/>
  <c r="J78" i="9"/>
  <c r="I78" i="9"/>
  <c r="B66" i="9"/>
  <c r="B67" i="9"/>
  <c r="B83" i="9"/>
  <c r="B81" i="9"/>
  <c r="B77" i="9"/>
  <c r="B75" i="9"/>
  <c r="B74" i="9"/>
  <c r="B73" i="9"/>
  <c r="B71" i="9"/>
  <c r="B69" i="9"/>
  <c r="B65" i="9"/>
  <c r="L82" i="9"/>
  <c r="K82" i="9"/>
  <c r="J82" i="9"/>
  <c r="I82" i="9"/>
  <c r="K81" i="9"/>
  <c r="K80" i="9" s="1"/>
  <c r="L80" i="9"/>
  <c r="J80" i="9"/>
  <c r="I80" i="9"/>
  <c r="K77" i="9"/>
  <c r="K76" i="9" s="1"/>
  <c r="L76" i="9"/>
  <c r="J76" i="9"/>
  <c r="I76" i="9"/>
  <c r="K75" i="9"/>
  <c r="K74" i="9"/>
  <c r="K73" i="9"/>
  <c r="L72" i="9"/>
  <c r="J72" i="9"/>
  <c r="I72" i="9"/>
  <c r="I68" i="9"/>
  <c r="K65" i="9"/>
  <c r="K64" i="9" s="1"/>
  <c r="L64" i="9"/>
  <c r="J64" i="9"/>
  <c r="I64" i="9"/>
  <c r="B84" i="8"/>
  <c r="B82" i="8"/>
  <c r="B80" i="8"/>
  <c r="B78" i="8"/>
  <c r="B76" i="8"/>
  <c r="B75" i="8"/>
  <c r="B74" i="8"/>
  <c r="B72" i="8"/>
  <c r="B70" i="8"/>
  <c r="B68" i="8"/>
  <c r="B67" i="8"/>
  <c r="B66" i="8"/>
  <c r="AE84" i="8"/>
  <c r="F84" i="8" s="1"/>
  <c r="F83" i="8" s="1"/>
  <c r="AG83" i="8"/>
  <c r="AF83" i="8"/>
  <c r="AD83" i="8"/>
  <c r="AC83" i="8"/>
  <c r="AB83" i="8"/>
  <c r="AA83" i="8"/>
  <c r="Z83" i="8"/>
  <c r="Y83" i="8"/>
  <c r="X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E83" i="8"/>
  <c r="AE82" i="8"/>
  <c r="F82" i="8" s="1"/>
  <c r="F81" i="8" s="1"/>
  <c r="AG81" i="8"/>
  <c r="AF81" i="8"/>
  <c r="AD81" i="8"/>
  <c r="AC81" i="8"/>
  <c r="AB81" i="8"/>
  <c r="AA81" i="8"/>
  <c r="Z81" i="8"/>
  <c r="Y81" i="8"/>
  <c r="X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E81" i="8"/>
  <c r="AE80" i="8"/>
  <c r="F80" i="8" s="1"/>
  <c r="F79" i="8" s="1"/>
  <c r="AG79" i="8"/>
  <c r="AF79" i="8"/>
  <c r="AD79" i="8"/>
  <c r="AC79" i="8"/>
  <c r="AB79" i="8"/>
  <c r="AA79" i="8"/>
  <c r="Z79" i="8"/>
  <c r="Y79" i="8"/>
  <c r="X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E79" i="8"/>
  <c r="AE78" i="8"/>
  <c r="F78" i="8" s="1"/>
  <c r="F77" i="8" s="1"/>
  <c r="AG77" i="8"/>
  <c r="AF77" i="8"/>
  <c r="AD77" i="8"/>
  <c r="AC77" i="8"/>
  <c r="AB77" i="8"/>
  <c r="AA77" i="8"/>
  <c r="Z77" i="8"/>
  <c r="Y77" i="8"/>
  <c r="X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E77" i="8"/>
  <c r="E73" i="8"/>
  <c r="AE76" i="8"/>
  <c r="F76" i="8" s="1"/>
  <c r="AE75" i="8"/>
  <c r="F75" i="8" s="1"/>
  <c r="AE74" i="8"/>
  <c r="F74" i="8" s="1"/>
  <c r="AG73" i="8"/>
  <c r="AF73" i="8"/>
  <c r="AD73" i="8"/>
  <c r="AC73" i="8"/>
  <c r="AB73" i="8"/>
  <c r="AA73" i="8"/>
  <c r="Z73" i="8"/>
  <c r="Y73" i="8"/>
  <c r="X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AE72" i="8"/>
  <c r="F72" i="8" s="1"/>
  <c r="AG71" i="8"/>
  <c r="AF71" i="8"/>
  <c r="AD71" i="8"/>
  <c r="AC71" i="8"/>
  <c r="AB71" i="8"/>
  <c r="AA71" i="8"/>
  <c r="Z71" i="8"/>
  <c r="Y71" i="8"/>
  <c r="X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E71" i="8"/>
  <c r="AE70" i="8"/>
  <c r="F70" i="8" s="1"/>
  <c r="F69" i="8" s="1"/>
  <c r="AG69" i="8"/>
  <c r="AF69" i="8"/>
  <c r="AD69" i="8"/>
  <c r="AC69" i="8"/>
  <c r="AB69" i="8"/>
  <c r="AA69" i="8"/>
  <c r="Z69" i="8"/>
  <c r="Y69" i="8"/>
  <c r="X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E69" i="8"/>
  <c r="AE68" i="8"/>
  <c r="F68" i="8" s="1"/>
  <c r="AE67" i="8"/>
  <c r="F67" i="8" s="1"/>
  <c r="AE66" i="8"/>
  <c r="F66" i="8" s="1"/>
  <c r="AG65" i="8"/>
  <c r="AF65" i="8"/>
  <c r="AD65" i="8"/>
  <c r="AC65" i="8"/>
  <c r="AB65" i="8"/>
  <c r="AA65" i="8"/>
  <c r="Z65" i="8"/>
  <c r="Y65" i="8"/>
  <c r="X65" i="8"/>
  <c r="W65" i="8"/>
  <c r="V65" i="8"/>
  <c r="U65" i="8"/>
  <c r="T65" i="8"/>
  <c r="S65" i="8"/>
  <c r="R65" i="8"/>
  <c r="Q65" i="8"/>
  <c r="P65" i="8"/>
  <c r="O65" i="8"/>
  <c r="N65" i="8"/>
  <c r="M65" i="8"/>
  <c r="L65" i="8"/>
  <c r="K65" i="8"/>
  <c r="J65" i="8"/>
  <c r="I65" i="8"/>
  <c r="H65" i="8"/>
  <c r="G65" i="8"/>
  <c r="E65" i="8"/>
  <c r="L63" i="9" l="1"/>
  <c r="I63" i="9"/>
  <c r="J63" i="9"/>
  <c r="H64" i="8"/>
  <c r="L64" i="8"/>
  <c r="P64" i="8"/>
  <c r="T64" i="8"/>
  <c r="X64" i="8"/>
  <c r="AB64" i="8"/>
  <c r="AG64" i="8"/>
  <c r="I64" i="8"/>
  <c r="M64" i="8"/>
  <c r="Q64" i="8"/>
  <c r="U64" i="8"/>
  <c r="Y64" i="8"/>
  <c r="AC64" i="8"/>
  <c r="J64" i="8"/>
  <c r="N64" i="8"/>
  <c r="R64" i="8"/>
  <c r="V64" i="8"/>
  <c r="Z64" i="8"/>
  <c r="AD64" i="8"/>
  <c r="G64" i="8"/>
  <c r="K64" i="8"/>
  <c r="O64" i="8"/>
  <c r="S64" i="8"/>
  <c r="W64" i="8"/>
  <c r="AA64" i="8"/>
  <c r="AF64" i="8"/>
  <c r="K72" i="9"/>
  <c r="K63" i="9" s="1"/>
  <c r="E64" i="8"/>
  <c r="AE73" i="8"/>
  <c r="F65" i="8"/>
  <c r="F71" i="8"/>
  <c r="F73" i="8"/>
  <c r="AE65" i="8"/>
  <c r="AE77" i="8"/>
  <c r="AE79" i="8"/>
  <c r="AE81" i="8"/>
  <c r="AE69" i="8"/>
  <c r="AE71" i="8"/>
  <c r="AE83" i="8"/>
  <c r="F64" i="8" l="1"/>
  <c r="AE64" i="8"/>
  <c r="N640" i="7"/>
  <c r="D640" i="7" s="1"/>
  <c r="AC969" i="7"/>
  <c r="N985" i="7"/>
  <c r="N982" i="7"/>
  <c r="N977" i="7"/>
  <c r="N536" i="7"/>
  <c r="G362" i="7" l="1"/>
  <c r="G394" i="7"/>
  <c r="P205" i="8"/>
  <c r="U870" i="7" l="1"/>
  <c r="AC870" i="7" s="1"/>
  <c r="D870" i="7" s="1"/>
  <c r="AC869" i="7"/>
  <c r="D869" i="7" s="1"/>
  <c r="AC1164" i="7"/>
  <c r="D1164" i="7" l="1"/>
  <c r="CD813" i="7"/>
  <c r="N813" i="7"/>
  <c r="AC813" i="7" s="1"/>
  <c r="D813" i="7" s="1"/>
  <c r="R816" i="7"/>
  <c r="AC816" i="7" s="1"/>
  <c r="D816" i="7" s="1"/>
  <c r="AC1003" i="7"/>
  <c r="D1003" i="7" s="1"/>
  <c r="AE1002" i="7"/>
  <c r="AD1002" i="7"/>
  <c r="AB1002" i="7"/>
  <c r="AA1002" i="7"/>
  <c r="Z1002" i="7"/>
  <c r="Y1002" i="7"/>
  <c r="X1002" i="7"/>
  <c r="W1002" i="7"/>
  <c r="V1002" i="7"/>
  <c r="U1002" i="7"/>
  <c r="T1002" i="7"/>
  <c r="S1002" i="7"/>
  <c r="R1002" i="7"/>
  <c r="Q1002" i="7"/>
  <c r="P1002" i="7"/>
  <c r="O1002" i="7"/>
  <c r="M1002" i="7"/>
  <c r="L1002" i="7"/>
  <c r="K1002" i="7"/>
  <c r="J1002" i="7"/>
  <c r="I1002" i="7"/>
  <c r="H1002" i="7"/>
  <c r="G1002" i="7"/>
  <c r="F1002" i="7"/>
  <c r="E1002" i="7"/>
  <c r="G994" i="7"/>
  <c r="AC994" i="7" s="1"/>
  <c r="D994" i="7" s="1"/>
  <c r="AC993" i="7"/>
  <c r="D993" i="7" s="1"/>
  <c r="AC983" i="7"/>
  <c r="D983" i="7" s="1"/>
  <c r="AC982" i="7"/>
  <c r="D982" i="7" s="1"/>
  <c r="AC975" i="7"/>
  <c r="AE974" i="7"/>
  <c r="AD974" i="7"/>
  <c r="AB974" i="7"/>
  <c r="AA974" i="7"/>
  <c r="Z974" i="7"/>
  <c r="Y974" i="7"/>
  <c r="X974" i="7"/>
  <c r="W974" i="7"/>
  <c r="V974" i="7"/>
  <c r="U974" i="7"/>
  <c r="T974" i="7"/>
  <c r="S974" i="7"/>
  <c r="R974" i="7"/>
  <c r="Q974" i="7"/>
  <c r="P974" i="7"/>
  <c r="O974" i="7"/>
  <c r="N974" i="7"/>
  <c r="M974" i="7"/>
  <c r="L974" i="7"/>
  <c r="K974" i="7"/>
  <c r="J974" i="7"/>
  <c r="I974" i="7"/>
  <c r="G974" i="7"/>
  <c r="F974" i="7"/>
  <c r="E974" i="7"/>
  <c r="AC963" i="7"/>
  <c r="D963" i="7" s="1"/>
  <c r="CD957" i="7"/>
  <c r="AC957" i="7"/>
  <c r="D957" i="7" s="1"/>
  <c r="AC956" i="7"/>
  <c r="D956" i="7" s="1"/>
  <c r="AE950" i="7"/>
  <c r="AD950" i="7"/>
  <c r="AB950" i="7"/>
  <c r="AA950" i="7"/>
  <c r="Z950" i="7"/>
  <c r="Y950" i="7"/>
  <c r="X950" i="7"/>
  <c r="W950" i="7"/>
  <c r="V950" i="7"/>
  <c r="U950" i="7"/>
  <c r="T950" i="7"/>
  <c r="S950" i="7"/>
  <c r="R950" i="7"/>
  <c r="Q950" i="7"/>
  <c r="P950" i="7"/>
  <c r="O950" i="7"/>
  <c r="M950" i="7"/>
  <c r="L950" i="7"/>
  <c r="K950" i="7"/>
  <c r="J950" i="7"/>
  <c r="I950" i="7"/>
  <c r="H950" i="7"/>
  <c r="G950" i="7"/>
  <c r="F950" i="7"/>
  <c r="E950" i="7"/>
  <c r="N953" i="7"/>
  <c r="AC953" i="7" s="1"/>
  <c r="D953" i="7" s="1"/>
  <c r="AE948" i="7"/>
  <c r="AD948" i="7"/>
  <c r="AC948" i="7"/>
  <c r="AB948" i="7"/>
  <c r="AA948" i="7"/>
  <c r="Z948" i="7"/>
  <c r="Y948" i="7"/>
  <c r="X948" i="7"/>
  <c r="W948" i="7"/>
  <c r="V948" i="7"/>
  <c r="U948" i="7"/>
  <c r="T948" i="7"/>
  <c r="S948" i="7"/>
  <c r="R948" i="7"/>
  <c r="Q948" i="7"/>
  <c r="P948" i="7"/>
  <c r="O948" i="7"/>
  <c r="N948" i="7"/>
  <c r="M948" i="7"/>
  <c r="L948" i="7"/>
  <c r="K948" i="7"/>
  <c r="J948" i="7"/>
  <c r="I948" i="7"/>
  <c r="H948" i="7"/>
  <c r="G948" i="7"/>
  <c r="F948" i="7"/>
  <c r="E948" i="7"/>
  <c r="D948" i="7"/>
  <c r="AE941" i="7"/>
  <c r="AD941" i="7"/>
  <c r="AB941" i="7"/>
  <c r="AA941" i="7"/>
  <c r="Z941" i="7"/>
  <c r="Y941" i="7"/>
  <c r="X941" i="7"/>
  <c r="W941" i="7"/>
  <c r="V941" i="7"/>
  <c r="U941" i="7"/>
  <c r="T941" i="7"/>
  <c r="S941" i="7"/>
  <c r="R941" i="7"/>
  <c r="Q941" i="7"/>
  <c r="P941" i="7"/>
  <c r="O941" i="7"/>
  <c r="N941" i="7"/>
  <c r="M941" i="7"/>
  <c r="L941" i="7"/>
  <c r="K941" i="7"/>
  <c r="J941" i="7"/>
  <c r="I941" i="7"/>
  <c r="H941" i="7"/>
  <c r="G941" i="7"/>
  <c r="F941" i="7"/>
  <c r="E941" i="7"/>
  <c r="N940" i="7"/>
  <c r="AC940" i="7" s="1"/>
  <c r="AE939" i="7"/>
  <c r="AD939" i="7"/>
  <c r="AB939" i="7"/>
  <c r="AA939" i="7"/>
  <c r="Z939" i="7"/>
  <c r="Y939" i="7"/>
  <c r="X939" i="7"/>
  <c r="W939" i="7"/>
  <c r="V939" i="7"/>
  <c r="U939" i="7"/>
  <c r="T939" i="7"/>
  <c r="S939" i="7"/>
  <c r="R939" i="7"/>
  <c r="Q939" i="7"/>
  <c r="P939" i="7"/>
  <c r="O939" i="7"/>
  <c r="M939" i="7"/>
  <c r="L939" i="7"/>
  <c r="K939" i="7"/>
  <c r="J939" i="7"/>
  <c r="I939" i="7"/>
  <c r="H939" i="7"/>
  <c r="G939" i="7"/>
  <c r="F939" i="7"/>
  <c r="E939" i="7"/>
  <c r="AC932" i="7"/>
  <c r="D932" i="7" s="1"/>
  <c r="G920" i="7"/>
  <c r="AC920" i="7" s="1"/>
  <c r="D920" i="7" s="1"/>
  <c r="AC919" i="7"/>
  <c r="D919" i="7" s="1"/>
  <c r="N918" i="7"/>
  <c r="AC918" i="7" s="1"/>
  <c r="D918" i="7" s="1"/>
  <c r="AC909" i="7"/>
  <c r="D909" i="7" s="1"/>
  <c r="N908" i="7"/>
  <c r="AC908" i="7" s="1"/>
  <c r="AC907" i="7"/>
  <c r="D907" i="7" s="1"/>
  <c r="N896" i="7"/>
  <c r="AC885" i="7"/>
  <c r="D885" i="7" s="1"/>
  <c r="AC886" i="7"/>
  <c r="D886" i="7" s="1"/>
  <c r="CD898" i="7"/>
  <c r="U898" i="7"/>
  <c r="AC898" i="7" s="1"/>
  <c r="D898" i="7" s="1"/>
  <c r="CD897" i="7"/>
  <c r="N897" i="7"/>
  <c r="AC897" i="7" s="1"/>
  <c r="D897" i="7" s="1"/>
  <c r="U865" i="7"/>
  <c r="AC865" i="7" s="1"/>
  <c r="D865" i="7" s="1"/>
  <c r="AE864" i="7"/>
  <c r="AD864" i="7"/>
  <c r="AB864" i="7"/>
  <c r="AA864" i="7"/>
  <c r="Z864" i="7"/>
  <c r="Y864" i="7"/>
  <c r="X864" i="7"/>
  <c r="W864" i="7"/>
  <c r="V864" i="7"/>
  <c r="T864" i="7"/>
  <c r="S864" i="7"/>
  <c r="R864" i="7"/>
  <c r="Q864" i="7"/>
  <c r="P864" i="7"/>
  <c r="O864" i="7"/>
  <c r="M864" i="7"/>
  <c r="L864" i="7"/>
  <c r="K864" i="7"/>
  <c r="J864" i="7"/>
  <c r="I864" i="7"/>
  <c r="H864" i="7"/>
  <c r="G864" i="7"/>
  <c r="F864" i="7"/>
  <c r="E864" i="7"/>
  <c r="AE877" i="7"/>
  <c r="AD877" i="7"/>
  <c r="AB877" i="7"/>
  <c r="AA877" i="7"/>
  <c r="Z877" i="7"/>
  <c r="Y877" i="7"/>
  <c r="X877" i="7"/>
  <c r="W877" i="7"/>
  <c r="V877" i="7"/>
  <c r="U877" i="7"/>
  <c r="T877" i="7"/>
  <c r="S877" i="7"/>
  <c r="R877" i="7"/>
  <c r="Q877" i="7"/>
  <c r="P877" i="7"/>
  <c r="O877" i="7"/>
  <c r="M877" i="7"/>
  <c r="L877" i="7"/>
  <c r="K877" i="7"/>
  <c r="J877" i="7"/>
  <c r="I877" i="7"/>
  <c r="H877" i="7"/>
  <c r="G877" i="7"/>
  <c r="F877" i="7"/>
  <c r="E877" i="7"/>
  <c r="CD879" i="7"/>
  <c r="N879" i="7"/>
  <c r="N877" i="7" s="1"/>
  <c r="AE867" i="7"/>
  <c r="AD867" i="7"/>
  <c r="AB867" i="7"/>
  <c r="AA867" i="7"/>
  <c r="Z867" i="7"/>
  <c r="Y867" i="7"/>
  <c r="X867" i="7"/>
  <c r="W867" i="7"/>
  <c r="V867" i="7"/>
  <c r="U867" i="7"/>
  <c r="T867" i="7"/>
  <c r="S867" i="7"/>
  <c r="Q867" i="7"/>
  <c r="P867" i="7"/>
  <c r="O867" i="7"/>
  <c r="N867" i="7"/>
  <c r="M867" i="7"/>
  <c r="L867" i="7"/>
  <c r="K867" i="7"/>
  <c r="J867" i="7"/>
  <c r="I867" i="7"/>
  <c r="H867" i="7"/>
  <c r="G867" i="7"/>
  <c r="F867" i="7"/>
  <c r="E867" i="7"/>
  <c r="N856" i="7"/>
  <c r="AC863" i="7"/>
  <c r="D863" i="7" s="1"/>
  <c r="AC861" i="7"/>
  <c r="D861" i="7" s="1"/>
  <c r="AC851" i="7"/>
  <c r="D851" i="7" s="1"/>
  <c r="AE850" i="7"/>
  <c r="AD850" i="7"/>
  <c r="AB850" i="7"/>
  <c r="AA850" i="7"/>
  <c r="Z850" i="7"/>
  <c r="Y850" i="7"/>
  <c r="X850" i="7"/>
  <c r="W850" i="7"/>
  <c r="V850" i="7"/>
  <c r="U850" i="7"/>
  <c r="T850" i="7"/>
  <c r="S850" i="7"/>
  <c r="R850" i="7"/>
  <c r="Q850" i="7"/>
  <c r="P850" i="7"/>
  <c r="O850" i="7"/>
  <c r="N850" i="7"/>
  <c r="M850" i="7"/>
  <c r="L850" i="7"/>
  <c r="K850" i="7"/>
  <c r="J850" i="7"/>
  <c r="I850" i="7"/>
  <c r="H850" i="7"/>
  <c r="G850" i="7"/>
  <c r="F850" i="7"/>
  <c r="E850" i="7"/>
  <c r="CD847" i="7"/>
  <c r="N847" i="7"/>
  <c r="AC847" i="7" s="1"/>
  <c r="D847" i="7" s="1"/>
  <c r="D849" i="7"/>
  <c r="AE831" i="7"/>
  <c r="AD831" i="7"/>
  <c r="AB831" i="7"/>
  <c r="AA831" i="7"/>
  <c r="Z831" i="7"/>
  <c r="Y831" i="7"/>
  <c r="X831" i="7"/>
  <c r="W831" i="7"/>
  <c r="V831" i="7"/>
  <c r="U831" i="7"/>
  <c r="T831" i="7"/>
  <c r="S831" i="7"/>
  <c r="R831" i="7"/>
  <c r="Q831" i="7"/>
  <c r="P831" i="7"/>
  <c r="O831" i="7"/>
  <c r="N831" i="7"/>
  <c r="M831" i="7"/>
  <c r="L831" i="7"/>
  <c r="K831" i="7"/>
  <c r="J831" i="7"/>
  <c r="I831" i="7"/>
  <c r="H831" i="7"/>
  <c r="G831" i="7"/>
  <c r="F831" i="7"/>
  <c r="E831" i="7"/>
  <c r="AC834" i="7"/>
  <c r="D834" i="7" s="1"/>
  <c r="AC833" i="7"/>
  <c r="D833" i="7" s="1"/>
  <c r="AC832" i="7"/>
  <c r="D832" i="7" s="1"/>
  <c r="AC821" i="7"/>
  <c r="D821" i="7" s="1"/>
  <c r="AC827" i="7"/>
  <c r="D827" i="7" s="1"/>
  <c r="AC826" i="7"/>
  <c r="D826" i="7" s="1"/>
  <c r="AC825" i="7"/>
  <c r="D825" i="7" s="1"/>
  <c r="AC824" i="7"/>
  <c r="D824" i="7" s="1"/>
  <c r="AC823" i="7"/>
  <c r="D823" i="7" s="1"/>
  <c r="AC352" i="7"/>
  <c r="AC335" i="7"/>
  <c r="D335" i="7" s="1"/>
  <c r="N810" i="7"/>
  <c r="AC812" i="7"/>
  <c r="D812" i="7" s="1"/>
  <c r="AC811" i="7"/>
  <c r="D811" i="7" s="1"/>
  <c r="AC796" i="7"/>
  <c r="D796" i="7" s="1"/>
  <c r="AC797" i="7"/>
  <c r="D797" i="7" s="1"/>
  <c r="N702" i="7"/>
  <c r="AC702" i="7" s="1"/>
  <c r="D702" i="7" s="1"/>
  <c r="AC1088" i="7"/>
  <c r="CD734" i="7"/>
  <c r="N734" i="7"/>
  <c r="D1088" i="7" l="1"/>
  <c r="H974" i="7"/>
  <c r="N950" i="7"/>
  <c r="N1002" i="7"/>
  <c r="AC1002" i="7"/>
  <c r="AC974" i="7"/>
  <c r="D975" i="7"/>
  <c r="N939" i="7"/>
  <c r="D940" i="7"/>
  <c r="AC939" i="7"/>
  <c r="D908" i="7"/>
  <c r="R867" i="7"/>
  <c r="U864" i="7"/>
  <c r="N864" i="7"/>
  <c r="AC864" i="7"/>
  <c r="D864" i="7"/>
  <c r="AC879" i="7"/>
  <c r="D879" i="7" s="1"/>
  <c r="AC850" i="7"/>
  <c r="AC831" i="7"/>
  <c r="D850" i="7"/>
  <c r="D831" i="7"/>
  <c r="AC822" i="7"/>
  <c r="D822" i="7" s="1"/>
  <c r="AC810" i="7"/>
  <c r="D810" i="7" s="1"/>
  <c r="AC734" i="7"/>
  <c r="D734" i="7" s="1"/>
  <c r="D974" i="7" l="1"/>
  <c r="D939" i="7"/>
  <c r="CB850" i="7"/>
  <c r="D1002" i="7" l="1"/>
  <c r="AC295" i="7" l="1"/>
  <c r="AC293" i="7"/>
  <c r="G790" i="7"/>
  <c r="AC790" i="7" s="1"/>
  <c r="D790" i="7" s="1"/>
  <c r="AC786" i="7"/>
  <c r="D786" i="7" s="1"/>
  <c r="AC778" i="7"/>
  <c r="D778" i="7" s="1"/>
  <c r="CD777" i="7"/>
  <c r="AC777" i="7"/>
  <c r="D777" i="7" s="1"/>
  <c r="AC776" i="7"/>
  <c r="D776" i="7" s="1"/>
  <c r="AD770" i="7"/>
  <c r="AD769" i="7"/>
  <c r="AC768" i="7"/>
  <c r="D768" i="7" s="1"/>
  <c r="AC770" i="7"/>
  <c r="D273" i="7"/>
  <c r="AC272" i="7"/>
  <c r="D272" i="7" s="1"/>
  <c r="D246" i="7"/>
  <c r="D245" i="7"/>
  <c r="AC769" i="7"/>
  <c r="AC767" i="7"/>
  <c r="D767" i="7" s="1"/>
  <c r="G766" i="7"/>
  <c r="AC766" i="7" s="1"/>
  <c r="D766" i="7" s="1"/>
  <c r="AC764" i="7"/>
  <c r="D764" i="7" s="1"/>
  <c r="AC765" i="7"/>
  <c r="D765" i="7" s="1"/>
  <c r="D770" i="7" l="1"/>
  <c r="D769" i="7"/>
  <c r="W722" i="3"/>
  <c r="S722" i="3"/>
  <c r="W721" i="3"/>
  <c r="S721" i="3"/>
  <c r="D736" i="7"/>
  <c r="D735" i="7"/>
  <c r="AC731" i="7"/>
  <c r="D731" i="7" s="1"/>
  <c r="AC742" i="7"/>
  <c r="D742" i="7" s="1"/>
  <c r="G741" i="7"/>
  <c r="AC733" i="7"/>
  <c r="D733" i="7" s="1"/>
  <c r="N732" i="7"/>
  <c r="AC732" i="7" s="1"/>
  <c r="D732" i="7" s="1"/>
  <c r="AC730" i="7"/>
  <c r="D730" i="7" s="1"/>
  <c r="G729" i="7"/>
  <c r="AC729" i="7" s="1"/>
  <c r="D729" i="7" s="1"/>
  <c r="AC728" i="7"/>
  <c r="D728" i="7" s="1"/>
  <c r="AC727" i="7"/>
  <c r="D727" i="7" s="1"/>
  <c r="AC717" i="7"/>
  <c r="D717" i="7" s="1"/>
  <c r="AC716" i="7"/>
  <c r="D716" i="7" s="1"/>
  <c r="AC677" i="7"/>
  <c r="R675" i="7"/>
  <c r="AC675" i="7" s="1"/>
  <c r="D675" i="7" s="1"/>
  <c r="AC674" i="7"/>
  <c r="D674" i="7" s="1"/>
  <c r="AC673" i="7"/>
  <c r="D673" i="7" s="1"/>
  <c r="G672" i="7"/>
  <c r="AC672" i="7" s="1"/>
  <c r="D672" i="7" s="1"/>
  <c r="AC670" i="7"/>
  <c r="D670" i="7" s="1"/>
  <c r="R671" i="7"/>
  <c r="AC671" i="7" s="1"/>
  <c r="D671" i="7" s="1"/>
  <c r="V721" i="3" l="1"/>
  <c r="V722" i="3"/>
  <c r="AC741" i="7"/>
  <c r="D741" i="7" s="1"/>
  <c r="D677" i="7"/>
  <c r="G1085" i="7" l="1"/>
  <c r="AC1085" i="7" s="1"/>
  <c r="D1085" i="7" s="1"/>
  <c r="AC587" i="7" l="1"/>
  <c r="N70" i="7"/>
  <c r="N126" i="7"/>
  <c r="N157" i="7"/>
  <c r="N241" i="7"/>
  <c r="N274" i="7"/>
  <c r="N280" i="7"/>
  <c r="N287" i="7"/>
  <c r="N292" i="7"/>
  <c r="N294" i="7"/>
  <c r="N297" i="7"/>
  <c r="N303" i="7"/>
  <c r="N309" i="7"/>
  <c r="N314" i="7"/>
  <c r="N316" i="7"/>
  <c r="N327" i="7"/>
  <c r="N344" i="7"/>
  <c r="N350" i="7"/>
  <c r="N355" i="7"/>
  <c r="N353" i="7" s="1"/>
  <c r="N356" i="7"/>
  <c r="N360" i="7"/>
  <c r="N363" i="7"/>
  <c r="N365" i="7"/>
  <c r="N380" i="7"/>
  <c r="N383" i="7"/>
  <c r="N385" i="7"/>
  <c r="N387" i="7"/>
  <c r="N392" i="7"/>
  <c r="N395" i="7"/>
  <c r="N397" i="7"/>
  <c r="N402" i="7"/>
  <c r="N404" i="7"/>
  <c r="N412" i="7"/>
  <c r="N418" i="7"/>
  <c r="N422" i="7"/>
  <c r="N424" i="7"/>
  <c r="N428" i="7"/>
  <c r="N435" i="7"/>
  <c r="N441" i="7"/>
  <c r="N455" i="7"/>
  <c r="N457" i="7"/>
  <c r="N459" i="7"/>
  <c r="N461" i="7"/>
  <c r="N463" i="7"/>
  <c r="N465" i="7"/>
  <c r="N471" i="7"/>
  <c r="N473" i="7"/>
  <c r="N494" i="7"/>
  <c r="N496" i="7"/>
  <c r="N503" i="7"/>
  <c r="N509" i="7"/>
  <c r="N514" i="7"/>
  <c r="N517" i="7"/>
  <c r="N522" i="7"/>
  <c r="N528" i="7"/>
  <c r="N530" i="7"/>
  <c r="N533" i="7"/>
  <c r="N535" i="7"/>
  <c r="N545" i="7"/>
  <c r="N550" i="7"/>
  <c r="N557" i="7"/>
  <c r="N664" i="7"/>
  <c r="N647" i="7" s="1"/>
  <c r="N710" i="7"/>
  <c r="N678" i="7" s="1"/>
  <c r="N722" i="7"/>
  <c r="N724" i="7"/>
  <c r="N737" i="7"/>
  <c r="N758" i="7"/>
  <c r="N745" i="7" s="1"/>
  <c r="N775" i="7"/>
  <c r="N771" i="7" s="1"/>
  <c r="N779" i="7"/>
  <c r="N787" i="7"/>
  <c r="N794" i="7"/>
  <c r="N798" i="7"/>
  <c r="N801" i="7"/>
  <c r="N800" i="7" s="1"/>
  <c r="N806" i="7"/>
  <c r="N818" i="7"/>
  <c r="N817" i="7" s="1"/>
  <c r="N828" i="7"/>
  <c r="N835" i="7"/>
  <c r="N837" i="7"/>
  <c r="N839" i="7"/>
  <c r="N841" i="7"/>
  <c r="N843" i="7"/>
  <c r="N845" i="7"/>
  <c r="N852" i="7"/>
  <c r="N871" i="7"/>
  <c r="N881" i="7"/>
  <c r="N880" i="7" s="1"/>
  <c r="N893" i="7"/>
  <c r="N895" i="7"/>
  <c r="N899" i="7"/>
  <c r="N901" i="7"/>
  <c r="N903" i="7"/>
  <c r="N905" i="7"/>
  <c r="N912" i="7"/>
  <c r="N910" i="7" s="1"/>
  <c r="N913" i="7"/>
  <c r="N915" i="7"/>
  <c r="N921" i="7"/>
  <c r="N925" i="7"/>
  <c r="N927" i="7"/>
  <c r="N935" i="7"/>
  <c r="N945" i="7"/>
  <c r="N944" i="7" s="1"/>
  <c r="N946" i="7"/>
  <c r="N954" i="7"/>
  <c r="N960" i="7"/>
  <c r="N966" i="7"/>
  <c r="N970" i="7"/>
  <c r="N972" i="7"/>
  <c r="N976" i="7"/>
  <c r="N980" i="7"/>
  <c r="N978" i="7" s="1"/>
  <c r="N984" i="7"/>
  <c r="N986" i="7"/>
  <c r="N988" i="7"/>
  <c r="N1000" i="7"/>
  <c r="N1005" i="7"/>
  <c r="L46" i="7"/>
  <c r="L35" i="7"/>
  <c r="N802" i="7" l="1"/>
  <c r="N467" i="7"/>
  <c r="N444" i="7"/>
  <c r="N498" i="7"/>
  <c r="N311" i="7"/>
  <c r="N247" i="7"/>
  <c r="N203" i="7"/>
  <c r="N718" i="7"/>
  <c r="N556" i="7" s="1"/>
  <c r="N485" i="7"/>
  <c r="D645" i="7"/>
  <c r="D636" i="7"/>
  <c r="D575" i="7"/>
  <c r="D646" i="7"/>
  <c r="D644" i="7"/>
  <c r="D643" i="7"/>
  <c r="D642" i="7"/>
  <c r="D639" i="7"/>
  <c r="D638" i="7"/>
  <c r="D637" i="7"/>
  <c r="D635" i="7"/>
  <c r="K94" i="9" l="1"/>
  <c r="K93" i="9" s="1"/>
  <c r="D621" i="7" l="1"/>
  <c r="D622" i="7"/>
  <c r="D620" i="7"/>
  <c r="D619" i="7"/>
  <c r="D634" i="7"/>
  <c r="D633" i="7"/>
  <c r="D632" i="7"/>
  <c r="D631" i="7"/>
  <c r="D630" i="7"/>
  <c r="D629" i="7"/>
  <c r="D628" i="7"/>
  <c r="D627" i="7"/>
  <c r="D626" i="7"/>
  <c r="CD625" i="7"/>
  <c r="D625" i="7"/>
  <c r="D624" i="7"/>
  <c r="D623" i="7"/>
  <c r="AE954" i="7"/>
  <c r="AD954" i="7"/>
  <c r="AB954" i="7"/>
  <c r="AA954" i="7"/>
  <c r="Z954" i="7"/>
  <c r="Y954" i="7"/>
  <c r="X954" i="7"/>
  <c r="W954" i="7"/>
  <c r="V954" i="7"/>
  <c r="U954" i="7"/>
  <c r="T954" i="7"/>
  <c r="S954" i="7"/>
  <c r="R954" i="7"/>
  <c r="Q954" i="7"/>
  <c r="P954" i="7"/>
  <c r="O954" i="7"/>
  <c r="M954" i="7"/>
  <c r="L954" i="7"/>
  <c r="K954" i="7"/>
  <c r="J954" i="7"/>
  <c r="I954" i="7"/>
  <c r="H954" i="7"/>
  <c r="G954" i="7"/>
  <c r="F954" i="7"/>
  <c r="E954" i="7"/>
  <c r="AC860" i="7"/>
  <c r="AG94" i="8"/>
  <c r="AF94" i="8"/>
  <c r="AD94" i="8"/>
  <c r="AC94" i="8"/>
  <c r="AB94" i="8"/>
  <c r="AA94" i="8"/>
  <c r="Z94" i="8"/>
  <c r="Y94" i="8"/>
  <c r="X94" i="8"/>
  <c r="W94" i="8"/>
  <c r="V94" i="8"/>
  <c r="U94" i="8"/>
  <c r="T94" i="8"/>
  <c r="S94" i="8"/>
  <c r="R94" i="8"/>
  <c r="Q94" i="8"/>
  <c r="P94" i="8"/>
  <c r="N94" i="8"/>
  <c r="M94" i="8"/>
  <c r="L94" i="8"/>
  <c r="K94" i="8"/>
  <c r="J94" i="8"/>
  <c r="I94" i="8"/>
  <c r="H94" i="8"/>
  <c r="G94" i="8"/>
  <c r="E94" i="8"/>
  <c r="O94" i="8"/>
  <c r="AE95" i="8"/>
  <c r="F95" i="8" s="1"/>
  <c r="F94" i="8" s="1"/>
  <c r="B95" i="8"/>
  <c r="E16" i="11"/>
  <c r="AB15" i="11"/>
  <c r="AA15" i="11"/>
  <c r="Z15" i="11"/>
  <c r="Q15" i="11"/>
  <c r="P15" i="11"/>
  <c r="O15" i="11"/>
  <c r="N15" i="11"/>
  <c r="M15" i="11"/>
  <c r="L15" i="11"/>
  <c r="K15" i="11"/>
  <c r="J15" i="11"/>
  <c r="I15" i="11"/>
  <c r="H15" i="11"/>
  <c r="G15" i="11"/>
  <c r="F15" i="11"/>
  <c r="E15" i="11" s="1"/>
  <c r="AL1289" i="3"/>
  <c r="AJ1289" i="3"/>
  <c r="AF1289" i="3"/>
  <c r="T1289" i="3"/>
  <c r="S1289" i="3"/>
  <c r="S1288" i="3" s="1"/>
  <c r="R1288" i="3"/>
  <c r="Q1288" i="3"/>
  <c r="P1288" i="3"/>
  <c r="L1288" i="3"/>
  <c r="K1288" i="3"/>
  <c r="J1288" i="3"/>
  <c r="I1288" i="3"/>
  <c r="AC1298" i="7"/>
  <c r="AC1296" i="7"/>
  <c r="D1296" i="7" s="1"/>
  <c r="AE1295" i="7"/>
  <c r="AD1295" i="7"/>
  <c r="AB1295" i="7"/>
  <c r="AA1295" i="7"/>
  <c r="Z1295" i="7"/>
  <c r="Y1295" i="7"/>
  <c r="X1295" i="7"/>
  <c r="W1295" i="7"/>
  <c r="V1295" i="7"/>
  <c r="U1295" i="7"/>
  <c r="T1295" i="7"/>
  <c r="S1295" i="7"/>
  <c r="R1295" i="7"/>
  <c r="Q1295" i="7"/>
  <c r="P1295" i="7"/>
  <c r="O1295" i="7"/>
  <c r="N1295" i="7"/>
  <c r="M1295" i="7"/>
  <c r="L1295" i="7"/>
  <c r="K1295" i="7"/>
  <c r="J1295" i="7"/>
  <c r="I1295" i="7"/>
  <c r="H1295" i="7"/>
  <c r="G1295" i="7"/>
  <c r="F1295" i="7"/>
  <c r="E1295" i="7"/>
  <c r="AE32" i="8"/>
  <c r="W1289" i="3" l="1"/>
  <c r="V1289" i="3" s="1"/>
  <c r="AE94" i="8"/>
  <c r="T1288" i="3"/>
  <c r="D1295" i="7"/>
  <c r="AC1295" i="7"/>
  <c r="R830" i="7"/>
  <c r="S417" i="3"/>
  <c r="D124" i="7"/>
  <c r="D123" i="7"/>
  <c r="D122" i="7"/>
  <c r="D121" i="7"/>
  <c r="D120" i="7"/>
  <c r="D119" i="7"/>
  <c r="D118" i="7"/>
  <c r="R110" i="7"/>
  <c r="M79" i="7"/>
  <c r="R532" i="7" l="1"/>
  <c r="R372" i="7"/>
  <c r="L248" i="7"/>
  <c r="L210" i="7"/>
  <c r="L209" i="7"/>
  <c r="L207" i="7"/>
  <c r="R1271" i="7" l="1"/>
  <c r="AD979" i="7"/>
  <c r="AD196" i="3"/>
  <c r="W196" i="3" s="1"/>
  <c r="V196" i="3"/>
  <c r="S196" i="3"/>
  <c r="D236" i="7"/>
  <c r="D237" i="7"/>
  <c r="AT195" i="7"/>
  <c r="D195" i="7"/>
  <c r="D125" i="7"/>
  <c r="R904" i="3" l="1"/>
  <c r="Q904" i="3"/>
  <c r="L904" i="3"/>
  <c r="K904" i="3"/>
  <c r="J904" i="3"/>
  <c r="I904" i="3"/>
  <c r="T904" i="3" s="1"/>
  <c r="AE910" i="7"/>
  <c r="AD910" i="7"/>
  <c r="AB910" i="7"/>
  <c r="AA910" i="7"/>
  <c r="Z910" i="7"/>
  <c r="Y910" i="7"/>
  <c r="X910" i="7"/>
  <c r="W910" i="7"/>
  <c r="V910" i="7"/>
  <c r="U910" i="7"/>
  <c r="T910" i="7"/>
  <c r="S910" i="7"/>
  <c r="R910" i="7"/>
  <c r="Q910" i="7"/>
  <c r="P910" i="7"/>
  <c r="O910" i="7"/>
  <c r="M910" i="7"/>
  <c r="L910" i="7"/>
  <c r="K910" i="7"/>
  <c r="J910" i="7"/>
  <c r="I910" i="7"/>
  <c r="H910" i="7"/>
  <c r="G910" i="7"/>
  <c r="F910" i="7"/>
  <c r="E910" i="7"/>
  <c r="C44" i="4" l="1"/>
  <c r="C43" i="4"/>
  <c r="C5" i="4"/>
  <c r="AF1263" i="3" l="1"/>
  <c r="AF1247" i="3"/>
  <c r="W1247" i="3" s="1"/>
  <c r="AF1122" i="3"/>
  <c r="AF1075" i="3"/>
  <c r="W1075" i="3" s="1"/>
  <c r="AF1073" i="3"/>
  <c r="AF888" i="3"/>
  <c r="W888" i="3" s="1"/>
  <c r="AF875" i="3"/>
  <c r="AF696" i="3"/>
  <c r="W696" i="3" s="1"/>
  <c r="AF474" i="3"/>
  <c r="AF465" i="3"/>
  <c r="AF456" i="3"/>
  <c r="AF385" i="3"/>
  <c r="AF349" i="3"/>
  <c r="AF279" i="3"/>
  <c r="W279" i="3" s="1"/>
  <c r="AF149" i="3"/>
  <c r="AN71" i="3"/>
  <c r="W71" i="3" s="1"/>
  <c r="AF1291" i="3"/>
  <c r="AF1287" i="3"/>
  <c r="AF1286" i="3"/>
  <c r="AF1285" i="3"/>
  <c r="AF1281" i="3"/>
  <c r="AF1279" i="3"/>
  <c r="AF1277" i="3"/>
  <c r="AF1273" i="3"/>
  <c r="W1273" i="3" s="1"/>
  <c r="AF1271" i="3"/>
  <c r="W1271" i="3" s="1"/>
  <c r="AF1270" i="3"/>
  <c r="W1270" i="3" s="1"/>
  <c r="AF1269" i="3"/>
  <c r="W1269" i="3" s="1"/>
  <c r="AF1267" i="3"/>
  <c r="W1267" i="3" s="1"/>
  <c r="AF1265" i="3"/>
  <c r="AF1259" i="3"/>
  <c r="W1259" i="3" s="1"/>
  <c r="AF1257" i="3"/>
  <c r="W1257" i="3" s="1"/>
  <c r="AF1256" i="3"/>
  <c r="W1256" i="3" s="1"/>
  <c r="AF1254" i="3"/>
  <c r="W1254" i="3" s="1"/>
  <c r="AF1252" i="3"/>
  <c r="W1252" i="3" s="1"/>
  <c r="AF1250" i="3"/>
  <c r="W1250" i="3" s="1"/>
  <c r="AF1249" i="3"/>
  <c r="W1249" i="3" s="1"/>
  <c r="AF1243" i="3"/>
  <c r="W1243" i="3" s="1"/>
  <c r="AF1242" i="3"/>
  <c r="W1242" i="3" s="1"/>
  <c r="AF1241" i="3"/>
  <c r="W1241" i="3" s="1"/>
  <c r="AF1239" i="3"/>
  <c r="W1239" i="3" s="1"/>
  <c r="AF1237" i="3"/>
  <c r="W1237" i="3" s="1"/>
  <c r="AF1235" i="3"/>
  <c r="W1235" i="3" s="1"/>
  <c r="AF1232" i="3"/>
  <c r="W1232" i="3" s="1"/>
  <c r="AF1230" i="3"/>
  <c r="W1230" i="3" s="1"/>
  <c r="AF1228" i="3"/>
  <c r="W1228" i="3" s="1"/>
  <c r="AF1226" i="3"/>
  <c r="W1226" i="3" s="1"/>
  <c r="AF1225" i="3"/>
  <c r="W1225" i="3" s="1"/>
  <c r="AF1224" i="3"/>
  <c r="W1224" i="3" s="1"/>
  <c r="AF1222" i="3"/>
  <c r="W1222" i="3" s="1"/>
  <c r="AF1220" i="3"/>
  <c r="W1220" i="3" s="1"/>
  <c r="AF1215" i="3"/>
  <c r="W1215" i="3" s="1"/>
  <c r="AF1214" i="3"/>
  <c r="W1214" i="3" s="1"/>
  <c r="AF1210" i="3"/>
  <c r="W1210" i="3" s="1"/>
  <c r="AF1208" i="3"/>
  <c r="W1208" i="3" s="1"/>
  <c r="AF1206" i="3"/>
  <c r="W1206" i="3" s="1"/>
  <c r="AF1204" i="3"/>
  <c r="W1204" i="3" s="1"/>
  <c r="AF1202" i="3"/>
  <c r="W1202" i="3" s="1"/>
  <c r="AF1200" i="3"/>
  <c r="W1200" i="3" s="1"/>
  <c r="AF1199" i="3"/>
  <c r="W1199" i="3" s="1"/>
  <c r="AF1198" i="3"/>
  <c r="W1198" i="3" s="1"/>
  <c r="AF1196" i="3"/>
  <c r="W1196" i="3" s="1"/>
  <c r="AF1194" i="3"/>
  <c r="W1194" i="3" s="1"/>
  <c r="AF1193" i="3"/>
  <c r="W1193" i="3" s="1"/>
  <c r="AF1191" i="3"/>
  <c r="W1191" i="3" s="1"/>
  <c r="AF1190" i="3"/>
  <c r="W1190" i="3" s="1"/>
  <c r="AF1186" i="3"/>
  <c r="W1186" i="3" s="1"/>
  <c r="AF1183" i="3"/>
  <c r="W1183" i="3" s="1"/>
  <c r="AF1182" i="3"/>
  <c r="W1182" i="3" s="1"/>
  <c r="AF1181" i="3"/>
  <c r="W1181" i="3" s="1"/>
  <c r="AF1179" i="3"/>
  <c r="W1179" i="3" s="1"/>
  <c r="AF1177" i="3"/>
  <c r="W1177" i="3" s="1"/>
  <c r="AF1175" i="3"/>
  <c r="W1175" i="3" s="1"/>
  <c r="AF1173" i="3"/>
  <c r="W1173" i="3" s="1"/>
  <c r="AF1171" i="3"/>
  <c r="W1171" i="3" s="1"/>
  <c r="AF1170" i="3"/>
  <c r="W1170" i="3" s="1"/>
  <c r="AF1168" i="3"/>
  <c r="W1168" i="3" s="1"/>
  <c r="AF1167" i="3"/>
  <c r="W1167" i="3" s="1"/>
  <c r="AF1165" i="3"/>
  <c r="W1165" i="3" s="1"/>
  <c r="AF1161" i="3"/>
  <c r="W1161" i="3" s="1"/>
  <c r="AF1159" i="3"/>
  <c r="W1159" i="3" s="1"/>
  <c r="AF1157" i="3"/>
  <c r="W1157" i="3" s="1"/>
  <c r="AF1154" i="3"/>
  <c r="W1154" i="3" s="1"/>
  <c r="AF1152" i="3"/>
  <c r="W1152" i="3" s="1"/>
  <c r="AF1151" i="3"/>
  <c r="W1151" i="3" s="1"/>
  <c r="AF1150" i="3"/>
  <c r="W1150" i="3" s="1"/>
  <c r="AF1148" i="3"/>
  <c r="W1148" i="3" s="1"/>
  <c r="AF1146" i="3"/>
  <c r="W1146" i="3" s="1"/>
  <c r="AF1143" i="3"/>
  <c r="W1143" i="3" s="1"/>
  <c r="AF1139" i="3"/>
  <c r="W1139" i="3" s="1"/>
  <c r="AF1137" i="3"/>
  <c r="W1137" i="3" s="1"/>
  <c r="AF1136" i="3"/>
  <c r="W1136" i="3" s="1"/>
  <c r="AF1130" i="3"/>
  <c r="W1130" i="3" s="1"/>
  <c r="AF1129" i="3"/>
  <c r="W1129" i="3" s="1"/>
  <c r="AF1127" i="3"/>
  <c r="W1127" i="3" s="1"/>
  <c r="AF1126" i="3"/>
  <c r="W1126" i="3" s="1"/>
  <c r="AF1125" i="3"/>
  <c r="W1125" i="3" s="1"/>
  <c r="AF1123" i="3"/>
  <c r="W1123" i="3" s="1"/>
  <c r="AF1121" i="3"/>
  <c r="W1121" i="3" s="1"/>
  <c r="AF1120" i="3"/>
  <c r="W1120" i="3" s="1"/>
  <c r="AF1115" i="3"/>
  <c r="W1115" i="3" s="1"/>
  <c r="AF1113" i="3"/>
  <c r="W1113" i="3" s="1"/>
  <c r="AF1112" i="3"/>
  <c r="W1112" i="3" s="1"/>
  <c r="AF1111" i="3"/>
  <c r="W1111" i="3" s="1"/>
  <c r="AF1110" i="3"/>
  <c r="W1110" i="3" s="1"/>
  <c r="AF1109" i="3"/>
  <c r="W1109" i="3" s="1"/>
  <c r="AF1107" i="3"/>
  <c r="W1107" i="3" s="1"/>
  <c r="AF1106" i="3"/>
  <c r="W1106" i="3" s="1"/>
  <c r="AF1105" i="3"/>
  <c r="W1105" i="3" s="1"/>
  <c r="AF1102" i="3"/>
  <c r="W1102" i="3" s="1"/>
  <c r="AF1101" i="3"/>
  <c r="W1101" i="3" s="1"/>
  <c r="AF1100" i="3"/>
  <c r="W1100" i="3" s="1"/>
  <c r="AF1099" i="3"/>
  <c r="W1099" i="3" s="1"/>
  <c r="AF1098" i="3"/>
  <c r="W1098" i="3" s="1"/>
  <c r="AF1097" i="3"/>
  <c r="W1097" i="3" s="1"/>
  <c r="AF1096" i="3"/>
  <c r="W1096" i="3" s="1"/>
  <c r="AF1095" i="3"/>
  <c r="W1095" i="3" s="1"/>
  <c r="AF1094" i="3"/>
  <c r="W1094" i="3" s="1"/>
  <c r="AF1093" i="3"/>
  <c r="W1093" i="3" s="1"/>
  <c r="AF1092" i="3"/>
  <c r="W1092" i="3" s="1"/>
  <c r="AF1090" i="3"/>
  <c r="W1090" i="3" s="1"/>
  <c r="AF1086" i="3"/>
  <c r="W1086" i="3" s="1"/>
  <c r="AF1085" i="3"/>
  <c r="W1085" i="3" s="1"/>
  <c r="AF1084" i="3"/>
  <c r="W1084" i="3" s="1"/>
  <c r="AF1083" i="3"/>
  <c r="W1083" i="3" s="1"/>
  <c r="AF1082" i="3"/>
  <c r="W1082" i="3" s="1"/>
  <c r="AF1080" i="3"/>
  <c r="W1080" i="3" s="1"/>
  <c r="AF1079" i="3"/>
  <c r="W1079" i="3" s="1"/>
  <c r="AF1078" i="3"/>
  <c r="W1078" i="3" s="1"/>
  <c r="AF1076" i="3"/>
  <c r="W1076" i="3" s="1"/>
  <c r="AF1074" i="3"/>
  <c r="W1074" i="3" s="1"/>
  <c r="AF1072" i="3"/>
  <c r="W1072" i="3" s="1"/>
  <c r="AF1071" i="3"/>
  <c r="W1071" i="3" s="1"/>
  <c r="AF1070" i="3"/>
  <c r="W1070" i="3" s="1"/>
  <c r="AF1069" i="3"/>
  <c r="W1069" i="3" s="1"/>
  <c r="AF1067" i="3"/>
  <c r="W1067" i="3" s="1"/>
  <c r="AF1066" i="3"/>
  <c r="W1066" i="3" s="1"/>
  <c r="AF1065" i="3"/>
  <c r="W1065" i="3" s="1"/>
  <c r="AF1064" i="3"/>
  <c r="W1064" i="3" s="1"/>
  <c r="AF1063" i="3"/>
  <c r="W1063" i="3" s="1"/>
  <c r="AF1061" i="3"/>
  <c r="W1061" i="3" s="1"/>
  <c r="AF1060" i="3"/>
  <c r="W1060" i="3" s="1"/>
  <c r="AF1058" i="3"/>
  <c r="W1058" i="3" s="1"/>
  <c r="AF1057" i="3"/>
  <c r="W1057" i="3" s="1"/>
  <c r="AF1056" i="3"/>
  <c r="W1056" i="3" s="1"/>
  <c r="AF1055" i="3"/>
  <c r="W1055" i="3" s="1"/>
  <c r="AF1054" i="3"/>
  <c r="W1054" i="3" s="1"/>
  <c r="AF1051" i="3"/>
  <c r="W1051" i="3" s="1"/>
  <c r="AF1050" i="3"/>
  <c r="W1050" i="3" s="1"/>
  <c r="AF1049" i="3"/>
  <c r="W1049" i="3" s="1"/>
  <c r="AF1048" i="3"/>
  <c r="W1048" i="3" s="1"/>
  <c r="AF1047" i="3"/>
  <c r="W1047" i="3" s="1"/>
  <c r="AF1046" i="3"/>
  <c r="W1046" i="3" s="1"/>
  <c r="AF1045" i="3"/>
  <c r="W1045" i="3" s="1"/>
  <c r="AF1044" i="3"/>
  <c r="W1044" i="3" s="1"/>
  <c r="AF1043" i="3"/>
  <c r="W1043" i="3" s="1"/>
  <c r="AF1042" i="3"/>
  <c r="W1042" i="3" s="1"/>
  <c r="AF1041" i="3"/>
  <c r="W1041" i="3" s="1"/>
  <c r="AF1040" i="3"/>
  <c r="W1040" i="3" s="1"/>
  <c r="AF1039" i="3"/>
  <c r="W1039" i="3" s="1"/>
  <c r="AF1038" i="3"/>
  <c r="W1038" i="3" s="1"/>
  <c r="AF1037" i="3"/>
  <c r="W1037" i="3" s="1"/>
  <c r="AF1036" i="3"/>
  <c r="W1036" i="3" s="1"/>
  <c r="AF1034" i="3"/>
  <c r="W1034" i="3" s="1"/>
  <c r="AF1032" i="3"/>
  <c r="W1032" i="3" s="1"/>
  <c r="AF1031" i="3"/>
  <c r="W1031" i="3" s="1"/>
  <c r="AF1029" i="3"/>
  <c r="W1029" i="3" s="1"/>
  <c r="AF1028" i="3"/>
  <c r="W1028" i="3" s="1"/>
  <c r="AF1027" i="3"/>
  <c r="W1027" i="3" s="1"/>
  <c r="AF1026" i="3"/>
  <c r="W1026" i="3" s="1"/>
  <c r="AF1025" i="3"/>
  <c r="W1025" i="3" s="1"/>
  <c r="AF1024" i="3"/>
  <c r="W1024" i="3" s="1"/>
  <c r="AF1022" i="3"/>
  <c r="W1022" i="3" s="1"/>
  <c r="AF1021" i="3"/>
  <c r="W1021" i="3" s="1"/>
  <c r="AF1020" i="3"/>
  <c r="W1020" i="3" s="1"/>
  <c r="AF1019" i="3"/>
  <c r="W1019" i="3" s="1"/>
  <c r="AF1018" i="3"/>
  <c r="W1018" i="3" s="1"/>
  <c r="AF1017" i="3"/>
  <c r="W1017" i="3" s="1"/>
  <c r="AF1016" i="3"/>
  <c r="W1016" i="3" s="1"/>
  <c r="AF1015" i="3"/>
  <c r="W1015" i="3" s="1"/>
  <c r="AF1014" i="3"/>
  <c r="W1014" i="3" s="1"/>
  <c r="AF1013" i="3"/>
  <c r="W1013" i="3" s="1"/>
  <c r="AF1012" i="3"/>
  <c r="W1012" i="3" s="1"/>
  <c r="AF1011" i="3"/>
  <c r="W1011" i="3" s="1"/>
  <c r="AF1010" i="3"/>
  <c r="W1010" i="3" s="1"/>
  <c r="AF1009" i="3"/>
  <c r="W1009" i="3" s="1"/>
  <c r="AF1008" i="3"/>
  <c r="W1008" i="3" s="1"/>
  <c r="AF1007" i="3"/>
  <c r="W1007" i="3" s="1"/>
  <c r="AF1006" i="3"/>
  <c r="W1006" i="3" s="1"/>
  <c r="AF1005" i="3"/>
  <c r="W1005" i="3" s="1"/>
  <c r="AF1004" i="3"/>
  <c r="W1004" i="3" s="1"/>
  <c r="AF1003" i="3"/>
  <c r="W1003" i="3" s="1"/>
  <c r="AF1002" i="3"/>
  <c r="W1002" i="3" s="1"/>
  <c r="AF1001" i="3"/>
  <c r="W1001" i="3" s="1"/>
  <c r="AF1000" i="3"/>
  <c r="W1000" i="3" s="1"/>
  <c r="AF997" i="3"/>
  <c r="W997" i="3" s="1"/>
  <c r="AF993" i="3"/>
  <c r="W993" i="3" s="1"/>
  <c r="AF984" i="3"/>
  <c r="W984" i="3" s="1"/>
  <c r="AF983" i="3"/>
  <c r="W983" i="3" s="1"/>
  <c r="AF981" i="3"/>
  <c r="W981" i="3" s="1"/>
  <c r="AF979" i="3"/>
  <c r="W979" i="3" s="1"/>
  <c r="AF977" i="3"/>
  <c r="W977" i="3" s="1"/>
  <c r="AF974" i="3"/>
  <c r="W974" i="3" s="1"/>
  <c r="AF973" i="3"/>
  <c r="W973" i="3" s="1"/>
  <c r="AF971" i="3"/>
  <c r="W971" i="3" s="1"/>
  <c r="AF967" i="3"/>
  <c r="W967" i="3" s="1"/>
  <c r="AF965" i="3"/>
  <c r="W965" i="3" s="1"/>
  <c r="AF961" i="3"/>
  <c r="W961" i="3" s="1"/>
  <c r="AF959" i="3"/>
  <c r="W959" i="3" s="1"/>
  <c r="AF958" i="3"/>
  <c r="W958" i="3" s="1"/>
  <c r="AF955" i="3"/>
  <c r="W955" i="3" s="1"/>
  <c r="AF947" i="3"/>
  <c r="W947" i="3" s="1"/>
  <c r="AF941" i="3"/>
  <c r="W941" i="3" s="1"/>
  <c r="AF939" i="3"/>
  <c r="W939" i="3" s="1"/>
  <c r="AF937" i="3"/>
  <c r="W937" i="3" s="1"/>
  <c r="AF932" i="3"/>
  <c r="W932" i="3" s="1"/>
  <c r="AF931" i="3"/>
  <c r="W931" i="3" s="1"/>
  <c r="AF930" i="3"/>
  <c r="W930" i="3" s="1"/>
  <c r="AF906" i="3"/>
  <c r="W906" i="3" s="1"/>
  <c r="AF926" i="3"/>
  <c r="W926" i="3" s="1"/>
  <c r="AF923" i="3"/>
  <c r="W923" i="3" s="1"/>
  <c r="AF922" i="3"/>
  <c r="W922" i="3" s="1"/>
  <c r="AF920" i="3"/>
  <c r="W920" i="3" s="1"/>
  <c r="AF917" i="3"/>
  <c r="W917" i="3" s="1"/>
  <c r="AF916" i="3"/>
  <c r="W916" i="3" s="1"/>
  <c r="AF914" i="3"/>
  <c r="W914" i="3" s="1"/>
  <c r="AF913" i="3"/>
  <c r="W913" i="3" s="1"/>
  <c r="AF905" i="3"/>
  <c r="W905" i="3" s="1"/>
  <c r="AF903" i="3"/>
  <c r="W903" i="3" s="1"/>
  <c r="AF900" i="3"/>
  <c r="W900" i="3" s="1"/>
  <c r="AF898" i="3"/>
  <c r="W898" i="3" s="1"/>
  <c r="AF896" i="3"/>
  <c r="W896" i="3" s="1"/>
  <c r="AF894" i="3"/>
  <c r="W894" i="3" s="1"/>
  <c r="AF892" i="3"/>
  <c r="W892" i="3" s="1"/>
  <c r="AF890" i="3"/>
  <c r="W890" i="3" s="1"/>
  <c r="AF886" i="3"/>
  <c r="W886" i="3" s="1"/>
  <c r="AF884" i="3"/>
  <c r="W884" i="3" s="1"/>
  <c r="AF882" i="3"/>
  <c r="W882" i="3" s="1"/>
  <c r="AF881" i="3"/>
  <c r="W881" i="3" s="1"/>
  <c r="AF880" i="3"/>
  <c r="W880" i="3" s="1"/>
  <c r="AF876" i="3"/>
  <c r="W876" i="3" s="1"/>
  <c r="AF873" i="3"/>
  <c r="W873" i="3" s="1"/>
  <c r="AF870" i="3"/>
  <c r="W870" i="3" s="1"/>
  <c r="AF864" i="3"/>
  <c r="W864" i="3" s="1"/>
  <c r="AF857" i="3"/>
  <c r="W857" i="3" s="1"/>
  <c r="AF855" i="3"/>
  <c r="W855" i="3" s="1"/>
  <c r="AF854" i="3"/>
  <c r="W854" i="3" s="1"/>
  <c r="AF852" i="3"/>
  <c r="W852" i="3" s="1"/>
  <c r="AF851" i="3"/>
  <c r="W851" i="3" s="1"/>
  <c r="AF850" i="3"/>
  <c r="W850" i="3" s="1"/>
  <c r="AF849" i="3"/>
  <c r="W849" i="3" s="1"/>
  <c r="AF847" i="3"/>
  <c r="W847" i="3" s="1"/>
  <c r="AF843" i="3"/>
  <c r="W843" i="3" s="1"/>
  <c r="AF840" i="3"/>
  <c r="W840" i="3" s="1"/>
  <c r="AF838" i="3"/>
  <c r="W838" i="3" s="1"/>
  <c r="AF836" i="3"/>
  <c r="W836" i="3" s="1"/>
  <c r="AF834" i="3"/>
  <c r="W834" i="3" s="1"/>
  <c r="AF832" i="3"/>
  <c r="W832" i="3" s="1"/>
  <c r="AF830" i="3"/>
  <c r="W830" i="3" s="1"/>
  <c r="AF821" i="3"/>
  <c r="W821" i="3" s="1"/>
  <c r="AF819" i="3"/>
  <c r="W819" i="3" s="1"/>
  <c r="AF812" i="3"/>
  <c r="W812" i="3" s="1"/>
  <c r="AF810" i="3"/>
  <c r="W810" i="3" s="1"/>
  <c r="AF809" i="3"/>
  <c r="W809" i="3" s="1"/>
  <c r="AF808" i="3"/>
  <c r="W808" i="3" s="1"/>
  <c r="AF807" i="3"/>
  <c r="W807" i="3" s="1"/>
  <c r="AF806" i="3"/>
  <c r="W806" i="3" s="1"/>
  <c r="AF805" i="3"/>
  <c r="W805" i="3" s="1"/>
  <c r="AF798" i="3"/>
  <c r="W798" i="3" s="1"/>
  <c r="AF795" i="3"/>
  <c r="W795" i="3" s="1"/>
  <c r="AF793" i="3"/>
  <c r="W793" i="3" s="1"/>
  <c r="AF789" i="3"/>
  <c r="W789" i="3" s="1"/>
  <c r="AF787" i="3"/>
  <c r="W787" i="3" s="1"/>
  <c r="AF784" i="3"/>
  <c r="W784" i="3" s="1"/>
  <c r="AF782" i="3"/>
  <c r="W782" i="3" s="1"/>
  <c r="AF780" i="3"/>
  <c r="W780" i="3" s="1"/>
  <c r="AF779" i="3"/>
  <c r="W779" i="3" s="1"/>
  <c r="AF778" i="3"/>
  <c r="W778" i="3" s="1"/>
  <c r="AF774" i="3"/>
  <c r="W774" i="3" s="1"/>
  <c r="AF772" i="3"/>
  <c r="W772" i="3" s="1"/>
  <c r="AF771" i="3"/>
  <c r="W771" i="3" s="1"/>
  <c r="AF767" i="3"/>
  <c r="W767" i="3" s="1"/>
  <c r="AF766" i="3"/>
  <c r="W766" i="3" s="1"/>
  <c r="AF762" i="3"/>
  <c r="W762" i="3" s="1"/>
  <c r="AF761" i="3"/>
  <c r="W761" i="3" s="1"/>
  <c r="AF760" i="3"/>
  <c r="W760" i="3" s="1"/>
  <c r="AF759" i="3"/>
  <c r="W759" i="3" s="1"/>
  <c r="AF758" i="3"/>
  <c r="W758" i="3" s="1"/>
  <c r="AF757" i="3"/>
  <c r="W757" i="3" s="1"/>
  <c r="AF748" i="3"/>
  <c r="W748" i="3" s="1"/>
  <c r="AF747" i="3"/>
  <c r="W747" i="3" s="1"/>
  <c r="AF746" i="3"/>
  <c r="W746" i="3" s="1"/>
  <c r="AF745" i="3"/>
  <c r="W745" i="3" s="1"/>
  <c r="AF744" i="3"/>
  <c r="W744" i="3" s="1"/>
  <c r="AF743" i="3"/>
  <c r="W743" i="3" s="1"/>
  <c r="AF742" i="3"/>
  <c r="W742" i="3" s="1"/>
  <c r="AF741" i="3"/>
  <c r="W741" i="3" s="1"/>
  <c r="AF740" i="3"/>
  <c r="W740" i="3" s="1"/>
  <c r="AF719" i="3"/>
  <c r="W719" i="3" s="1"/>
  <c r="AF718" i="3"/>
  <c r="AF717" i="3"/>
  <c r="W717" i="3" s="1"/>
  <c r="AF716" i="3"/>
  <c r="W716" i="3" s="1"/>
  <c r="AF715" i="3"/>
  <c r="W715" i="3" s="1"/>
  <c r="AF713" i="3"/>
  <c r="W713" i="3" s="1"/>
  <c r="AF705" i="3"/>
  <c r="W705" i="3" s="1"/>
  <c r="AF704" i="3"/>
  <c r="W704" i="3" s="1"/>
  <c r="AF702" i="3"/>
  <c r="W702" i="3" s="1"/>
  <c r="AF701" i="3"/>
  <c r="W701" i="3" s="1"/>
  <c r="AF700" i="3"/>
  <c r="W700" i="3" s="1"/>
  <c r="AF699" i="3"/>
  <c r="W699" i="3" s="1"/>
  <c r="AF698" i="3"/>
  <c r="W698" i="3" s="1"/>
  <c r="AF695" i="3"/>
  <c r="W695" i="3" s="1"/>
  <c r="AF691" i="3"/>
  <c r="W691" i="3" s="1"/>
  <c r="AF690" i="3"/>
  <c r="W690" i="3" s="1"/>
  <c r="AF689" i="3"/>
  <c r="W689" i="3" s="1"/>
  <c r="AF688" i="3"/>
  <c r="W688" i="3" s="1"/>
  <c r="AF687" i="3"/>
  <c r="W687" i="3" s="1"/>
  <c r="AF686" i="3"/>
  <c r="W686" i="3" s="1"/>
  <c r="AF685" i="3"/>
  <c r="W685" i="3" s="1"/>
  <c r="AF684" i="3"/>
  <c r="W684" i="3" s="1"/>
  <c r="AF683" i="3"/>
  <c r="W683" i="3" s="1"/>
  <c r="AF682" i="3"/>
  <c r="W682" i="3" s="1"/>
  <c r="AF681" i="3"/>
  <c r="W681" i="3" s="1"/>
  <c r="AF677" i="3"/>
  <c r="W677" i="3" s="1"/>
  <c r="AF676" i="3"/>
  <c r="W676" i="3" s="1"/>
  <c r="AF675" i="3"/>
  <c r="W675" i="3" s="1"/>
  <c r="AF674" i="3"/>
  <c r="W674" i="3" s="1"/>
  <c r="AF673" i="3"/>
  <c r="W673" i="3" s="1"/>
  <c r="AF664" i="3"/>
  <c r="W664" i="3" s="1"/>
  <c r="AF657" i="3"/>
  <c r="W657" i="3" s="1"/>
  <c r="AF656" i="3"/>
  <c r="W656" i="3" s="1"/>
  <c r="AF655" i="3"/>
  <c r="W655" i="3" s="1"/>
  <c r="AF654" i="3"/>
  <c r="W654" i="3" s="1"/>
  <c r="AF653" i="3"/>
  <c r="W653" i="3" s="1"/>
  <c r="AF652" i="3"/>
  <c r="W652" i="3" s="1"/>
  <c r="AF651" i="3"/>
  <c r="W651" i="3" s="1"/>
  <c r="AF650" i="3"/>
  <c r="W650" i="3" s="1"/>
  <c r="AF647" i="3"/>
  <c r="W647" i="3" s="1"/>
  <c r="AF646" i="3"/>
  <c r="W646" i="3" s="1"/>
  <c r="AF645" i="3"/>
  <c r="W645" i="3" s="1"/>
  <c r="AF644" i="3"/>
  <c r="W644" i="3" s="1"/>
  <c r="AF642" i="3"/>
  <c r="W642" i="3" s="1"/>
  <c r="AF620" i="3"/>
  <c r="W620" i="3" s="1"/>
  <c r="AF619" i="3"/>
  <c r="W619" i="3" s="1"/>
  <c r="AF617" i="3"/>
  <c r="W617" i="3" s="1"/>
  <c r="AF616" i="3"/>
  <c r="W616" i="3" s="1"/>
  <c r="AF615" i="3"/>
  <c r="W615" i="3" s="1"/>
  <c r="AF614" i="3"/>
  <c r="W614" i="3" s="1"/>
  <c r="AF612" i="3"/>
  <c r="W612" i="3" s="1"/>
  <c r="AF609" i="3"/>
  <c r="W609" i="3" s="1"/>
  <c r="AF607" i="3"/>
  <c r="W607" i="3" s="1"/>
  <c r="AF606" i="3"/>
  <c r="W606" i="3" s="1"/>
  <c r="AF605" i="3"/>
  <c r="W605" i="3" s="1"/>
  <c r="AF603" i="3"/>
  <c r="W603" i="3" s="1"/>
  <c r="AF598" i="3"/>
  <c r="W598" i="3" s="1"/>
  <c r="AF595" i="3"/>
  <c r="W595" i="3" s="1"/>
  <c r="AF594" i="3"/>
  <c r="W594" i="3" s="1"/>
  <c r="AF593" i="3"/>
  <c r="W593" i="3" s="1"/>
  <c r="AF592" i="3"/>
  <c r="W592" i="3" s="1"/>
  <c r="AF591" i="3"/>
  <c r="W591" i="3" s="1"/>
  <c r="AF590" i="3"/>
  <c r="W590" i="3" s="1"/>
  <c r="AF589" i="3"/>
  <c r="W589" i="3" s="1"/>
  <c r="AF588" i="3"/>
  <c r="W588" i="3" s="1"/>
  <c r="AF587" i="3"/>
  <c r="W587" i="3" s="1"/>
  <c r="AF586" i="3"/>
  <c r="W586" i="3" s="1"/>
  <c r="AF585" i="3"/>
  <c r="W585" i="3" s="1"/>
  <c r="AF584" i="3"/>
  <c r="W584" i="3" s="1"/>
  <c r="AF583" i="3"/>
  <c r="W583" i="3" s="1"/>
  <c r="AF582" i="3"/>
  <c r="W582" i="3" s="1"/>
  <c r="AF581" i="3"/>
  <c r="W581" i="3" s="1"/>
  <c r="AF580" i="3"/>
  <c r="W580" i="3" s="1"/>
  <c r="AF579" i="3"/>
  <c r="W579" i="3" s="1"/>
  <c r="AF578" i="3"/>
  <c r="W578" i="3" s="1"/>
  <c r="AF577" i="3"/>
  <c r="W577" i="3" s="1"/>
  <c r="AF575" i="3"/>
  <c r="W575" i="3" s="1"/>
  <c r="AF574" i="3"/>
  <c r="W574" i="3" s="1"/>
  <c r="AF572" i="3"/>
  <c r="W572" i="3" s="1"/>
  <c r="AF571" i="3"/>
  <c r="W571" i="3" s="1"/>
  <c r="AF570" i="3"/>
  <c r="W570" i="3" s="1"/>
  <c r="AF568" i="3"/>
  <c r="W568" i="3" s="1"/>
  <c r="AF567" i="3"/>
  <c r="W567" i="3" s="1"/>
  <c r="AF566" i="3"/>
  <c r="W566" i="3" s="1"/>
  <c r="AF565" i="3"/>
  <c r="W565" i="3" s="1"/>
  <c r="AF564" i="3"/>
  <c r="W564" i="3" s="1"/>
  <c r="AF563" i="3"/>
  <c r="W563" i="3" s="1"/>
  <c r="AF562" i="3"/>
  <c r="W562" i="3" s="1"/>
  <c r="AF561" i="3"/>
  <c r="W561" i="3" s="1"/>
  <c r="AF560" i="3"/>
  <c r="W560" i="3" s="1"/>
  <c r="AF559" i="3"/>
  <c r="W559" i="3" s="1"/>
  <c r="AF558" i="3"/>
  <c r="W558" i="3" s="1"/>
  <c r="AF557" i="3"/>
  <c r="W557" i="3" s="1"/>
  <c r="AF556" i="3"/>
  <c r="W556" i="3" s="1"/>
  <c r="AF555" i="3"/>
  <c r="W555" i="3" s="1"/>
  <c r="AF554" i="3"/>
  <c r="W554" i="3" s="1"/>
  <c r="AF553" i="3"/>
  <c r="W553" i="3" s="1"/>
  <c r="AF552" i="3"/>
  <c r="W552" i="3" s="1"/>
  <c r="AF549" i="3"/>
  <c r="W549" i="3" s="1"/>
  <c r="AF543" i="3"/>
  <c r="W543" i="3" s="1"/>
  <c r="AF541" i="3"/>
  <c r="W541" i="3" s="1"/>
  <c r="AF530" i="3"/>
  <c r="W530" i="3" s="1"/>
  <c r="AF528" i="3"/>
  <c r="W528" i="3" s="1"/>
  <c r="AF525" i="3"/>
  <c r="W525" i="3" s="1"/>
  <c r="AF523" i="3"/>
  <c r="W523" i="3" s="1"/>
  <c r="AF520" i="3"/>
  <c r="W520" i="3" s="1"/>
  <c r="AF519" i="3"/>
  <c r="W519" i="3" s="1"/>
  <c r="AF517" i="3"/>
  <c r="W517" i="3" s="1"/>
  <c r="AF512" i="3"/>
  <c r="W512" i="3" s="1"/>
  <c r="AF509" i="3"/>
  <c r="W509" i="3" s="1"/>
  <c r="AF507" i="3"/>
  <c r="W507" i="3" s="1"/>
  <c r="AF504" i="3"/>
  <c r="W504" i="3" s="1"/>
  <c r="AF502" i="3"/>
  <c r="W502" i="3" s="1"/>
  <c r="AF498" i="3"/>
  <c r="W498" i="3" s="1"/>
  <c r="AF496" i="3"/>
  <c r="W496" i="3" s="1"/>
  <c r="AF495" i="3"/>
  <c r="W495" i="3" s="1"/>
  <c r="AF494" i="3"/>
  <c r="W494" i="3" s="1"/>
  <c r="AF493" i="3"/>
  <c r="W493" i="3" s="1"/>
  <c r="AF489" i="3"/>
  <c r="W489" i="3" s="1"/>
  <c r="AF485" i="3"/>
  <c r="W485" i="3" s="1"/>
  <c r="AF484" i="3"/>
  <c r="W484" i="3" s="1"/>
  <c r="AF483" i="3"/>
  <c r="W483" i="3" s="1"/>
  <c r="AF482" i="3"/>
  <c r="W482" i="3" s="1"/>
  <c r="AF481" i="3"/>
  <c r="W481" i="3" s="1"/>
  <c r="AF480" i="3"/>
  <c r="W480" i="3" s="1"/>
  <c r="AF478" i="3"/>
  <c r="W478" i="3" s="1"/>
  <c r="AF477" i="3"/>
  <c r="W477" i="3" s="1"/>
  <c r="AF476" i="3"/>
  <c r="W476" i="3" s="1"/>
  <c r="AF475" i="3"/>
  <c r="W475" i="3" s="1"/>
  <c r="AF470" i="3"/>
  <c r="W470" i="3" s="1"/>
  <c r="AF469" i="3"/>
  <c r="W469" i="3" s="1"/>
  <c r="AF468" i="3"/>
  <c r="W468" i="3" s="1"/>
  <c r="AF466" i="3"/>
  <c r="W466" i="3" s="1"/>
  <c r="AF463" i="3"/>
  <c r="W463" i="3" s="1"/>
  <c r="AF460" i="3"/>
  <c r="W460" i="3" s="1"/>
  <c r="AF458" i="3"/>
  <c r="W458" i="3" s="1"/>
  <c r="AF454" i="3"/>
  <c r="W454" i="3" s="1"/>
  <c r="AF452" i="3"/>
  <c r="W452" i="3" s="1"/>
  <c r="AF450" i="3"/>
  <c r="W450" i="3" s="1"/>
  <c r="AF448" i="3"/>
  <c r="W448" i="3" s="1"/>
  <c r="AF447" i="3"/>
  <c r="W447" i="3" s="1"/>
  <c r="AF444" i="3"/>
  <c r="W444" i="3" s="1"/>
  <c r="AF443" i="3"/>
  <c r="W443" i="3" s="1"/>
  <c r="AF442" i="3"/>
  <c r="W442" i="3" s="1"/>
  <c r="AF441" i="3"/>
  <c r="W441" i="3" s="1"/>
  <c r="AF440" i="3"/>
  <c r="W440" i="3" s="1"/>
  <c r="AF437" i="3"/>
  <c r="W437" i="3" s="1"/>
  <c r="AF436" i="3"/>
  <c r="W436" i="3" s="1"/>
  <c r="AF434" i="3"/>
  <c r="W434" i="3" s="1"/>
  <c r="AF432" i="3"/>
  <c r="W432" i="3" s="1"/>
  <c r="AF431" i="3"/>
  <c r="W431" i="3" s="1"/>
  <c r="AF430" i="3"/>
  <c r="W430" i="3" s="1"/>
  <c r="AF424" i="3"/>
  <c r="W424" i="3" s="1"/>
  <c r="AF423" i="3"/>
  <c r="W423" i="3" s="1"/>
  <c r="AF421" i="3"/>
  <c r="W421" i="3" s="1"/>
  <c r="AF419" i="3"/>
  <c r="W419" i="3" s="1"/>
  <c r="AF417" i="3"/>
  <c r="W417" i="3" s="1"/>
  <c r="AF414" i="3"/>
  <c r="W414" i="3" s="1"/>
  <c r="AF413" i="3"/>
  <c r="W413" i="3" s="1"/>
  <c r="AF407" i="3"/>
  <c r="W407" i="3" s="1"/>
  <c r="AF405" i="3"/>
  <c r="W405" i="3" s="1"/>
  <c r="AF404" i="3"/>
  <c r="W404" i="3" s="1"/>
  <c r="AF403" i="3"/>
  <c r="W403" i="3" s="1"/>
  <c r="AF400" i="3"/>
  <c r="W400" i="3" s="1"/>
  <c r="AF399" i="3"/>
  <c r="W399" i="3" s="1"/>
  <c r="AF394" i="3"/>
  <c r="W394" i="3" s="1"/>
  <c r="AF390" i="3"/>
  <c r="W390" i="3" s="1"/>
  <c r="AF387" i="3"/>
  <c r="W387" i="3" s="1"/>
  <c r="AF382" i="3"/>
  <c r="W382" i="3" s="1"/>
  <c r="AF380" i="3"/>
  <c r="W380" i="3" s="1"/>
  <c r="AF378" i="3"/>
  <c r="AF375" i="3"/>
  <c r="W375" i="3" s="1"/>
  <c r="AF373" i="3"/>
  <c r="W373" i="3" s="1"/>
  <c r="AF372" i="3"/>
  <c r="W372" i="3" s="1"/>
  <c r="AF370" i="3"/>
  <c r="W370" i="3" s="1"/>
  <c r="AF369" i="3"/>
  <c r="W369" i="3" s="1"/>
  <c r="AF368" i="3"/>
  <c r="W368" i="3" s="1"/>
  <c r="AF365" i="3"/>
  <c r="W365" i="3" s="1"/>
  <c r="AF364" i="3"/>
  <c r="W364" i="3" s="1"/>
  <c r="AF363" i="3"/>
  <c r="W363" i="3" s="1"/>
  <c r="AF362" i="3"/>
  <c r="W362" i="3" s="1"/>
  <c r="AF361" i="3"/>
  <c r="W361" i="3" s="1"/>
  <c r="AF358" i="3"/>
  <c r="AF355" i="3"/>
  <c r="W355" i="3" s="1"/>
  <c r="AF353" i="3"/>
  <c r="W353" i="3" s="1"/>
  <c r="AF348" i="3"/>
  <c r="W348" i="3" s="1"/>
  <c r="AF343" i="3"/>
  <c r="W343" i="3" s="1"/>
  <c r="AF336" i="3"/>
  <c r="W336" i="3" s="1"/>
  <c r="AF335" i="3"/>
  <c r="W335" i="3" s="1"/>
  <c r="AF334" i="3"/>
  <c r="W334" i="3" s="1"/>
  <c r="AF333" i="3"/>
  <c r="W333" i="3" s="1"/>
  <c r="AF327" i="3"/>
  <c r="W327" i="3" s="1"/>
  <c r="AF326" i="3"/>
  <c r="W326" i="3" s="1"/>
  <c r="AF325" i="3"/>
  <c r="W325" i="3" s="1"/>
  <c r="AF324" i="3"/>
  <c r="W324" i="3" s="1"/>
  <c r="AF322" i="3"/>
  <c r="W322" i="3" s="1"/>
  <c r="AF320" i="3"/>
  <c r="W320" i="3" s="1"/>
  <c r="AF319" i="3"/>
  <c r="W319" i="3" s="1"/>
  <c r="AF318" i="3"/>
  <c r="W318" i="3" s="1"/>
  <c r="AF314" i="3"/>
  <c r="W314" i="3" s="1"/>
  <c r="AF313" i="3"/>
  <c r="W313" i="3" s="1"/>
  <c r="AF310" i="3"/>
  <c r="W310" i="3" s="1"/>
  <c r="AF309" i="3"/>
  <c r="W309" i="3" s="1"/>
  <c r="AF308" i="3"/>
  <c r="W308" i="3" s="1"/>
  <c r="AF307" i="3"/>
  <c r="W307" i="3" s="1"/>
  <c r="AF306" i="3"/>
  <c r="W306" i="3" s="1"/>
  <c r="AF304" i="3"/>
  <c r="W304" i="3" s="1"/>
  <c r="AF298" i="3"/>
  <c r="W298" i="3" s="1"/>
  <c r="AF290" i="3"/>
  <c r="W290" i="3" s="1"/>
  <c r="AF289" i="3"/>
  <c r="W289" i="3" s="1"/>
  <c r="AF285" i="3"/>
  <c r="W285" i="3" s="1"/>
  <c r="AF284" i="3"/>
  <c r="W284" i="3" s="1"/>
  <c r="AF282" i="3"/>
  <c r="W282" i="3" s="1"/>
  <c r="AF280" i="3"/>
  <c r="W280" i="3" s="1"/>
  <c r="AF277" i="3"/>
  <c r="W277" i="3" s="1"/>
  <c r="AF276" i="3"/>
  <c r="W276" i="3" s="1"/>
  <c r="AF275" i="3"/>
  <c r="AF273" i="3"/>
  <c r="W273" i="3" s="1"/>
  <c r="AF272" i="3"/>
  <c r="W272" i="3" s="1"/>
  <c r="AF271" i="3"/>
  <c r="W271" i="3" s="1"/>
  <c r="AF270" i="3"/>
  <c r="W270" i="3" s="1"/>
  <c r="AF269" i="3"/>
  <c r="W269" i="3" s="1"/>
  <c r="AF267" i="3"/>
  <c r="W267" i="3" s="1"/>
  <c r="AF266" i="3"/>
  <c r="W266" i="3" s="1"/>
  <c r="AF265" i="3"/>
  <c r="W265" i="3" s="1"/>
  <c r="AF264" i="3"/>
  <c r="W264" i="3" s="1"/>
  <c r="AF263" i="3"/>
  <c r="W263" i="3" s="1"/>
  <c r="AF261" i="3"/>
  <c r="W261" i="3" s="1"/>
  <c r="AF260" i="3"/>
  <c r="W260" i="3" s="1"/>
  <c r="AF259" i="3"/>
  <c r="W259" i="3" s="1"/>
  <c r="AF257" i="3"/>
  <c r="W257" i="3" s="1"/>
  <c r="AF255" i="3"/>
  <c r="W255" i="3" s="1"/>
  <c r="AF253" i="3"/>
  <c r="W253" i="3" s="1"/>
  <c r="AF252" i="3"/>
  <c r="W252" i="3" s="1"/>
  <c r="AF251" i="3"/>
  <c r="W251" i="3" s="1"/>
  <c r="AF250" i="3"/>
  <c r="W250" i="3" s="1"/>
  <c r="AF248" i="3"/>
  <c r="W248" i="3" s="1"/>
  <c r="AF247" i="3"/>
  <c r="W247" i="3" s="1"/>
  <c r="AF246" i="3"/>
  <c r="W246" i="3" s="1"/>
  <c r="AF236" i="3"/>
  <c r="W236" i="3" s="1"/>
  <c r="AF220" i="3"/>
  <c r="W220" i="3" s="1"/>
  <c r="AF214" i="3"/>
  <c r="W214" i="3" s="1"/>
  <c r="AF212" i="3"/>
  <c r="W212" i="3" s="1"/>
  <c r="AF209" i="3"/>
  <c r="W209" i="3" s="1"/>
  <c r="AF208" i="3"/>
  <c r="W208" i="3" s="1"/>
  <c r="AF206" i="3"/>
  <c r="W206" i="3" s="1"/>
  <c r="AF200" i="3"/>
  <c r="W200" i="3" s="1"/>
  <c r="AF199" i="3"/>
  <c r="W199" i="3" s="1"/>
  <c r="AF195" i="3"/>
  <c r="W195" i="3" s="1"/>
  <c r="AF194" i="3"/>
  <c r="W194" i="3" s="1"/>
  <c r="AF193" i="3"/>
  <c r="W193" i="3" s="1"/>
  <c r="AF187" i="3"/>
  <c r="W187" i="3" s="1"/>
  <c r="AF186" i="3"/>
  <c r="W186" i="3" s="1"/>
  <c r="AF185" i="3"/>
  <c r="W185" i="3" s="1"/>
  <c r="AF184" i="3"/>
  <c r="W184" i="3" s="1"/>
  <c r="AF183" i="3"/>
  <c r="W183" i="3" s="1"/>
  <c r="AF175" i="3"/>
  <c r="W175" i="3" s="1"/>
  <c r="AF169" i="3"/>
  <c r="W169" i="3" s="1"/>
  <c r="AF167" i="3"/>
  <c r="W167" i="3" s="1"/>
  <c r="AF166" i="3"/>
  <c r="W166" i="3" s="1"/>
  <c r="AF165" i="3"/>
  <c r="W165" i="3" s="1"/>
  <c r="AF163" i="3"/>
  <c r="W163" i="3" s="1"/>
  <c r="AF162" i="3"/>
  <c r="W162" i="3" s="1"/>
  <c r="AF161" i="3"/>
  <c r="W161" i="3" s="1"/>
  <c r="AF160" i="3"/>
  <c r="W160" i="3" s="1"/>
  <c r="AF158" i="3"/>
  <c r="W158" i="3" s="1"/>
  <c r="AF156" i="3"/>
  <c r="W156" i="3" s="1"/>
  <c r="AF155" i="3"/>
  <c r="W155" i="3" s="1"/>
  <c r="AF154" i="3"/>
  <c r="W154" i="3" s="1"/>
  <c r="AF152" i="3"/>
  <c r="W152" i="3" s="1"/>
  <c r="AF148" i="3"/>
  <c r="W148" i="3" s="1"/>
  <c r="AF147" i="3"/>
  <c r="W147" i="3" s="1"/>
  <c r="AF132" i="3"/>
  <c r="W132" i="3" s="1"/>
  <c r="AF131" i="3"/>
  <c r="W131" i="3" s="1"/>
  <c r="AF130" i="3"/>
  <c r="W130" i="3" s="1"/>
  <c r="AF129" i="3"/>
  <c r="W129" i="3" s="1"/>
  <c r="AF128" i="3"/>
  <c r="W128" i="3" s="1"/>
  <c r="AF127" i="3"/>
  <c r="W127" i="3" s="1"/>
  <c r="AF126" i="3"/>
  <c r="W126" i="3" s="1"/>
  <c r="AF125" i="3"/>
  <c r="W125" i="3" s="1"/>
  <c r="AF123" i="3"/>
  <c r="W123" i="3" s="1"/>
  <c r="AF122" i="3"/>
  <c r="W122" i="3" s="1"/>
  <c r="AF121" i="3"/>
  <c r="W121" i="3" s="1"/>
  <c r="AF119" i="3"/>
  <c r="W119" i="3" s="1"/>
  <c r="AF112" i="3"/>
  <c r="W112" i="3" s="1"/>
  <c r="AF109" i="3"/>
  <c r="W109" i="3" s="1"/>
  <c r="AF107" i="3"/>
  <c r="W107" i="3" s="1"/>
  <c r="AF105" i="3"/>
  <c r="W105" i="3" s="1"/>
  <c r="AF104" i="3"/>
  <c r="W104" i="3" s="1"/>
  <c r="AF103" i="3"/>
  <c r="W103" i="3" s="1"/>
  <c r="AF102" i="3"/>
  <c r="W102" i="3" s="1"/>
  <c r="AF101" i="3"/>
  <c r="W101" i="3" s="1"/>
  <c r="AF100" i="3"/>
  <c r="W100" i="3" s="1"/>
  <c r="AF99" i="3"/>
  <c r="W99" i="3" s="1"/>
  <c r="AF98" i="3"/>
  <c r="W98" i="3" s="1"/>
  <c r="AF97" i="3"/>
  <c r="W97" i="3" s="1"/>
  <c r="AF96" i="3"/>
  <c r="W96" i="3" s="1"/>
  <c r="AF93" i="3"/>
  <c r="W93" i="3" s="1"/>
  <c r="AF90" i="3"/>
  <c r="W90" i="3" s="1"/>
  <c r="AF85" i="3"/>
  <c r="W85" i="3" s="1"/>
  <c r="AF81" i="3"/>
  <c r="W81" i="3" s="1"/>
  <c r="AF80" i="3"/>
  <c r="W80" i="3" s="1"/>
  <c r="AF79" i="3"/>
  <c r="W79" i="3" s="1"/>
  <c r="AF78" i="3"/>
  <c r="W78" i="3" s="1"/>
  <c r="AF76" i="3"/>
  <c r="W76" i="3" s="1"/>
  <c r="AF74" i="3"/>
  <c r="W74" i="3" s="1"/>
  <c r="AF73" i="3"/>
  <c r="W73" i="3" s="1"/>
  <c r="AF72" i="3"/>
  <c r="W72" i="3" s="1"/>
  <c r="AF69" i="3"/>
  <c r="W69" i="3" s="1"/>
  <c r="AF68" i="3"/>
  <c r="W68" i="3" s="1"/>
  <c r="AF67" i="3"/>
  <c r="W67" i="3" s="1"/>
  <c r="AF62" i="3"/>
  <c r="W62" i="3" s="1"/>
  <c r="AF61" i="3"/>
  <c r="W61" i="3" s="1"/>
  <c r="AF60" i="3"/>
  <c r="W60" i="3" s="1"/>
  <c r="AF59" i="3"/>
  <c r="W59" i="3" s="1"/>
  <c r="AF58" i="3"/>
  <c r="W58" i="3" s="1"/>
  <c r="AF57" i="3"/>
  <c r="W57" i="3" s="1"/>
  <c r="AF56" i="3"/>
  <c r="W56" i="3" s="1"/>
  <c r="AF55" i="3"/>
  <c r="W55" i="3" s="1"/>
  <c r="AF54" i="3"/>
  <c r="W54" i="3" s="1"/>
  <c r="AF53" i="3"/>
  <c r="W53" i="3" s="1"/>
  <c r="AF52" i="3"/>
  <c r="W52" i="3" s="1"/>
  <c r="AF51" i="3"/>
  <c r="W51" i="3" s="1"/>
  <c r="AF50" i="3"/>
  <c r="W50" i="3" s="1"/>
  <c r="AF49" i="3"/>
  <c r="W49" i="3" s="1"/>
  <c r="AF48" i="3"/>
  <c r="W48" i="3" s="1"/>
  <c r="AF47" i="3"/>
  <c r="W47" i="3" s="1"/>
  <c r="AF44" i="3"/>
  <c r="W44" i="3" s="1"/>
  <c r="AF43" i="3"/>
  <c r="W43" i="3" s="1"/>
  <c r="AF38" i="3"/>
  <c r="W38" i="3" s="1"/>
  <c r="AF37" i="3"/>
  <c r="W37" i="3" s="1"/>
  <c r="AF34" i="3"/>
  <c r="W34" i="3" s="1"/>
  <c r="AF33" i="3"/>
  <c r="W33" i="3" s="1"/>
  <c r="AF32" i="3"/>
  <c r="W32" i="3" s="1"/>
  <c r="AF31" i="3"/>
  <c r="W31" i="3" s="1"/>
  <c r="AF30" i="3"/>
  <c r="W30" i="3" s="1"/>
  <c r="AF28" i="3"/>
  <c r="W28" i="3" s="1"/>
  <c r="AF27" i="3"/>
  <c r="W27" i="3" s="1"/>
  <c r="AF26" i="3"/>
  <c r="W26" i="3" s="1"/>
  <c r="AF25" i="3"/>
  <c r="W25" i="3" s="1"/>
  <c r="AF24" i="3"/>
  <c r="W24" i="3" s="1"/>
  <c r="AF23" i="3"/>
  <c r="W23" i="3" s="1"/>
  <c r="AF22" i="3"/>
  <c r="W22" i="3" s="1"/>
  <c r="AF21" i="3"/>
  <c r="W21" i="3" s="1"/>
  <c r="AF19" i="3"/>
  <c r="W19" i="3" s="1"/>
  <c r="AF17" i="3"/>
  <c r="W17" i="3" s="1"/>
  <c r="AF16" i="3"/>
  <c r="W16" i="3" s="1"/>
  <c r="W1216" i="3"/>
  <c r="W1144" i="3"/>
  <c r="W1132" i="3"/>
  <c r="W1117" i="3"/>
  <c r="W988" i="3"/>
  <c r="W987" i="3"/>
  <c r="W986" i="3"/>
  <c r="W910" i="3"/>
  <c r="W785" i="3"/>
  <c r="W770" i="3"/>
  <c r="W737" i="3"/>
  <c r="W733" i="3"/>
  <c r="W720" i="3"/>
  <c r="W709" i="3"/>
  <c r="W668" i="3"/>
  <c r="W667" i="3"/>
  <c r="W666" i="3"/>
  <c r="W665" i="3"/>
  <c r="W649" i="3"/>
  <c r="W534" i="3"/>
  <c r="W532" i="3"/>
  <c r="W531" i="3"/>
  <c r="W521" i="3"/>
  <c r="W515" i="3"/>
  <c r="W487" i="3"/>
  <c r="W473" i="3"/>
  <c r="W472" i="3"/>
  <c r="W471" i="3"/>
  <c r="W433" i="3"/>
  <c r="W427" i="3"/>
  <c r="W426" i="3"/>
  <c r="W425" i="3"/>
  <c r="W420" i="3"/>
  <c r="W388" i="3"/>
  <c r="W371" i="3"/>
  <c r="W366" i="3"/>
  <c r="W356" i="3"/>
  <c r="W352" i="3"/>
  <c r="W330" i="3"/>
  <c r="W302" i="3"/>
  <c r="W300" i="3"/>
  <c r="W299" i="3"/>
  <c r="W295" i="3"/>
  <c r="W287" i="3"/>
  <c r="W283" i="3"/>
  <c r="W262" i="3"/>
  <c r="W258" i="3"/>
  <c r="W239" i="3"/>
  <c r="W230" i="3"/>
  <c r="W213" i="3"/>
  <c r="W211" i="3"/>
  <c r="W205" i="3"/>
  <c r="W181" i="3"/>
  <c r="W177" i="3"/>
  <c r="W176" i="3"/>
  <c r="W174" i="3"/>
  <c r="W168" i="3"/>
  <c r="W164" i="3"/>
  <c r="W153" i="3"/>
  <c r="W146" i="3"/>
  <c r="W145" i="3"/>
  <c r="W144" i="3"/>
  <c r="W140" i="3"/>
  <c r="W138" i="3"/>
  <c r="W135" i="3"/>
  <c r="W134" i="3"/>
  <c r="W84" i="3"/>
  <c r="W35" i="3"/>
  <c r="AN1184" i="3"/>
  <c r="W1184" i="3" s="1"/>
  <c r="AN1180" i="3"/>
  <c r="W1180" i="3" s="1"/>
  <c r="AN848" i="3"/>
  <c r="AN694" i="3"/>
  <c r="W694" i="3" s="1"/>
  <c r="AN693" i="3"/>
  <c r="W693" i="3" s="1"/>
  <c r="AN692" i="3"/>
  <c r="W692" i="3" s="1"/>
  <c r="AN542" i="3"/>
  <c r="AN462" i="3"/>
  <c r="AN415" i="3"/>
  <c r="AN395" i="3"/>
  <c r="AN384" i="3"/>
  <c r="AN243" i="3"/>
  <c r="W243" i="3" s="1"/>
  <c r="AL1291" i="3"/>
  <c r="AL1287" i="3"/>
  <c r="AL1286" i="3"/>
  <c r="AL1285" i="3"/>
  <c r="AL1281" i="3"/>
  <c r="AL1279" i="3"/>
  <c r="AL1277" i="3"/>
  <c r="AL1218" i="3"/>
  <c r="W1218" i="3" s="1"/>
  <c r="AL1134" i="3"/>
  <c r="AL1124" i="3"/>
  <c r="W1124" i="3" s="1"/>
  <c r="AL820" i="3"/>
  <c r="W820" i="3" s="1"/>
  <c r="AL764" i="3"/>
  <c r="W764" i="3" s="1"/>
  <c r="AL763" i="3"/>
  <c r="AL708" i="3"/>
  <c r="W708" i="3" s="1"/>
  <c r="AL341" i="3"/>
  <c r="W341" i="3" s="1"/>
  <c r="AL332" i="3"/>
  <c r="W332" i="3" s="1"/>
  <c r="AL171" i="3"/>
  <c r="W171" i="3" s="1"/>
  <c r="AJ671" i="3"/>
  <c r="AJ500" i="3"/>
  <c r="W500" i="3" s="1"/>
  <c r="AJ337" i="3"/>
  <c r="W337" i="3" s="1"/>
  <c r="AJ150" i="3"/>
  <c r="AJ1261" i="3"/>
  <c r="W1261" i="3" s="1"/>
  <c r="AJ1260" i="3"/>
  <c r="W1260" i="3" s="1"/>
  <c r="AJ1163" i="3"/>
  <c r="W1163" i="3" s="1"/>
  <c r="AJ1118" i="3"/>
  <c r="W1118" i="3" s="1"/>
  <c r="AJ976" i="3"/>
  <c r="W976" i="3" s="1"/>
  <c r="AJ908" i="3"/>
  <c r="AJ823" i="3"/>
  <c r="W823" i="3" s="1"/>
  <c r="AJ797" i="3"/>
  <c r="W797" i="3" s="1"/>
  <c r="AJ738" i="3"/>
  <c r="W738" i="3" s="1"/>
  <c r="AJ736" i="3"/>
  <c r="W736" i="3" s="1"/>
  <c r="AJ648" i="3"/>
  <c r="W648" i="3" s="1"/>
  <c r="AJ604" i="3"/>
  <c r="W604" i="3" s="1"/>
  <c r="AJ445" i="3"/>
  <c r="W445" i="3" s="1"/>
  <c r="AJ346" i="3"/>
  <c r="W346" i="3" s="1"/>
  <c r="AJ345" i="3"/>
  <c r="W345" i="3" s="1"/>
  <c r="AJ331" i="3"/>
  <c r="W331" i="3" s="1"/>
  <c r="AJ329" i="3"/>
  <c r="W329" i="3" s="1"/>
  <c r="AJ237" i="3"/>
  <c r="W237" i="3" s="1"/>
  <c r="AJ141" i="3"/>
  <c r="W141" i="3" s="1"/>
  <c r="AJ1291" i="3"/>
  <c r="AJ1287" i="3"/>
  <c r="AJ1281" i="3"/>
  <c r="AJ1279" i="3"/>
  <c r="AJ1277" i="3"/>
  <c r="AJ1265" i="3"/>
  <c r="AJ1246" i="3"/>
  <c r="W1246" i="3" s="1"/>
  <c r="AJ1234" i="3"/>
  <c r="W1234" i="3" s="1"/>
  <c r="AJ1212" i="3"/>
  <c r="W1212" i="3" s="1"/>
  <c r="AJ1189" i="3"/>
  <c r="W1189" i="3" s="1"/>
  <c r="AJ1187" i="3"/>
  <c r="W1187" i="3" s="1"/>
  <c r="AJ1153" i="3"/>
  <c r="W1153" i="3" s="1"/>
  <c r="AJ1141" i="3"/>
  <c r="W1141" i="3" s="1"/>
  <c r="AJ1134" i="3"/>
  <c r="AJ1114" i="3"/>
  <c r="W1114" i="3" s="1"/>
  <c r="AJ1081" i="3"/>
  <c r="W1081" i="3" s="1"/>
  <c r="AJ1035" i="3"/>
  <c r="W1035" i="3" s="1"/>
  <c r="AJ1033" i="3"/>
  <c r="W1033" i="3" s="1"/>
  <c r="AJ1030" i="3"/>
  <c r="W1030" i="3" s="1"/>
  <c r="AJ867" i="3"/>
  <c r="W867" i="3" s="1"/>
  <c r="AJ866" i="3"/>
  <c r="W866" i="3" s="1"/>
  <c r="AJ824" i="3"/>
  <c r="W824" i="3" s="1"/>
  <c r="AJ763" i="3"/>
  <c r="AJ718" i="3"/>
  <c r="AJ707" i="3"/>
  <c r="W707" i="3" s="1"/>
  <c r="AJ706" i="3"/>
  <c r="W706" i="3" s="1"/>
  <c r="AJ697" i="3"/>
  <c r="W697" i="3" s="1"/>
  <c r="AJ669" i="3"/>
  <c r="W669" i="3" s="1"/>
  <c r="AJ643" i="3"/>
  <c r="W643" i="3" s="1"/>
  <c r="AJ613" i="3"/>
  <c r="W613" i="3" s="1"/>
  <c r="AJ610" i="3"/>
  <c r="W610" i="3" s="1"/>
  <c r="AJ608" i="3"/>
  <c r="W608" i="3" s="1"/>
  <c r="AJ600" i="3"/>
  <c r="W600" i="3" s="1"/>
  <c r="AJ599" i="3"/>
  <c r="W599" i="3" s="1"/>
  <c r="AJ597" i="3"/>
  <c r="W597" i="3" s="1"/>
  <c r="AJ596" i="3"/>
  <c r="W596" i="3" s="1"/>
  <c r="AJ576" i="3"/>
  <c r="W576" i="3" s="1"/>
  <c r="AJ573" i="3"/>
  <c r="W573" i="3" s="1"/>
  <c r="AJ569" i="3"/>
  <c r="W569" i="3" s="1"/>
  <c r="AJ546" i="3"/>
  <c r="W546" i="3" s="1"/>
  <c r="AJ526" i="3"/>
  <c r="W526" i="3" s="1"/>
  <c r="AJ501" i="3"/>
  <c r="W501" i="3" s="1"/>
  <c r="AJ499" i="3"/>
  <c r="W499" i="3" s="1"/>
  <c r="AJ491" i="3"/>
  <c r="W491" i="3" s="1"/>
  <c r="AJ464" i="3"/>
  <c r="W464" i="3" s="1"/>
  <c r="AJ428" i="3"/>
  <c r="W428" i="3" s="1"/>
  <c r="AJ397" i="3"/>
  <c r="W397" i="3" s="1"/>
  <c r="AJ393" i="3"/>
  <c r="W393" i="3" s="1"/>
  <c r="AJ392" i="3"/>
  <c r="W392" i="3" s="1"/>
  <c r="AJ383" i="3"/>
  <c r="W383" i="3" s="1"/>
  <c r="AJ378" i="3"/>
  <c r="AJ367" i="3"/>
  <c r="W367" i="3" s="1"/>
  <c r="AJ358" i="3"/>
  <c r="AJ342" i="3"/>
  <c r="W342" i="3" s="1"/>
  <c r="AJ323" i="3"/>
  <c r="W323" i="3" s="1"/>
  <c r="AJ317" i="3"/>
  <c r="W317" i="3" s="1"/>
  <c r="AJ316" i="3"/>
  <c r="W316" i="3" s="1"/>
  <c r="AJ294" i="3"/>
  <c r="W294" i="3" s="1"/>
  <c r="AJ293" i="3"/>
  <c r="W293" i="3" s="1"/>
  <c r="AJ292" i="3"/>
  <c r="W292" i="3" s="1"/>
  <c r="AJ278" i="3"/>
  <c r="W278" i="3" s="1"/>
  <c r="AJ275" i="3"/>
  <c r="AJ256" i="3"/>
  <c r="W256" i="3" s="1"/>
  <c r="AJ218" i="3"/>
  <c r="W218" i="3" s="1"/>
  <c r="AJ217" i="3"/>
  <c r="W217" i="3" s="1"/>
  <c r="AJ215" i="3"/>
  <c r="W215" i="3" s="1"/>
  <c r="AJ210" i="3"/>
  <c r="W210" i="3" s="1"/>
  <c r="AJ198" i="3"/>
  <c r="W198" i="3" s="1"/>
  <c r="AJ142" i="3"/>
  <c r="W142" i="3" s="1"/>
  <c r="AJ139" i="3"/>
  <c r="W139" i="3" s="1"/>
  <c r="AJ137" i="3"/>
  <c r="W137" i="3" s="1"/>
  <c r="AJ136" i="3"/>
  <c r="W136" i="3" s="1"/>
  <c r="AJ111" i="3"/>
  <c r="W111" i="3" s="1"/>
  <c r="AJ108" i="3"/>
  <c r="W108" i="3" s="1"/>
  <c r="AJ106" i="3"/>
  <c r="W106" i="3" s="1"/>
  <c r="AJ95" i="3"/>
  <c r="W95" i="3" s="1"/>
  <c r="AJ94" i="3"/>
  <c r="W94" i="3" s="1"/>
  <c r="AJ91" i="3"/>
  <c r="W91" i="3" s="1"/>
  <c r="AJ89" i="3"/>
  <c r="W89" i="3" s="1"/>
  <c r="AJ88" i="3"/>
  <c r="W88" i="3" s="1"/>
  <c r="AJ87" i="3"/>
  <c r="W87" i="3" s="1"/>
  <c r="AJ86" i="3"/>
  <c r="W86" i="3" s="1"/>
  <c r="AJ77" i="3"/>
  <c r="W77" i="3" s="1"/>
  <c r="AJ75" i="3"/>
  <c r="W75" i="3" s="1"/>
  <c r="AJ70" i="3"/>
  <c r="W70" i="3" s="1"/>
  <c r="AJ66" i="3"/>
  <c r="W66" i="3" s="1"/>
  <c r="AJ65" i="3"/>
  <c r="W65" i="3" s="1"/>
  <c r="AJ63" i="3"/>
  <c r="W63" i="3" s="1"/>
  <c r="AJ45" i="3"/>
  <c r="W45" i="3" s="1"/>
  <c r="AJ20" i="3"/>
  <c r="W20" i="3" s="1"/>
  <c r="AH1245" i="3"/>
  <c r="W1245" i="3" s="1"/>
  <c r="AH601" i="3"/>
  <c r="W601" i="3" s="1"/>
  <c r="AH486" i="3"/>
  <c r="W486" i="3" s="1"/>
  <c r="AH296" i="3"/>
  <c r="W296" i="3" s="1"/>
  <c r="AH172" i="3"/>
  <c r="W172" i="3" s="1"/>
  <c r="AH92" i="3"/>
  <c r="W92" i="3" s="1"/>
  <c r="AD83" i="3"/>
  <c r="W83" i="3" s="1"/>
  <c r="AD110" i="3"/>
  <c r="W110" i="3" s="1"/>
  <c r="AD242" i="3"/>
  <c r="W242" i="3" s="1"/>
  <c r="AD82" i="3"/>
  <c r="W82" i="3" s="1"/>
  <c r="AD1155" i="3"/>
  <c r="W1155" i="3" s="1"/>
  <c r="AD1108" i="3"/>
  <c r="W1108" i="3" s="1"/>
  <c r="AD1103" i="3"/>
  <c r="W1103" i="3" s="1"/>
  <c r="AD1091" i="3"/>
  <c r="W1091" i="3" s="1"/>
  <c r="AD1053" i="3"/>
  <c r="W1053" i="3" s="1"/>
  <c r="AD1052" i="3"/>
  <c r="W1052" i="3" s="1"/>
  <c r="AD1023" i="3"/>
  <c r="W1023" i="3" s="1"/>
  <c r="AD749" i="3"/>
  <c r="W749" i="3" s="1"/>
  <c r="AD732" i="3"/>
  <c r="W732" i="3" s="1"/>
  <c r="AD714" i="3"/>
  <c r="W714" i="3" s="1"/>
  <c r="AD703" i="3"/>
  <c r="W703" i="3" s="1"/>
  <c r="AD618" i="3"/>
  <c r="W618" i="3" s="1"/>
  <c r="AD315" i="3"/>
  <c r="W315" i="3" s="1"/>
  <c r="AD311" i="3"/>
  <c r="W311" i="3" s="1"/>
  <c r="AD249" i="3"/>
  <c r="W249" i="3" s="1"/>
  <c r="AD245" i="3"/>
  <c r="W245" i="3" s="1"/>
  <c r="AD240" i="3"/>
  <c r="W240" i="3" s="1"/>
  <c r="AD232" i="3"/>
  <c r="W232" i="3" s="1"/>
  <c r="AD231" i="3"/>
  <c r="W231" i="3" s="1"/>
  <c r="AD229" i="3"/>
  <c r="W229" i="3" s="1"/>
  <c r="AD228" i="3"/>
  <c r="W228" i="3" s="1"/>
  <c r="AD227" i="3"/>
  <c r="W227" i="3" s="1"/>
  <c r="AD226" i="3"/>
  <c r="W226" i="3" s="1"/>
  <c r="AD225" i="3"/>
  <c r="W225" i="3" s="1"/>
  <c r="AD224" i="3"/>
  <c r="W224" i="3" s="1"/>
  <c r="AD223" i="3"/>
  <c r="W223" i="3" s="1"/>
  <c r="AD222" i="3"/>
  <c r="W222" i="3" s="1"/>
  <c r="AD221" i="3"/>
  <c r="W221" i="3" s="1"/>
  <c r="AD219" i="3"/>
  <c r="W219" i="3" s="1"/>
  <c r="AD216" i="3"/>
  <c r="W216" i="3" s="1"/>
  <c r="AD204" i="3"/>
  <c r="W204" i="3" s="1"/>
  <c r="AD203" i="3"/>
  <c r="W203" i="3" s="1"/>
  <c r="AD202" i="3"/>
  <c r="W202" i="3" s="1"/>
  <c r="AD201" i="3"/>
  <c r="W201" i="3" s="1"/>
  <c r="AD180" i="3"/>
  <c r="W180" i="3" s="1"/>
  <c r="AD179" i="3"/>
  <c r="W179" i="3" s="1"/>
  <c r="AD178" i="3"/>
  <c r="W178" i="3" s="1"/>
  <c r="AD173" i="3"/>
  <c r="W173" i="3" s="1"/>
  <c r="AD170" i="3"/>
  <c r="W170" i="3" s="1"/>
  <c r="AD159" i="3"/>
  <c r="W159" i="3" s="1"/>
  <c r="AD157" i="3"/>
  <c r="W157" i="3" s="1"/>
  <c r="AD143" i="3"/>
  <c r="W143" i="3" s="1"/>
  <c r="AD118" i="3"/>
  <c r="W118" i="3" s="1"/>
  <c r="AD117" i="3"/>
  <c r="W117" i="3" s="1"/>
  <c r="AD116" i="3"/>
  <c r="W116" i="3" s="1"/>
  <c r="AD115" i="3"/>
  <c r="W115" i="3" s="1"/>
  <c r="AD114" i="3"/>
  <c r="W114" i="3" s="1"/>
  <c r="AD113" i="3"/>
  <c r="W113" i="3" s="1"/>
  <c r="AD64" i="3"/>
  <c r="W64" i="3" s="1"/>
  <c r="AD46" i="3"/>
  <c r="W46" i="3" s="1"/>
  <c r="AD42" i="3"/>
  <c r="W42" i="3" s="1"/>
  <c r="AD41" i="3"/>
  <c r="W41" i="3" s="1"/>
  <c r="AD40" i="3"/>
  <c r="W40" i="3" s="1"/>
  <c r="AD39" i="3"/>
  <c r="W39" i="3" s="1"/>
  <c r="AD29" i="3"/>
  <c r="W29" i="3" s="1"/>
  <c r="AD18" i="3"/>
  <c r="W18" i="3" s="1"/>
  <c r="AD611" i="3"/>
  <c r="W611" i="3" s="1"/>
  <c r="W1286" i="3" l="1"/>
  <c r="W1277" i="3"/>
  <c r="W358" i="3"/>
  <c r="W1279" i="3"/>
  <c r="W1287" i="3"/>
  <c r="W1265" i="3"/>
  <c r="W378" i="3"/>
  <c r="W1291" i="3"/>
  <c r="W718" i="3"/>
  <c r="W275" i="3"/>
  <c r="W1281" i="3"/>
  <c r="W1285" i="3"/>
  <c r="W763" i="3"/>
  <c r="W1134" i="3"/>
  <c r="S1291" i="3" l="1"/>
  <c r="S1290" i="3" s="1"/>
  <c r="R1290" i="3"/>
  <c r="Q1290" i="3"/>
  <c r="P1290" i="3"/>
  <c r="L1290" i="3"/>
  <c r="K1290" i="3"/>
  <c r="J1290" i="3"/>
  <c r="I1290" i="3"/>
  <c r="S1287" i="3"/>
  <c r="S1286" i="3"/>
  <c r="S1285" i="3"/>
  <c r="R1284" i="3"/>
  <c r="Q1284" i="3"/>
  <c r="P1284" i="3"/>
  <c r="L1284" i="3"/>
  <c r="L1283" i="3" s="1"/>
  <c r="K1284" i="3"/>
  <c r="J1284" i="3"/>
  <c r="I1284" i="3"/>
  <c r="P1281" i="3"/>
  <c r="P1280" i="3" s="1"/>
  <c r="S1280" i="3"/>
  <c r="R1280" i="3"/>
  <c r="Q1280" i="3"/>
  <c r="L1280" i="3"/>
  <c r="K1280" i="3"/>
  <c r="J1280" i="3"/>
  <c r="S1278" i="3"/>
  <c r="R1278" i="3"/>
  <c r="Q1278" i="3"/>
  <c r="P1278" i="3"/>
  <c r="L1278" i="3"/>
  <c r="K1278" i="3"/>
  <c r="J1278" i="3"/>
  <c r="S1276" i="3"/>
  <c r="R1276" i="3"/>
  <c r="Q1276" i="3"/>
  <c r="P1276" i="3"/>
  <c r="L1276" i="3"/>
  <c r="K1276" i="3"/>
  <c r="J1276" i="3"/>
  <c r="I1275" i="3"/>
  <c r="S1273" i="3"/>
  <c r="S1272" i="3" s="1"/>
  <c r="R1272" i="3"/>
  <c r="Q1272" i="3"/>
  <c r="L1272" i="3"/>
  <c r="K1272" i="3"/>
  <c r="J1272" i="3"/>
  <c r="I1272" i="3"/>
  <c r="T1272" i="3" s="1"/>
  <c r="S1271" i="3"/>
  <c r="S1270" i="3"/>
  <c r="S1269" i="3"/>
  <c r="R1268" i="3"/>
  <c r="Q1268" i="3"/>
  <c r="L1268" i="3"/>
  <c r="K1268" i="3"/>
  <c r="J1268" i="3"/>
  <c r="I1268" i="3"/>
  <c r="T1268" i="3" s="1"/>
  <c r="S1267" i="3"/>
  <c r="S1266" i="3" s="1"/>
  <c r="R1266" i="3"/>
  <c r="Q1266" i="3"/>
  <c r="L1266" i="3"/>
  <c r="K1266" i="3"/>
  <c r="J1266" i="3"/>
  <c r="I1266" i="3"/>
  <c r="T1266" i="3" s="1"/>
  <c r="S1265" i="3"/>
  <c r="S1264" i="3" s="1"/>
  <c r="R1264" i="3"/>
  <c r="Q1264" i="3"/>
  <c r="L1264" i="3"/>
  <c r="K1264" i="3"/>
  <c r="J1264" i="3"/>
  <c r="I1264" i="3"/>
  <c r="T1264" i="3" s="1"/>
  <c r="S1263" i="3"/>
  <c r="S1262" i="3" s="1"/>
  <c r="R1262" i="3"/>
  <c r="Q1262" i="3"/>
  <c r="L1262" i="3"/>
  <c r="K1262" i="3"/>
  <c r="J1262" i="3"/>
  <c r="I1262" i="3"/>
  <c r="T1262" i="3" s="1"/>
  <c r="S1261" i="3"/>
  <c r="S1260" i="3"/>
  <c r="S1259" i="3"/>
  <c r="R1258" i="3"/>
  <c r="Q1258" i="3"/>
  <c r="L1258" i="3"/>
  <c r="K1258" i="3"/>
  <c r="J1258" i="3"/>
  <c r="I1258" i="3"/>
  <c r="T1258" i="3" s="1"/>
  <c r="S1257" i="3"/>
  <c r="S1256" i="3"/>
  <c r="R1255" i="3"/>
  <c r="Q1255" i="3"/>
  <c r="L1255" i="3"/>
  <c r="K1255" i="3"/>
  <c r="J1255" i="3"/>
  <c r="I1255" i="3"/>
  <c r="T1255" i="3" s="1"/>
  <c r="S1254" i="3"/>
  <c r="S1253" i="3" s="1"/>
  <c r="R1253" i="3"/>
  <c r="Q1253" i="3"/>
  <c r="L1253" i="3"/>
  <c r="K1253" i="3"/>
  <c r="J1253" i="3"/>
  <c r="I1253" i="3"/>
  <c r="T1253" i="3" s="1"/>
  <c r="S1252" i="3"/>
  <c r="S1251" i="3" s="1"/>
  <c r="R1251" i="3"/>
  <c r="Q1251" i="3"/>
  <c r="L1251" i="3"/>
  <c r="K1251" i="3"/>
  <c r="J1251" i="3"/>
  <c r="I1251" i="3"/>
  <c r="T1251" i="3" s="1"/>
  <c r="S1250" i="3"/>
  <c r="S1249" i="3"/>
  <c r="R1248" i="3"/>
  <c r="Q1248" i="3"/>
  <c r="L1248" i="3"/>
  <c r="K1248" i="3"/>
  <c r="J1248" i="3"/>
  <c r="I1248" i="3"/>
  <c r="T1248" i="3" s="1"/>
  <c r="S1247" i="3"/>
  <c r="S1246" i="3"/>
  <c r="S1245" i="3"/>
  <c r="R1244" i="3"/>
  <c r="Q1244" i="3"/>
  <c r="L1244" i="3"/>
  <c r="K1244" i="3"/>
  <c r="J1244" i="3"/>
  <c r="I1244" i="3"/>
  <c r="T1244" i="3" s="1"/>
  <c r="S1243" i="3"/>
  <c r="S1242" i="3"/>
  <c r="S1241" i="3"/>
  <c r="R1240" i="3"/>
  <c r="Q1240" i="3"/>
  <c r="L1240" i="3"/>
  <c r="K1240" i="3"/>
  <c r="J1240" i="3"/>
  <c r="I1240" i="3"/>
  <c r="T1240" i="3" s="1"/>
  <c r="S1239" i="3"/>
  <c r="S1237" i="3"/>
  <c r="S1235" i="3"/>
  <c r="S1234" i="3"/>
  <c r="R1233" i="3"/>
  <c r="Q1233" i="3"/>
  <c r="L1233" i="3"/>
  <c r="K1233" i="3"/>
  <c r="J1233" i="3"/>
  <c r="I1233" i="3"/>
  <c r="T1233" i="3" s="1"/>
  <c r="S1232" i="3"/>
  <c r="S1231" i="3" s="1"/>
  <c r="R1231" i="3"/>
  <c r="Q1231" i="3"/>
  <c r="L1231" i="3"/>
  <c r="K1231" i="3"/>
  <c r="J1231" i="3"/>
  <c r="I1231" i="3"/>
  <c r="T1231" i="3" s="1"/>
  <c r="S1230" i="3"/>
  <c r="S1229" i="3" s="1"/>
  <c r="R1229" i="3"/>
  <c r="Q1229" i="3"/>
  <c r="L1229" i="3"/>
  <c r="K1229" i="3"/>
  <c r="J1229" i="3"/>
  <c r="I1229" i="3"/>
  <c r="T1229" i="3" s="1"/>
  <c r="S1228" i="3"/>
  <c r="S1227" i="3" s="1"/>
  <c r="K1227" i="3"/>
  <c r="R1227" i="3"/>
  <c r="Q1227" i="3"/>
  <c r="L1227" i="3"/>
  <c r="J1227" i="3"/>
  <c r="I1227" i="3"/>
  <c r="T1227" i="3" s="1"/>
  <c r="S1226" i="3"/>
  <c r="S1225" i="3"/>
  <c r="S1224" i="3"/>
  <c r="R1223" i="3"/>
  <c r="Q1223" i="3"/>
  <c r="L1223" i="3"/>
  <c r="K1223" i="3"/>
  <c r="J1223" i="3"/>
  <c r="I1223" i="3"/>
  <c r="T1223" i="3" s="1"/>
  <c r="S1222" i="3"/>
  <c r="S1221" i="3" s="1"/>
  <c r="R1221" i="3"/>
  <c r="Q1221" i="3"/>
  <c r="S1220" i="3"/>
  <c r="S1219" i="3" s="1"/>
  <c r="R1219" i="3"/>
  <c r="Q1219" i="3"/>
  <c r="S1218" i="3"/>
  <c r="S1217" i="3" s="1"/>
  <c r="R1217" i="3"/>
  <c r="Q1217" i="3"/>
  <c r="L1217" i="3"/>
  <c r="K1217" i="3"/>
  <c r="J1217" i="3"/>
  <c r="I1217" i="3"/>
  <c r="T1217" i="3" s="1"/>
  <c r="S1216" i="3"/>
  <c r="S1215" i="3"/>
  <c r="S1214" i="3"/>
  <c r="R1213" i="3"/>
  <c r="Q1213" i="3"/>
  <c r="L1213" i="3"/>
  <c r="K1213" i="3"/>
  <c r="J1213" i="3"/>
  <c r="I1213" i="3"/>
  <c r="T1213" i="3" s="1"/>
  <c r="S1212" i="3"/>
  <c r="S1211" i="3" s="1"/>
  <c r="R1211" i="3"/>
  <c r="Q1211" i="3"/>
  <c r="S1210" i="3"/>
  <c r="S1209" i="3" s="1"/>
  <c r="R1209" i="3"/>
  <c r="Q1209" i="3"/>
  <c r="S1208" i="3"/>
  <c r="S1207" i="3" s="1"/>
  <c r="R1207" i="3"/>
  <c r="Q1207" i="3"/>
  <c r="S1206" i="3"/>
  <c r="S1205" i="3" s="1"/>
  <c r="R1205" i="3"/>
  <c r="Q1205" i="3"/>
  <c r="L1205" i="3"/>
  <c r="K1205" i="3"/>
  <c r="J1205" i="3"/>
  <c r="I1205" i="3"/>
  <c r="T1205" i="3" s="1"/>
  <c r="S1204" i="3"/>
  <c r="S1203" i="3" s="1"/>
  <c r="R1203" i="3"/>
  <c r="Q1203" i="3"/>
  <c r="L1203" i="3"/>
  <c r="K1203" i="3"/>
  <c r="J1203" i="3"/>
  <c r="I1203" i="3"/>
  <c r="T1203" i="3" s="1"/>
  <c r="S1202" i="3"/>
  <c r="S1201" i="3" s="1"/>
  <c r="R1201" i="3"/>
  <c r="Q1201" i="3"/>
  <c r="L1201" i="3"/>
  <c r="K1201" i="3"/>
  <c r="J1201" i="3"/>
  <c r="I1201" i="3"/>
  <c r="T1201" i="3" s="1"/>
  <c r="S1200" i="3"/>
  <c r="S1199" i="3"/>
  <c r="S1198" i="3"/>
  <c r="R1197" i="3"/>
  <c r="Q1197" i="3"/>
  <c r="L1197" i="3"/>
  <c r="K1197" i="3"/>
  <c r="J1197" i="3"/>
  <c r="I1197" i="3"/>
  <c r="T1197" i="3" s="1"/>
  <c r="S1196" i="3"/>
  <c r="S1195" i="3" s="1"/>
  <c r="R1195" i="3"/>
  <c r="Q1195" i="3"/>
  <c r="L1195" i="3"/>
  <c r="K1195" i="3"/>
  <c r="J1195" i="3"/>
  <c r="I1195" i="3"/>
  <c r="T1195" i="3" s="1"/>
  <c r="S1194" i="3"/>
  <c r="S1193" i="3"/>
  <c r="R1192" i="3"/>
  <c r="Q1192" i="3"/>
  <c r="L1192" i="3"/>
  <c r="K1192" i="3"/>
  <c r="J1192" i="3"/>
  <c r="I1192" i="3"/>
  <c r="T1192" i="3" s="1"/>
  <c r="S1191" i="3"/>
  <c r="S1190" i="3"/>
  <c r="S1189" i="3"/>
  <c r="R1188" i="3"/>
  <c r="Q1188" i="3"/>
  <c r="L1188" i="3"/>
  <c r="K1188" i="3"/>
  <c r="J1188" i="3"/>
  <c r="I1188" i="3"/>
  <c r="T1188" i="3" s="1"/>
  <c r="S1187" i="3"/>
  <c r="S1186" i="3"/>
  <c r="R1185" i="3"/>
  <c r="Q1185" i="3"/>
  <c r="L1185" i="3"/>
  <c r="K1185" i="3"/>
  <c r="J1185" i="3"/>
  <c r="I1185" i="3"/>
  <c r="T1185" i="3" s="1"/>
  <c r="S1184" i="3"/>
  <c r="K1178" i="3"/>
  <c r="S1183" i="3"/>
  <c r="S1182" i="3"/>
  <c r="S1181" i="3"/>
  <c r="S1180" i="3"/>
  <c r="S1179" i="3"/>
  <c r="R1178" i="3"/>
  <c r="Q1178" i="3"/>
  <c r="L1178" i="3"/>
  <c r="J1178" i="3"/>
  <c r="I1178" i="3"/>
  <c r="T1178" i="3" s="1"/>
  <c r="S1177" i="3"/>
  <c r="S1176" i="3" s="1"/>
  <c r="R1176" i="3"/>
  <c r="Q1176" i="3"/>
  <c r="S1175" i="3"/>
  <c r="S1174" i="3" s="1"/>
  <c r="R1174" i="3"/>
  <c r="Q1174" i="3"/>
  <c r="S1173" i="3"/>
  <c r="S1172" i="3" s="1"/>
  <c r="R1172" i="3"/>
  <c r="Q1172" i="3"/>
  <c r="L1172" i="3"/>
  <c r="K1172" i="3"/>
  <c r="J1172" i="3"/>
  <c r="I1172" i="3"/>
  <c r="T1172" i="3" s="1"/>
  <c r="S1171" i="3"/>
  <c r="S1170" i="3"/>
  <c r="R1169" i="3"/>
  <c r="Q1169" i="3"/>
  <c r="L1169" i="3"/>
  <c r="K1169" i="3"/>
  <c r="J1169" i="3"/>
  <c r="I1169" i="3"/>
  <c r="T1169" i="3" s="1"/>
  <c r="S1168" i="3"/>
  <c r="S1167" i="3"/>
  <c r="R1166" i="3"/>
  <c r="Q1166" i="3"/>
  <c r="L1166" i="3"/>
  <c r="K1166" i="3"/>
  <c r="J1166" i="3"/>
  <c r="I1166" i="3"/>
  <c r="T1166" i="3" s="1"/>
  <c r="S1165" i="3"/>
  <c r="S1164" i="3" s="1"/>
  <c r="R1164" i="3"/>
  <c r="Q1164" i="3"/>
  <c r="L1164" i="3"/>
  <c r="K1164" i="3"/>
  <c r="J1164" i="3"/>
  <c r="I1164" i="3"/>
  <c r="T1164" i="3" s="1"/>
  <c r="S1163" i="3"/>
  <c r="S1162" i="3" s="1"/>
  <c r="R1162" i="3"/>
  <c r="Q1162" i="3"/>
  <c r="L1162" i="3"/>
  <c r="K1162" i="3"/>
  <c r="J1162" i="3"/>
  <c r="I1162" i="3"/>
  <c r="T1162" i="3" s="1"/>
  <c r="S1161" i="3"/>
  <c r="S1160" i="3" s="1"/>
  <c r="R1160" i="3"/>
  <c r="Q1160" i="3"/>
  <c r="L1160" i="3"/>
  <c r="K1160" i="3"/>
  <c r="J1160" i="3"/>
  <c r="I1160" i="3"/>
  <c r="T1160" i="3" s="1"/>
  <c r="S1159" i="3"/>
  <c r="S1157" i="3"/>
  <c r="L1156" i="3"/>
  <c r="K1156" i="3"/>
  <c r="J1156" i="3"/>
  <c r="I1156" i="3"/>
  <c r="T1156" i="3" s="1"/>
  <c r="S1155" i="3"/>
  <c r="S1154" i="3"/>
  <c r="S1153" i="3"/>
  <c r="S1152" i="3"/>
  <c r="S1151" i="3"/>
  <c r="S1150" i="3"/>
  <c r="R1149" i="3"/>
  <c r="Q1149" i="3"/>
  <c r="L1149" i="3"/>
  <c r="K1149" i="3"/>
  <c r="J1149" i="3"/>
  <c r="I1149" i="3"/>
  <c r="T1149" i="3" s="1"/>
  <c r="S1148" i="3"/>
  <c r="S1147" i="3" s="1"/>
  <c r="R1147" i="3"/>
  <c r="Q1147" i="3"/>
  <c r="L1147" i="3"/>
  <c r="K1147" i="3"/>
  <c r="J1147" i="3"/>
  <c r="I1147" i="3"/>
  <c r="T1147" i="3" s="1"/>
  <c r="S1146" i="3"/>
  <c r="S1145" i="3" s="1"/>
  <c r="R1145" i="3"/>
  <c r="Q1145" i="3"/>
  <c r="L1145" i="3"/>
  <c r="K1145" i="3"/>
  <c r="J1145" i="3"/>
  <c r="I1145" i="3"/>
  <c r="T1145" i="3" s="1"/>
  <c r="S1144" i="3"/>
  <c r="S1143" i="3"/>
  <c r="R1142" i="3"/>
  <c r="Q1142" i="3"/>
  <c r="L1142" i="3"/>
  <c r="K1142" i="3"/>
  <c r="J1142" i="3"/>
  <c r="I1142" i="3"/>
  <c r="T1142" i="3" s="1"/>
  <c r="S1141" i="3"/>
  <c r="S1140" i="3" s="1"/>
  <c r="R1140" i="3"/>
  <c r="Q1140" i="3"/>
  <c r="L1140" i="3"/>
  <c r="K1140" i="3"/>
  <c r="J1140" i="3"/>
  <c r="I1140" i="3"/>
  <c r="T1140" i="3" s="1"/>
  <c r="S1139" i="3"/>
  <c r="S1138" i="3" s="1"/>
  <c r="R1138" i="3"/>
  <c r="Q1138" i="3"/>
  <c r="L1138" i="3"/>
  <c r="K1138" i="3"/>
  <c r="J1138" i="3"/>
  <c r="I1138" i="3"/>
  <c r="T1138" i="3" s="1"/>
  <c r="S1137" i="3"/>
  <c r="S1136" i="3"/>
  <c r="R1135" i="3"/>
  <c r="Q1135" i="3"/>
  <c r="L1135" i="3"/>
  <c r="K1135" i="3"/>
  <c r="J1135" i="3"/>
  <c r="I1135" i="3"/>
  <c r="T1135" i="3" s="1"/>
  <c r="S1134" i="3"/>
  <c r="S1132" i="3"/>
  <c r="L1131" i="3"/>
  <c r="K1131" i="3"/>
  <c r="J1131" i="3"/>
  <c r="I1131" i="3"/>
  <c r="T1131" i="3" s="1"/>
  <c r="S1130" i="3"/>
  <c r="S1129" i="3"/>
  <c r="R1128" i="3"/>
  <c r="Q1128" i="3"/>
  <c r="L1128" i="3"/>
  <c r="K1128" i="3"/>
  <c r="J1128" i="3"/>
  <c r="I1128" i="3"/>
  <c r="T1128" i="3" s="1"/>
  <c r="S1127" i="3"/>
  <c r="S1126" i="3"/>
  <c r="S1125" i="3"/>
  <c r="S1124" i="3"/>
  <c r="S1123" i="3"/>
  <c r="S1122" i="3"/>
  <c r="S1121" i="3"/>
  <c r="S1120" i="3"/>
  <c r="R1119" i="3"/>
  <c r="Q1119" i="3"/>
  <c r="L1119" i="3"/>
  <c r="K1119" i="3"/>
  <c r="J1119" i="3"/>
  <c r="I1119" i="3"/>
  <c r="T1119" i="3" s="1"/>
  <c r="S1118" i="3"/>
  <c r="S1117" i="3"/>
  <c r="R1116" i="3"/>
  <c r="Q1116" i="3"/>
  <c r="L1116" i="3"/>
  <c r="K1116" i="3"/>
  <c r="J1116" i="3"/>
  <c r="I1116" i="3"/>
  <c r="T1116" i="3" s="1"/>
  <c r="S1115" i="3"/>
  <c r="S1114" i="3"/>
  <c r="S1113" i="3"/>
  <c r="S1112" i="3"/>
  <c r="S1111" i="3"/>
  <c r="S1110" i="3"/>
  <c r="S1109" i="3"/>
  <c r="S1108" i="3"/>
  <c r="S1107" i="3"/>
  <c r="S1106" i="3"/>
  <c r="S1105" i="3"/>
  <c r="R1104" i="3"/>
  <c r="Q1104" i="3"/>
  <c r="L1104" i="3"/>
  <c r="K1104" i="3"/>
  <c r="J1104" i="3"/>
  <c r="I1104" i="3"/>
  <c r="T1104" i="3" s="1"/>
  <c r="S1103" i="3"/>
  <c r="S1102" i="3"/>
  <c r="S1101" i="3"/>
  <c r="S1100" i="3"/>
  <c r="S1099" i="3"/>
  <c r="S1098" i="3"/>
  <c r="S1097" i="3"/>
  <c r="S1096" i="3"/>
  <c r="S1095" i="3"/>
  <c r="S1094" i="3"/>
  <c r="S1093" i="3"/>
  <c r="S1092" i="3"/>
  <c r="S1091" i="3"/>
  <c r="S1090" i="3"/>
  <c r="S1089" i="3"/>
  <c r="S1088" i="3"/>
  <c r="S1087" i="3"/>
  <c r="S1086" i="3"/>
  <c r="S1085" i="3"/>
  <c r="S1084" i="3"/>
  <c r="S1083" i="3"/>
  <c r="S1082" i="3"/>
  <c r="S1081" i="3"/>
  <c r="S1080" i="3"/>
  <c r="S1079" i="3"/>
  <c r="S1078" i="3"/>
  <c r="R1077" i="3"/>
  <c r="Q1077" i="3"/>
  <c r="L1077" i="3"/>
  <c r="K1077" i="3"/>
  <c r="J1077" i="3"/>
  <c r="I1077" i="3"/>
  <c r="T1077" i="3" s="1"/>
  <c r="S1076" i="3"/>
  <c r="S1075" i="3"/>
  <c r="S1074" i="3"/>
  <c r="S1073" i="3"/>
  <c r="S1072" i="3"/>
  <c r="S1071" i="3"/>
  <c r="S1070" i="3"/>
  <c r="S1069" i="3"/>
  <c r="S1068" i="3"/>
  <c r="S1067" i="3"/>
  <c r="S1066" i="3"/>
  <c r="S1065" i="3"/>
  <c r="S1064" i="3"/>
  <c r="S1063" i="3"/>
  <c r="R1062" i="3"/>
  <c r="Q1062" i="3"/>
  <c r="L1062" i="3"/>
  <c r="J1062" i="3"/>
  <c r="I1062" i="3"/>
  <c r="T1062" i="3" s="1"/>
  <c r="S1061" i="3"/>
  <c r="S1060" i="3"/>
  <c r="S1058" i="3"/>
  <c r="S1057" i="3"/>
  <c r="S1056" i="3"/>
  <c r="S1055" i="3"/>
  <c r="S1054" i="3"/>
  <c r="S1053" i="3"/>
  <c r="S1052" i="3"/>
  <c r="S1051" i="3"/>
  <c r="S1050" i="3"/>
  <c r="S1049" i="3"/>
  <c r="S1048" i="3"/>
  <c r="S1047" i="3"/>
  <c r="S1046" i="3"/>
  <c r="S1045" i="3"/>
  <c r="S1044" i="3"/>
  <c r="S1043" i="3"/>
  <c r="S1042" i="3"/>
  <c r="S1041" i="3"/>
  <c r="S1040" i="3"/>
  <c r="S1039" i="3"/>
  <c r="S1038" i="3"/>
  <c r="S1037" i="3"/>
  <c r="S1036" i="3"/>
  <c r="S1035" i="3"/>
  <c r="S1034" i="3"/>
  <c r="S1033" i="3"/>
  <c r="S1032" i="3"/>
  <c r="S1031" i="3"/>
  <c r="S1030" i="3"/>
  <c r="S1029" i="3"/>
  <c r="S1028" i="3"/>
  <c r="S1027" i="3"/>
  <c r="S1026" i="3"/>
  <c r="S1025" i="3"/>
  <c r="S1024" i="3"/>
  <c r="S1023" i="3"/>
  <c r="S1022" i="3"/>
  <c r="S1021" i="3"/>
  <c r="S1020" i="3"/>
  <c r="S1019" i="3"/>
  <c r="S1018" i="3"/>
  <c r="S1017" i="3"/>
  <c r="S1016" i="3"/>
  <c r="S1015" i="3"/>
  <c r="S1014" i="3"/>
  <c r="S1013" i="3"/>
  <c r="S1012" i="3"/>
  <c r="S1011" i="3"/>
  <c r="S1010" i="3"/>
  <c r="S1009" i="3"/>
  <c r="S1008" i="3"/>
  <c r="S1007" i="3"/>
  <c r="S1006" i="3"/>
  <c r="S1005" i="3"/>
  <c r="S1004" i="3"/>
  <c r="S1003" i="3"/>
  <c r="S1002" i="3"/>
  <c r="S1001" i="3"/>
  <c r="S1000" i="3"/>
  <c r="B1000" i="3"/>
  <c r="R999" i="3"/>
  <c r="Q999" i="3"/>
  <c r="L999" i="3"/>
  <c r="K999" i="3"/>
  <c r="J999" i="3"/>
  <c r="I999" i="3"/>
  <c r="T999" i="3" s="1"/>
  <c r="S997" i="3"/>
  <c r="S996" i="3" s="1"/>
  <c r="R996" i="3"/>
  <c r="Q996" i="3"/>
  <c r="L996" i="3"/>
  <c r="K996" i="3"/>
  <c r="J996" i="3"/>
  <c r="I996" i="3"/>
  <c r="T996" i="3" s="1"/>
  <c r="S993" i="3"/>
  <c r="S989" i="3" s="1"/>
  <c r="S988" i="3"/>
  <c r="S987" i="3"/>
  <c r="S986" i="3"/>
  <c r="S984" i="3"/>
  <c r="S983" i="3"/>
  <c r="R982" i="3"/>
  <c r="Q982" i="3"/>
  <c r="L982" i="3"/>
  <c r="J982" i="3"/>
  <c r="I982" i="3"/>
  <c r="T982" i="3" s="1"/>
  <c r="S981" i="3"/>
  <c r="S980" i="3" s="1"/>
  <c r="K980" i="3"/>
  <c r="R980" i="3"/>
  <c r="Q980" i="3"/>
  <c r="L980" i="3"/>
  <c r="J980" i="3"/>
  <c r="I980" i="3"/>
  <c r="T980" i="3" s="1"/>
  <c r="S979" i="3"/>
  <c r="S978" i="3" s="1"/>
  <c r="R978" i="3"/>
  <c r="Q978" i="3"/>
  <c r="L978" i="3"/>
  <c r="K978" i="3"/>
  <c r="J978" i="3"/>
  <c r="I978" i="3"/>
  <c r="T978" i="3" s="1"/>
  <c r="S977" i="3"/>
  <c r="S976" i="3"/>
  <c r="S974" i="3"/>
  <c r="S973" i="3"/>
  <c r="R972" i="3"/>
  <c r="Q972" i="3"/>
  <c r="L972" i="3"/>
  <c r="K972" i="3"/>
  <c r="J972" i="3"/>
  <c r="I972" i="3"/>
  <c r="T972" i="3" s="1"/>
  <c r="S971" i="3"/>
  <c r="S970" i="3" s="1"/>
  <c r="R970" i="3"/>
  <c r="Q970" i="3"/>
  <c r="L970" i="3"/>
  <c r="K970" i="3"/>
  <c r="J970" i="3"/>
  <c r="I970" i="3"/>
  <c r="T970" i="3" s="1"/>
  <c r="S967" i="3"/>
  <c r="S966" i="3" s="1"/>
  <c r="R966" i="3"/>
  <c r="Q966" i="3"/>
  <c r="L966" i="3"/>
  <c r="K966" i="3"/>
  <c r="J966" i="3"/>
  <c r="I966" i="3"/>
  <c r="T966" i="3" s="1"/>
  <c r="S965" i="3"/>
  <c r="S964" i="3" s="1"/>
  <c r="R964" i="3"/>
  <c r="Q964" i="3"/>
  <c r="L964" i="3"/>
  <c r="K964" i="3"/>
  <c r="J964" i="3"/>
  <c r="I964" i="3"/>
  <c r="T964" i="3" s="1"/>
  <c r="S961" i="3"/>
  <c r="R960" i="3"/>
  <c r="Q960" i="3"/>
  <c r="L960" i="3"/>
  <c r="K960" i="3"/>
  <c r="J960" i="3"/>
  <c r="I960" i="3"/>
  <c r="T960" i="3" s="1"/>
  <c r="S959" i="3"/>
  <c r="S958" i="3"/>
  <c r="S955" i="3"/>
  <c r="R954" i="3"/>
  <c r="Q954" i="3"/>
  <c r="L954" i="3"/>
  <c r="K954" i="3"/>
  <c r="J954" i="3"/>
  <c r="I954" i="3"/>
  <c r="T954" i="3" s="1"/>
  <c r="S947" i="3"/>
  <c r="S944" i="3" s="1"/>
  <c r="S941" i="3"/>
  <c r="S940" i="3" s="1"/>
  <c r="R940" i="3"/>
  <c r="Q940" i="3"/>
  <c r="L940" i="3"/>
  <c r="K940" i="3"/>
  <c r="J940" i="3"/>
  <c r="I940" i="3"/>
  <c r="T940" i="3" s="1"/>
  <c r="S939" i="3"/>
  <c r="S938" i="3" s="1"/>
  <c r="R938" i="3"/>
  <c r="Q938" i="3"/>
  <c r="L938" i="3"/>
  <c r="K938" i="3"/>
  <c r="J938" i="3"/>
  <c r="I938" i="3"/>
  <c r="T938" i="3" s="1"/>
  <c r="S937" i="3"/>
  <c r="S935" i="3" s="1"/>
  <c r="S932" i="3"/>
  <c r="K929" i="3"/>
  <c r="S931" i="3"/>
  <c r="S930" i="3"/>
  <c r="R929" i="3"/>
  <c r="Q929" i="3"/>
  <c r="L929" i="3"/>
  <c r="J929" i="3"/>
  <c r="I929" i="3"/>
  <c r="T929" i="3" s="1"/>
  <c r="S906" i="3"/>
  <c r="S922" i="3"/>
  <c r="R921" i="3"/>
  <c r="Q921" i="3"/>
  <c r="L921" i="3"/>
  <c r="K921" i="3"/>
  <c r="J921" i="3"/>
  <c r="I921" i="3"/>
  <c r="T921" i="3" s="1"/>
  <c r="S920" i="3"/>
  <c r="S919" i="3" s="1"/>
  <c r="R919" i="3"/>
  <c r="Q919" i="3"/>
  <c r="L919" i="3"/>
  <c r="K919" i="3"/>
  <c r="J919" i="3"/>
  <c r="I919" i="3"/>
  <c r="T919" i="3" s="1"/>
  <c r="S918" i="3"/>
  <c r="S917" i="3"/>
  <c r="S916" i="3"/>
  <c r="R915" i="3"/>
  <c r="Q915" i="3"/>
  <c r="L915" i="3"/>
  <c r="K915" i="3"/>
  <c r="J915" i="3"/>
  <c r="I915" i="3"/>
  <c r="T915" i="3" s="1"/>
  <c r="S914" i="3"/>
  <c r="S913" i="3"/>
  <c r="S910" i="3"/>
  <c r="S908" i="3"/>
  <c r="S907" i="3" s="1"/>
  <c r="R907" i="3"/>
  <c r="Q907" i="3"/>
  <c r="L907" i="3"/>
  <c r="K907" i="3"/>
  <c r="J907" i="3"/>
  <c r="I907" i="3"/>
  <c r="T907" i="3" s="1"/>
  <c r="S905" i="3"/>
  <c r="S903" i="3"/>
  <c r="S900" i="3"/>
  <c r="R899" i="3"/>
  <c r="Q899" i="3"/>
  <c r="L899" i="3"/>
  <c r="K899" i="3"/>
  <c r="J899" i="3"/>
  <c r="I899" i="3"/>
  <c r="T899" i="3" s="1"/>
  <c r="S898" i="3"/>
  <c r="S897" i="3" s="1"/>
  <c r="R897" i="3"/>
  <c r="Q897" i="3"/>
  <c r="L897" i="3"/>
  <c r="K897" i="3"/>
  <c r="J897" i="3"/>
  <c r="I897" i="3"/>
  <c r="T897" i="3" s="1"/>
  <c r="S896" i="3"/>
  <c r="S895" i="3" s="1"/>
  <c r="R895" i="3"/>
  <c r="Q895" i="3"/>
  <c r="L895" i="3"/>
  <c r="K895" i="3"/>
  <c r="J895" i="3"/>
  <c r="I895" i="3"/>
  <c r="T895" i="3" s="1"/>
  <c r="S894" i="3"/>
  <c r="S893" i="3" s="1"/>
  <c r="R893" i="3"/>
  <c r="Q893" i="3"/>
  <c r="L893" i="3"/>
  <c r="K893" i="3"/>
  <c r="J893" i="3"/>
  <c r="I893" i="3"/>
  <c r="T893" i="3" s="1"/>
  <c r="S892" i="3"/>
  <c r="S890" i="3"/>
  <c r="R889" i="3"/>
  <c r="Q889" i="3"/>
  <c r="L889" i="3"/>
  <c r="K889" i="3"/>
  <c r="J889" i="3"/>
  <c r="I889" i="3"/>
  <c r="T889" i="3" s="1"/>
  <c r="S888" i="3"/>
  <c r="S887" i="3" s="1"/>
  <c r="R887" i="3"/>
  <c r="Q887" i="3"/>
  <c r="L887" i="3"/>
  <c r="K887" i="3"/>
  <c r="J887" i="3"/>
  <c r="I887" i="3"/>
  <c r="T887" i="3" s="1"/>
  <c r="S886" i="3"/>
  <c r="S884" i="3"/>
  <c r="R883" i="3"/>
  <c r="Q883" i="3"/>
  <c r="L883" i="3"/>
  <c r="K883" i="3"/>
  <c r="J883" i="3"/>
  <c r="I883" i="3"/>
  <c r="T883" i="3" s="1"/>
  <c r="S881" i="3"/>
  <c r="S880" i="3"/>
  <c r="S876" i="3"/>
  <c r="S875" i="3"/>
  <c r="R874" i="3"/>
  <c r="Q874" i="3"/>
  <c r="L874" i="3"/>
  <c r="K874" i="3"/>
  <c r="J874" i="3"/>
  <c r="I874" i="3"/>
  <c r="T874" i="3" s="1"/>
  <c r="S873" i="3"/>
  <c r="S871" i="3" s="1"/>
  <c r="S870" i="3"/>
  <c r="S868" i="3" s="1"/>
  <c r="S867" i="3"/>
  <c r="S866" i="3"/>
  <c r="R865" i="3"/>
  <c r="Q865" i="3"/>
  <c r="L865" i="3"/>
  <c r="K865" i="3"/>
  <c r="J865" i="3"/>
  <c r="I865" i="3"/>
  <c r="T865" i="3" s="1"/>
  <c r="S864" i="3"/>
  <c r="S861" i="3" s="1"/>
  <c r="S857" i="3"/>
  <c r="S855" i="3"/>
  <c r="S854" i="3"/>
  <c r="S852" i="3"/>
  <c r="S851" i="3"/>
  <c r="S850" i="3"/>
  <c r="S849" i="3"/>
  <c r="S848" i="3"/>
  <c r="S847" i="3"/>
  <c r="R846" i="3"/>
  <c r="Q846" i="3"/>
  <c r="L846" i="3"/>
  <c r="K846" i="3"/>
  <c r="J846" i="3"/>
  <c r="I846" i="3"/>
  <c r="S843" i="3"/>
  <c r="S840" i="3"/>
  <c r="R839" i="3"/>
  <c r="Q839" i="3"/>
  <c r="L839" i="3"/>
  <c r="K839" i="3"/>
  <c r="J839" i="3"/>
  <c r="I839" i="3"/>
  <c r="T839" i="3" s="1"/>
  <c r="S838" i="3"/>
  <c r="S837" i="3" s="1"/>
  <c r="R837" i="3"/>
  <c r="Q837" i="3"/>
  <c r="L837" i="3"/>
  <c r="K837" i="3"/>
  <c r="J837" i="3"/>
  <c r="I837" i="3"/>
  <c r="T837" i="3" s="1"/>
  <c r="S836" i="3"/>
  <c r="S835" i="3" s="1"/>
  <c r="R835" i="3"/>
  <c r="Q835" i="3"/>
  <c r="L835" i="3"/>
  <c r="K835" i="3"/>
  <c r="J835" i="3"/>
  <c r="I835" i="3"/>
  <c r="T835" i="3" s="1"/>
  <c r="S834" i="3"/>
  <c r="S833" i="3" s="1"/>
  <c r="R833" i="3"/>
  <c r="Q833" i="3"/>
  <c r="L833" i="3"/>
  <c r="K833" i="3"/>
  <c r="J833" i="3"/>
  <c r="I833" i="3"/>
  <c r="T833" i="3" s="1"/>
  <c r="S832" i="3"/>
  <c r="S831" i="3" s="1"/>
  <c r="R831" i="3"/>
  <c r="Q831" i="3"/>
  <c r="L831" i="3"/>
  <c r="K831" i="3"/>
  <c r="J831" i="3"/>
  <c r="I831" i="3"/>
  <c r="T831" i="3" s="1"/>
  <c r="S830" i="3"/>
  <c r="S829" i="3" s="1"/>
  <c r="R829" i="3"/>
  <c r="Q829" i="3"/>
  <c r="L829" i="3"/>
  <c r="K829" i="3"/>
  <c r="J829" i="3"/>
  <c r="I829" i="3"/>
  <c r="T829" i="3" s="1"/>
  <c r="S824" i="3"/>
  <c r="S823" i="3"/>
  <c r="R822" i="3"/>
  <c r="Q822" i="3"/>
  <c r="L822" i="3"/>
  <c r="K822" i="3"/>
  <c r="J822" i="3"/>
  <c r="I822" i="3"/>
  <c r="T822" i="3" s="1"/>
  <c r="S821" i="3"/>
  <c r="S820" i="3"/>
  <c r="S819" i="3"/>
  <c r="S812" i="3"/>
  <c r="R811" i="3"/>
  <c r="Q811" i="3"/>
  <c r="L811" i="3"/>
  <c r="J811" i="3"/>
  <c r="I811" i="3"/>
  <c r="T811" i="3" s="1"/>
  <c r="S810" i="3"/>
  <c r="S809" i="3"/>
  <c r="S808" i="3"/>
  <c r="S807" i="3"/>
  <c r="S806" i="3"/>
  <c r="S805" i="3"/>
  <c r="S798" i="3"/>
  <c r="S797" i="3"/>
  <c r="R796" i="3"/>
  <c r="Q796" i="3"/>
  <c r="L796" i="3"/>
  <c r="K796" i="3"/>
  <c r="J796" i="3"/>
  <c r="I796" i="3"/>
  <c r="T796" i="3" s="1"/>
  <c r="S795" i="3"/>
  <c r="S794" i="3" s="1"/>
  <c r="R794" i="3"/>
  <c r="Q794" i="3"/>
  <c r="L794" i="3"/>
  <c r="K794" i="3"/>
  <c r="J794" i="3"/>
  <c r="I794" i="3"/>
  <c r="T794" i="3" s="1"/>
  <c r="S793" i="3"/>
  <c r="S792" i="3" s="1"/>
  <c r="R792" i="3"/>
  <c r="Q792" i="3"/>
  <c r="L792" i="3"/>
  <c r="K792" i="3"/>
  <c r="J792" i="3"/>
  <c r="I792" i="3"/>
  <c r="T792" i="3" s="1"/>
  <c r="S791" i="3"/>
  <c r="S789" i="3"/>
  <c r="R788" i="3"/>
  <c r="Q788" i="3"/>
  <c r="L788" i="3"/>
  <c r="K788" i="3"/>
  <c r="J788" i="3"/>
  <c r="I788" i="3"/>
  <c r="T788" i="3" s="1"/>
  <c r="S787" i="3"/>
  <c r="S786" i="3" s="1"/>
  <c r="T786" i="3"/>
  <c r="S785" i="3"/>
  <c r="K781" i="3"/>
  <c r="S784" i="3"/>
  <c r="S782" i="3"/>
  <c r="R781" i="3"/>
  <c r="Q781" i="3"/>
  <c r="L781" i="3"/>
  <c r="J781" i="3"/>
  <c r="I781" i="3"/>
  <c r="T781" i="3" s="1"/>
  <c r="S780" i="3"/>
  <c r="S779" i="3"/>
  <c r="S778" i="3"/>
  <c r="S774" i="3"/>
  <c r="R773" i="3"/>
  <c r="Q773" i="3"/>
  <c r="L773" i="3"/>
  <c r="K773" i="3"/>
  <c r="J773" i="3"/>
  <c r="I773" i="3"/>
  <c r="T773" i="3" s="1"/>
  <c r="S772" i="3"/>
  <c r="S771" i="3"/>
  <c r="K765" i="3"/>
  <c r="S770" i="3"/>
  <c r="S767" i="3"/>
  <c r="S766" i="3"/>
  <c r="R765" i="3"/>
  <c r="Q765" i="3"/>
  <c r="L765" i="3"/>
  <c r="J765" i="3"/>
  <c r="I765" i="3"/>
  <c r="T765" i="3" s="1"/>
  <c r="S764" i="3"/>
  <c r="S763" i="3"/>
  <c r="S762" i="3"/>
  <c r="S761" i="3"/>
  <c r="S760" i="3"/>
  <c r="S759" i="3"/>
  <c r="S758" i="3"/>
  <c r="S757" i="3"/>
  <c r="S749" i="3"/>
  <c r="S748" i="3"/>
  <c r="S747" i="3"/>
  <c r="S746" i="3"/>
  <c r="S745" i="3"/>
  <c r="S744" i="3"/>
  <c r="S743" i="3"/>
  <c r="S742" i="3"/>
  <c r="S741" i="3"/>
  <c r="S740" i="3"/>
  <c r="R739" i="3"/>
  <c r="Q739" i="3"/>
  <c r="L739" i="3"/>
  <c r="J739" i="3"/>
  <c r="I739" i="3"/>
  <c r="T739" i="3" s="1"/>
  <c r="S738" i="3"/>
  <c r="S737" i="3"/>
  <c r="S736" i="3"/>
  <c r="S733" i="3"/>
  <c r="K731" i="3"/>
  <c r="S732" i="3"/>
  <c r="R731" i="3"/>
  <c r="Q731" i="3"/>
  <c r="L731" i="3"/>
  <c r="J731" i="3"/>
  <c r="I731" i="3"/>
  <c r="T731" i="3" s="1"/>
  <c r="S730" i="3"/>
  <c r="S729" i="3"/>
  <c r="S728" i="3"/>
  <c r="S727" i="3"/>
  <c r="S726" i="3"/>
  <c r="S725" i="3"/>
  <c r="S724" i="3"/>
  <c r="S723" i="3"/>
  <c r="S720" i="3"/>
  <c r="S719" i="3"/>
  <c r="S718" i="3"/>
  <c r="S717" i="3"/>
  <c r="K712" i="3"/>
  <c r="S716" i="3"/>
  <c r="S715" i="3"/>
  <c r="S714" i="3"/>
  <c r="S713" i="3"/>
  <c r="R712" i="3"/>
  <c r="Q712" i="3"/>
  <c r="L712" i="3"/>
  <c r="J712" i="3"/>
  <c r="I712" i="3"/>
  <c r="T712" i="3" s="1"/>
  <c r="S711" i="3"/>
  <c r="S710" i="3"/>
  <c r="S709" i="3"/>
  <c r="S708" i="3"/>
  <c r="S707" i="3"/>
  <c r="S706" i="3"/>
  <c r="S705" i="3"/>
  <c r="S704" i="3"/>
  <c r="S703" i="3"/>
  <c r="S702" i="3"/>
  <c r="S701" i="3"/>
  <c r="S700" i="3"/>
  <c r="S699" i="3"/>
  <c r="S698" i="3"/>
  <c r="S697" i="3"/>
  <c r="S696" i="3"/>
  <c r="S695" i="3"/>
  <c r="S694" i="3"/>
  <c r="S693" i="3"/>
  <c r="S692" i="3"/>
  <c r="S691" i="3"/>
  <c r="S690" i="3"/>
  <c r="S689" i="3"/>
  <c r="S688" i="3"/>
  <c r="S687" i="3"/>
  <c r="S686" i="3"/>
  <c r="S685" i="3"/>
  <c r="S684" i="3"/>
  <c r="S683" i="3"/>
  <c r="S682" i="3"/>
  <c r="S681" i="3"/>
  <c r="S680" i="3"/>
  <c r="S679" i="3"/>
  <c r="S678" i="3"/>
  <c r="S677" i="3"/>
  <c r="S676" i="3"/>
  <c r="S675" i="3"/>
  <c r="S674" i="3"/>
  <c r="S673" i="3"/>
  <c r="R672" i="3"/>
  <c r="Q672" i="3"/>
  <c r="L672" i="3"/>
  <c r="J672" i="3"/>
  <c r="I672" i="3"/>
  <c r="T672" i="3" s="1"/>
  <c r="S671" i="3"/>
  <c r="S669" i="3"/>
  <c r="S668" i="3"/>
  <c r="S667" i="3"/>
  <c r="S666" i="3"/>
  <c r="S665" i="3"/>
  <c r="S664" i="3"/>
  <c r="S657" i="3"/>
  <c r="S656" i="3"/>
  <c r="S655" i="3"/>
  <c r="S654" i="3"/>
  <c r="S653" i="3"/>
  <c r="S652" i="3"/>
  <c r="S651" i="3"/>
  <c r="S650" i="3"/>
  <c r="S649" i="3"/>
  <c r="S648" i="3"/>
  <c r="S647" i="3"/>
  <c r="S646" i="3"/>
  <c r="S645" i="3"/>
  <c r="S644" i="3"/>
  <c r="S643" i="3"/>
  <c r="S642" i="3"/>
  <c r="R641" i="3"/>
  <c r="Q641" i="3"/>
  <c r="L641" i="3"/>
  <c r="J641" i="3"/>
  <c r="I641" i="3"/>
  <c r="T641" i="3" s="1"/>
  <c r="S640" i="3"/>
  <c r="S639" i="3"/>
  <c r="S638" i="3"/>
  <c r="S637" i="3"/>
  <c r="S636" i="3"/>
  <c r="S635" i="3"/>
  <c r="S634" i="3"/>
  <c r="S633" i="3"/>
  <c r="S632" i="3"/>
  <c r="S631" i="3"/>
  <c r="S630" i="3"/>
  <c r="S629" i="3"/>
  <c r="S628" i="3"/>
  <c r="S627" i="3"/>
  <c r="S626" i="3"/>
  <c r="S625" i="3"/>
  <c r="S624" i="3"/>
  <c r="S623" i="3"/>
  <c r="S622" i="3"/>
  <c r="S621" i="3"/>
  <c r="S620" i="3"/>
  <c r="S619" i="3"/>
  <c r="S618" i="3"/>
  <c r="S617" i="3"/>
  <c r="S616" i="3"/>
  <c r="S615" i="3"/>
  <c r="S614" i="3"/>
  <c r="S613" i="3"/>
  <c r="S612" i="3"/>
  <c r="S611" i="3"/>
  <c r="S610" i="3"/>
  <c r="S609" i="3"/>
  <c r="S608" i="3"/>
  <c r="S607" i="3"/>
  <c r="S606" i="3"/>
  <c r="S605" i="3"/>
  <c r="S604" i="3"/>
  <c r="S603" i="3"/>
  <c r="S602" i="3"/>
  <c r="S601" i="3"/>
  <c r="S600" i="3"/>
  <c r="S599" i="3"/>
  <c r="S598" i="3"/>
  <c r="S597" i="3"/>
  <c r="S596" i="3"/>
  <c r="S595" i="3"/>
  <c r="S594" i="3"/>
  <c r="S593" i="3"/>
  <c r="S592" i="3"/>
  <c r="S591" i="3"/>
  <c r="S590" i="3"/>
  <c r="S589" i="3"/>
  <c r="S588" i="3"/>
  <c r="S587" i="3"/>
  <c r="S586" i="3"/>
  <c r="S585" i="3"/>
  <c r="S584" i="3"/>
  <c r="S583" i="3"/>
  <c r="S582" i="3"/>
  <c r="S581" i="3"/>
  <c r="S580" i="3"/>
  <c r="S579" i="3"/>
  <c r="S578" i="3"/>
  <c r="S577" i="3"/>
  <c r="S576" i="3"/>
  <c r="S575" i="3"/>
  <c r="S574" i="3"/>
  <c r="S573" i="3"/>
  <c r="S572" i="3"/>
  <c r="S571" i="3"/>
  <c r="S570" i="3"/>
  <c r="S569" i="3"/>
  <c r="S568" i="3"/>
  <c r="S567" i="3"/>
  <c r="S566" i="3"/>
  <c r="S565" i="3"/>
  <c r="S564" i="3"/>
  <c r="S563" i="3"/>
  <c r="S562" i="3"/>
  <c r="S561" i="3"/>
  <c r="S560" i="3"/>
  <c r="S559" i="3"/>
  <c r="S558" i="3"/>
  <c r="S557" i="3"/>
  <c r="S556" i="3"/>
  <c r="S555" i="3"/>
  <c r="S554" i="3"/>
  <c r="S553" i="3"/>
  <c r="S552" i="3"/>
  <c r="B552" i="3"/>
  <c r="R551" i="3"/>
  <c r="Q551" i="3"/>
  <c r="L551" i="3"/>
  <c r="K551" i="3"/>
  <c r="J551" i="3"/>
  <c r="I551" i="3"/>
  <c r="S549" i="3"/>
  <c r="S547" i="3" s="1"/>
  <c r="S546" i="3"/>
  <c r="S545" i="3"/>
  <c r="R544" i="3"/>
  <c r="Q544" i="3"/>
  <c r="L544" i="3"/>
  <c r="K544" i="3"/>
  <c r="J544" i="3"/>
  <c r="I544" i="3"/>
  <c r="T544" i="3" s="1"/>
  <c r="S543" i="3"/>
  <c r="S542" i="3"/>
  <c r="S541" i="3"/>
  <c r="S540" i="3"/>
  <c r="R539" i="3"/>
  <c r="Q539" i="3"/>
  <c r="L539" i="3"/>
  <c r="K539" i="3"/>
  <c r="J539" i="3"/>
  <c r="I539" i="3"/>
  <c r="T539" i="3" s="1"/>
  <c r="S538" i="3"/>
  <c r="S537" i="3"/>
  <c r="S535" i="3"/>
  <c r="S534" i="3"/>
  <c r="S533" i="3"/>
  <c r="S532" i="3"/>
  <c r="S531" i="3"/>
  <c r="S530" i="3"/>
  <c r="R529" i="3"/>
  <c r="Q529" i="3"/>
  <c r="L529" i="3"/>
  <c r="J529" i="3"/>
  <c r="I529" i="3"/>
  <c r="T529" i="3" s="1"/>
  <c r="S528" i="3"/>
  <c r="S527" i="3" s="1"/>
  <c r="R527" i="3"/>
  <c r="Q527" i="3"/>
  <c r="L527" i="3"/>
  <c r="K527" i="3"/>
  <c r="J527" i="3"/>
  <c r="I527" i="3"/>
  <c r="T527" i="3" s="1"/>
  <c r="S526" i="3"/>
  <c r="S525" i="3"/>
  <c r="R524" i="3"/>
  <c r="Q524" i="3"/>
  <c r="L524" i="3"/>
  <c r="K524" i="3"/>
  <c r="J524" i="3"/>
  <c r="I524" i="3"/>
  <c r="T524" i="3" s="1"/>
  <c r="S523" i="3"/>
  <c r="S522" i="3" s="1"/>
  <c r="R522" i="3"/>
  <c r="Q522" i="3"/>
  <c r="L522" i="3"/>
  <c r="K522" i="3"/>
  <c r="J522" i="3"/>
  <c r="I522" i="3"/>
  <c r="T522" i="3" s="1"/>
  <c r="S521" i="3"/>
  <c r="S520" i="3"/>
  <c r="S519" i="3"/>
  <c r="S518" i="3"/>
  <c r="S517" i="3"/>
  <c r="R516" i="3"/>
  <c r="Q516" i="3"/>
  <c r="L516" i="3"/>
  <c r="K516" i="3"/>
  <c r="J516" i="3"/>
  <c r="I516" i="3"/>
  <c r="T516" i="3" s="1"/>
  <c r="S515" i="3"/>
  <c r="S513" i="3" s="1"/>
  <c r="S512" i="3"/>
  <c r="S511" i="3" s="1"/>
  <c r="R511" i="3"/>
  <c r="Q511" i="3"/>
  <c r="L511" i="3"/>
  <c r="K511" i="3"/>
  <c r="J511" i="3"/>
  <c r="I511" i="3"/>
  <c r="T511" i="3" s="1"/>
  <c r="S510" i="3"/>
  <c r="K508" i="3"/>
  <c r="S509" i="3"/>
  <c r="R508" i="3"/>
  <c r="Q508" i="3"/>
  <c r="L508" i="3"/>
  <c r="J508" i="3"/>
  <c r="I508" i="3"/>
  <c r="T508" i="3" s="1"/>
  <c r="S507" i="3"/>
  <c r="S505" i="3" s="1"/>
  <c r="S504" i="3"/>
  <c r="S503" i="3" s="1"/>
  <c r="R503" i="3"/>
  <c r="Q503" i="3"/>
  <c r="L503" i="3"/>
  <c r="K503" i="3"/>
  <c r="J503" i="3"/>
  <c r="I503" i="3"/>
  <c r="T503" i="3" s="1"/>
  <c r="S502" i="3"/>
  <c r="S501" i="3"/>
  <c r="S500" i="3"/>
  <c r="S499" i="3"/>
  <c r="S498" i="3"/>
  <c r="R497" i="3"/>
  <c r="Q497" i="3"/>
  <c r="L497" i="3"/>
  <c r="K497" i="3"/>
  <c r="J497" i="3"/>
  <c r="I497" i="3"/>
  <c r="T497" i="3" s="1"/>
  <c r="S496" i="3"/>
  <c r="S495" i="3"/>
  <c r="S494" i="3"/>
  <c r="S493" i="3"/>
  <c r="R492" i="3"/>
  <c r="Q492" i="3"/>
  <c r="L492" i="3"/>
  <c r="K492" i="3"/>
  <c r="J492" i="3"/>
  <c r="I492" i="3"/>
  <c r="T492" i="3" s="1"/>
  <c r="S491" i="3"/>
  <c r="S490" i="3" s="1"/>
  <c r="K490" i="3"/>
  <c r="R490" i="3"/>
  <c r="Q490" i="3"/>
  <c r="L490" i="3"/>
  <c r="J490" i="3"/>
  <c r="I490" i="3"/>
  <c r="T490" i="3" s="1"/>
  <c r="S489" i="3"/>
  <c r="S488" i="3" s="1"/>
  <c r="R488" i="3"/>
  <c r="Q488" i="3"/>
  <c r="L488" i="3"/>
  <c r="K488" i="3"/>
  <c r="J488" i="3"/>
  <c r="I488" i="3"/>
  <c r="T488" i="3" s="1"/>
  <c r="S487" i="3"/>
  <c r="S486" i="3"/>
  <c r="S485" i="3"/>
  <c r="S484" i="3"/>
  <c r="S483" i="3"/>
  <c r="S482" i="3"/>
  <c r="S481" i="3"/>
  <c r="S480" i="3"/>
  <c r="R479" i="3"/>
  <c r="Q479" i="3"/>
  <c r="L479" i="3"/>
  <c r="K479" i="3"/>
  <c r="J479" i="3"/>
  <c r="I479" i="3"/>
  <c r="T479" i="3" s="1"/>
  <c r="S478" i="3"/>
  <c r="S477" i="3"/>
  <c r="S476" i="3"/>
  <c r="K467" i="3"/>
  <c r="S475" i="3"/>
  <c r="S474" i="3"/>
  <c r="S473" i="3"/>
  <c r="S472" i="3"/>
  <c r="S471" i="3"/>
  <c r="S470" i="3"/>
  <c r="S469" i="3"/>
  <c r="S468" i="3"/>
  <c r="R467" i="3"/>
  <c r="Q467" i="3"/>
  <c r="L467" i="3"/>
  <c r="J467" i="3"/>
  <c r="I467" i="3"/>
  <c r="T467" i="3" s="1"/>
  <c r="S466" i="3"/>
  <c r="S465" i="3"/>
  <c r="S464" i="3"/>
  <c r="S463" i="3"/>
  <c r="S462" i="3"/>
  <c r="R461" i="3"/>
  <c r="Q461" i="3"/>
  <c r="L461" i="3"/>
  <c r="K461" i="3"/>
  <c r="J461" i="3"/>
  <c r="I461" i="3"/>
  <c r="T461" i="3" s="1"/>
  <c r="S460" i="3"/>
  <c r="S459" i="3" s="1"/>
  <c r="R459" i="3"/>
  <c r="Q459" i="3"/>
  <c r="S458" i="3"/>
  <c r="S457" i="3" s="1"/>
  <c r="R457" i="3"/>
  <c r="Q457" i="3"/>
  <c r="S456" i="3"/>
  <c r="S455" i="3" s="1"/>
  <c r="R455" i="3"/>
  <c r="Q455" i="3"/>
  <c r="S454" i="3"/>
  <c r="S453" i="3" s="1"/>
  <c r="R453" i="3"/>
  <c r="Q453" i="3"/>
  <c r="S452" i="3"/>
  <c r="S451" i="3" s="1"/>
  <c r="R451" i="3"/>
  <c r="Q451" i="3"/>
  <c r="S450" i="3"/>
  <c r="S449" i="3" s="1"/>
  <c r="R449" i="3"/>
  <c r="Q449" i="3"/>
  <c r="I449" i="3"/>
  <c r="T449" i="3" s="1"/>
  <c r="S448" i="3"/>
  <c r="S447" i="3"/>
  <c r="S445" i="3"/>
  <c r="S444" i="3"/>
  <c r="S443" i="3"/>
  <c r="S442" i="3"/>
  <c r="S441" i="3"/>
  <c r="S440" i="3"/>
  <c r="R438" i="3"/>
  <c r="Q438" i="3"/>
  <c r="L438" i="3"/>
  <c r="K438" i="3"/>
  <c r="J438" i="3"/>
  <c r="I438" i="3"/>
  <c r="T438" i="3" s="1"/>
  <c r="S437" i="3"/>
  <c r="S436" i="3"/>
  <c r="R435" i="3"/>
  <c r="Q435" i="3"/>
  <c r="L435" i="3"/>
  <c r="K435" i="3"/>
  <c r="J435" i="3"/>
  <c r="I435" i="3"/>
  <c r="T435" i="3" s="1"/>
  <c r="S434" i="3"/>
  <c r="S433" i="3"/>
  <c r="S432" i="3"/>
  <c r="S431" i="3"/>
  <c r="S430" i="3"/>
  <c r="R429" i="3"/>
  <c r="Q429" i="3"/>
  <c r="L429" i="3"/>
  <c r="K429" i="3"/>
  <c r="J429" i="3"/>
  <c r="I429" i="3"/>
  <c r="T429" i="3" s="1"/>
  <c r="S428" i="3"/>
  <c r="S427" i="3"/>
  <c r="S426" i="3"/>
  <c r="S425" i="3"/>
  <c r="S424" i="3"/>
  <c r="S423" i="3"/>
  <c r="R422" i="3"/>
  <c r="Q422" i="3"/>
  <c r="L422" i="3"/>
  <c r="K422" i="3"/>
  <c r="J422" i="3"/>
  <c r="I422" i="3"/>
  <c r="T422" i="3" s="1"/>
  <c r="S421" i="3"/>
  <c r="S420" i="3"/>
  <c r="S419" i="3"/>
  <c r="R418" i="3"/>
  <c r="Q418" i="3"/>
  <c r="L418" i="3"/>
  <c r="K418" i="3"/>
  <c r="J418" i="3"/>
  <c r="I418" i="3"/>
  <c r="T418" i="3" s="1"/>
  <c r="S416" i="3"/>
  <c r="R416" i="3"/>
  <c r="Q416" i="3"/>
  <c r="L416" i="3"/>
  <c r="K416" i="3"/>
  <c r="J416" i="3"/>
  <c r="I416" i="3"/>
  <c r="T416" i="3" s="1"/>
  <c r="S415" i="3"/>
  <c r="S414" i="3"/>
  <c r="S413" i="3"/>
  <c r="R412" i="3"/>
  <c r="Q412" i="3"/>
  <c r="L412" i="3"/>
  <c r="K412" i="3"/>
  <c r="J412" i="3"/>
  <c r="I412" i="3"/>
  <c r="T412" i="3" s="1"/>
  <c r="S407" i="3"/>
  <c r="S406" i="3" s="1"/>
  <c r="R406" i="3"/>
  <c r="Q406" i="3"/>
  <c r="L406" i="3"/>
  <c r="K406" i="3"/>
  <c r="J406" i="3"/>
  <c r="I406" i="3"/>
  <c r="T406" i="3" s="1"/>
  <c r="S405" i="3"/>
  <c r="S404" i="3"/>
  <c r="S403" i="3"/>
  <c r="S400" i="3"/>
  <c r="S399" i="3"/>
  <c r="R398" i="3"/>
  <c r="Q398" i="3"/>
  <c r="L398" i="3"/>
  <c r="K398" i="3"/>
  <c r="J398" i="3"/>
  <c r="I398" i="3"/>
  <c r="T398" i="3" s="1"/>
  <c r="S397" i="3"/>
  <c r="S396" i="3" s="1"/>
  <c r="R396" i="3"/>
  <c r="Q396" i="3"/>
  <c r="L396" i="3"/>
  <c r="K396" i="3"/>
  <c r="J396" i="3"/>
  <c r="I396" i="3"/>
  <c r="T396" i="3" s="1"/>
  <c r="S395" i="3"/>
  <c r="K391" i="3"/>
  <c r="S394" i="3"/>
  <c r="S393" i="3"/>
  <c r="S392" i="3"/>
  <c r="R391" i="3"/>
  <c r="Q391" i="3"/>
  <c r="L391" i="3"/>
  <c r="J391" i="3"/>
  <c r="I391" i="3"/>
  <c r="T391" i="3" s="1"/>
  <c r="S390" i="3"/>
  <c r="S389" i="3" s="1"/>
  <c r="R389" i="3"/>
  <c r="Q389" i="3"/>
  <c r="L389" i="3"/>
  <c r="K389" i="3"/>
  <c r="J389" i="3"/>
  <c r="I389" i="3"/>
  <c r="T389" i="3" s="1"/>
  <c r="S388" i="3"/>
  <c r="S387" i="3"/>
  <c r="R386" i="3"/>
  <c r="Q386" i="3"/>
  <c r="L386" i="3"/>
  <c r="K386" i="3"/>
  <c r="J386" i="3"/>
  <c r="I386" i="3"/>
  <c r="T386" i="3" s="1"/>
  <c r="S385" i="3"/>
  <c r="K381" i="3"/>
  <c r="S384" i="3"/>
  <c r="S383" i="3"/>
  <c r="S382" i="3"/>
  <c r="R381" i="3"/>
  <c r="Q381" i="3"/>
  <c r="L381" i="3"/>
  <c r="J381" i="3"/>
  <c r="I381" i="3"/>
  <c r="T381" i="3" s="1"/>
  <c r="S380" i="3"/>
  <c r="S379" i="3" s="1"/>
  <c r="R379" i="3"/>
  <c r="Q379" i="3"/>
  <c r="L379" i="3"/>
  <c r="K379" i="3"/>
  <c r="J379" i="3"/>
  <c r="I379" i="3"/>
  <c r="T379" i="3" s="1"/>
  <c r="S378" i="3"/>
  <c r="S377" i="3" s="1"/>
  <c r="R377" i="3"/>
  <c r="Q377" i="3"/>
  <c r="L377" i="3"/>
  <c r="K377" i="3"/>
  <c r="J377" i="3"/>
  <c r="I377" i="3"/>
  <c r="T377" i="3" s="1"/>
  <c r="S376" i="3"/>
  <c r="S375" i="3"/>
  <c r="R374" i="3"/>
  <c r="Q374" i="3"/>
  <c r="L374" i="3"/>
  <c r="K374" i="3"/>
  <c r="J374" i="3"/>
  <c r="I374" i="3"/>
  <c r="T374" i="3" s="1"/>
  <c r="S373" i="3"/>
  <c r="K359" i="3"/>
  <c r="S372" i="3"/>
  <c r="S371" i="3"/>
  <c r="S370" i="3"/>
  <c r="S369" i="3"/>
  <c r="S368" i="3"/>
  <c r="S367" i="3"/>
  <c r="S366" i="3"/>
  <c r="S365" i="3"/>
  <c r="S364" i="3"/>
  <c r="S363" i="3"/>
  <c r="S362" i="3"/>
  <c r="S361" i="3"/>
  <c r="S360" i="3"/>
  <c r="R359" i="3"/>
  <c r="Q359" i="3"/>
  <c r="L359" i="3"/>
  <c r="J359" i="3"/>
  <c r="I359" i="3"/>
  <c r="T359" i="3" s="1"/>
  <c r="S358" i="3"/>
  <c r="S357" i="3" s="1"/>
  <c r="R357" i="3"/>
  <c r="Q357" i="3"/>
  <c r="L357" i="3"/>
  <c r="K357" i="3"/>
  <c r="J357" i="3"/>
  <c r="I357" i="3"/>
  <c r="T357" i="3" s="1"/>
  <c r="S356" i="3"/>
  <c r="S355" i="3"/>
  <c r="R354" i="3"/>
  <c r="Q354" i="3"/>
  <c r="L354" i="3"/>
  <c r="K354" i="3"/>
  <c r="J354" i="3"/>
  <c r="I354" i="3"/>
  <c r="T354" i="3" s="1"/>
  <c r="S353" i="3"/>
  <c r="K350" i="3"/>
  <c r="S352" i="3"/>
  <c r="S351" i="3"/>
  <c r="R350" i="3"/>
  <c r="Q350" i="3"/>
  <c r="L350" i="3"/>
  <c r="J350" i="3"/>
  <c r="I350" i="3"/>
  <c r="T350" i="3" s="1"/>
  <c r="S349" i="3"/>
  <c r="S348" i="3"/>
  <c r="R347" i="3"/>
  <c r="Q347" i="3"/>
  <c r="L347" i="3"/>
  <c r="K347" i="3"/>
  <c r="J347" i="3"/>
  <c r="I347" i="3"/>
  <c r="T347" i="3" s="1"/>
  <c r="S346" i="3"/>
  <c r="S345" i="3"/>
  <c r="R344" i="3"/>
  <c r="Q344" i="3"/>
  <c r="L344" i="3"/>
  <c r="K344" i="3"/>
  <c r="J344" i="3"/>
  <c r="I344" i="3"/>
  <c r="T344" i="3" s="1"/>
  <c r="S343" i="3"/>
  <c r="S342" i="3"/>
  <c r="S341" i="3"/>
  <c r="S340" i="3"/>
  <c r="S339" i="3"/>
  <c r="R338" i="3"/>
  <c r="Q338" i="3"/>
  <c r="L338" i="3"/>
  <c r="K338" i="3"/>
  <c r="J338" i="3"/>
  <c r="I338" i="3"/>
  <c r="T338" i="3" s="1"/>
  <c r="S337" i="3"/>
  <c r="S336" i="3"/>
  <c r="S335" i="3"/>
  <c r="S334" i="3"/>
  <c r="S333" i="3"/>
  <c r="S332" i="3"/>
  <c r="S331" i="3"/>
  <c r="S330" i="3"/>
  <c r="S329" i="3"/>
  <c r="S327" i="3"/>
  <c r="S326" i="3"/>
  <c r="S325" i="3"/>
  <c r="S324" i="3"/>
  <c r="S323" i="3"/>
  <c r="S322" i="3"/>
  <c r="R321" i="3"/>
  <c r="Q321" i="3"/>
  <c r="L321" i="3"/>
  <c r="K321" i="3"/>
  <c r="J321" i="3"/>
  <c r="I321" i="3"/>
  <c r="T321" i="3" s="1"/>
  <c r="S320" i="3"/>
  <c r="S319" i="3"/>
  <c r="S318" i="3"/>
  <c r="S317" i="3"/>
  <c r="S316" i="3"/>
  <c r="S315" i="3"/>
  <c r="S314" i="3"/>
  <c r="S313" i="3"/>
  <c r="S312" i="3"/>
  <c r="S311" i="3"/>
  <c r="S310" i="3"/>
  <c r="S309" i="3"/>
  <c r="S308" i="3"/>
  <c r="S307" i="3"/>
  <c r="S306" i="3"/>
  <c r="R305" i="3"/>
  <c r="Q305" i="3"/>
  <c r="L305" i="3"/>
  <c r="K305" i="3"/>
  <c r="J305" i="3"/>
  <c r="I305" i="3"/>
  <c r="T305" i="3" s="1"/>
  <c r="S304" i="3"/>
  <c r="S303" i="3" s="1"/>
  <c r="R303" i="3"/>
  <c r="Q303" i="3"/>
  <c r="L303" i="3"/>
  <c r="K303" i="3"/>
  <c r="J303" i="3"/>
  <c r="I303" i="3"/>
  <c r="T303" i="3" s="1"/>
  <c r="S302" i="3"/>
  <c r="S301" i="3"/>
  <c r="S300" i="3"/>
  <c r="S299" i="3"/>
  <c r="S298" i="3"/>
  <c r="R297" i="3"/>
  <c r="Q297" i="3"/>
  <c r="L297" i="3"/>
  <c r="K297" i="3"/>
  <c r="J297" i="3"/>
  <c r="I297" i="3"/>
  <c r="T297" i="3" s="1"/>
  <c r="S296" i="3"/>
  <c r="S295" i="3"/>
  <c r="S294" i="3"/>
  <c r="S293" i="3"/>
  <c r="S292" i="3"/>
  <c r="R291" i="3"/>
  <c r="Q291" i="3"/>
  <c r="L291" i="3"/>
  <c r="K291" i="3"/>
  <c r="J291" i="3"/>
  <c r="I291" i="3"/>
  <c r="T291" i="3" s="1"/>
  <c r="S290" i="3"/>
  <c r="S289" i="3"/>
  <c r="R288" i="3"/>
  <c r="Q288" i="3"/>
  <c r="L288" i="3"/>
  <c r="K288" i="3"/>
  <c r="J288" i="3"/>
  <c r="I288" i="3"/>
  <c r="T288" i="3" s="1"/>
  <c r="S287" i="3"/>
  <c r="S286" i="3" s="1"/>
  <c r="R286" i="3"/>
  <c r="Q286" i="3"/>
  <c r="L286" i="3"/>
  <c r="K286" i="3"/>
  <c r="J286" i="3"/>
  <c r="I286" i="3"/>
  <c r="T286" i="3" s="1"/>
  <c r="S285" i="3"/>
  <c r="S284" i="3"/>
  <c r="S283" i="3"/>
  <c r="S282" i="3"/>
  <c r="R281" i="3"/>
  <c r="Q281" i="3"/>
  <c r="L281" i="3"/>
  <c r="K281" i="3"/>
  <c r="J281" i="3"/>
  <c r="I281" i="3"/>
  <c r="T281" i="3" s="1"/>
  <c r="S280" i="3"/>
  <c r="K274" i="3"/>
  <c r="S279" i="3"/>
  <c r="S278" i="3"/>
  <c r="S277" i="3"/>
  <c r="S276" i="3"/>
  <c r="S275" i="3"/>
  <c r="R274" i="3"/>
  <c r="Q274" i="3"/>
  <c r="L274" i="3"/>
  <c r="J274" i="3"/>
  <c r="I274" i="3"/>
  <c r="T274" i="3" s="1"/>
  <c r="S273" i="3"/>
  <c r="S272" i="3"/>
  <c r="S271" i="3"/>
  <c r="S270" i="3"/>
  <c r="S269" i="3"/>
  <c r="R268" i="3"/>
  <c r="Q268" i="3"/>
  <c r="L268" i="3"/>
  <c r="K268" i="3"/>
  <c r="J268" i="3"/>
  <c r="I268" i="3"/>
  <c r="T268" i="3" s="1"/>
  <c r="S267" i="3"/>
  <c r="K241" i="3"/>
  <c r="S266" i="3"/>
  <c r="S265" i="3"/>
  <c r="S264" i="3"/>
  <c r="S263" i="3"/>
  <c r="S262" i="3"/>
  <c r="S261" i="3"/>
  <c r="S260" i="3"/>
  <c r="S259" i="3"/>
  <c r="S258" i="3"/>
  <c r="S257" i="3"/>
  <c r="S256" i="3"/>
  <c r="S255" i="3"/>
  <c r="S253" i="3"/>
  <c r="S252" i="3"/>
  <c r="S251" i="3"/>
  <c r="S250" i="3"/>
  <c r="S249" i="3"/>
  <c r="S248" i="3"/>
  <c r="S247" i="3"/>
  <c r="S246" i="3"/>
  <c r="S245" i="3"/>
  <c r="S244" i="3"/>
  <c r="S243" i="3"/>
  <c r="S242" i="3"/>
  <c r="R241" i="3"/>
  <c r="Q241" i="3"/>
  <c r="L241" i="3"/>
  <c r="J241" i="3"/>
  <c r="I241" i="3"/>
  <c r="T241" i="3" s="1"/>
  <c r="S240" i="3"/>
  <c r="S239" i="3"/>
  <c r="S238" i="3"/>
  <c r="S237" i="3"/>
  <c r="S236" i="3"/>
  <c r="R235" i="3"/>
  <c r="Q235" i="3"/>
  <c r="L235" i="3"/>
  <c r="K235" i="3"/>
  <c r="J235" i="3"/>
  <c r="I235" i="3"/>
  <c r="T235" i="3" s="1"/>
  <c r="S232" i="3"/>
  <c r="S231" i="3"/>
  <c r="S230" i="3"/>
  <c r="S229" i="3"/>
  <c r="S228" i="3"/>
  <c r="S227" i="3"/>
  <c r="S226" i="3"/>
  <c r="S225" i="3"/>
  <c r="S224" i="3"/>
  <c r="S223" i="3"/>
  <c r="S222" i="3"/>
  <c r="S221" i="3"/>
  <c r="S220" i="3"/>
  <c r="S219" i="3"/>
  <c r="S218" i="3"/>
  <c r="S217" i="3"/>
  <c r="S216" i="3"/>
  <c r="S215" i="3"/>
  <c r="S214" i="3"/>
  <c r="S213" i="3"/>
  <c r="S212" i="3"/>
  <c r="S211" i="3"/>
  <c r="S210" i="3"/>
  <c r="S209" i="3"/>
  <c r="S208" i="3"/>
  <c r="S207" i="3"/>
  <c r="S206" i="3"/>
  <c r="S205" i="3"/>
  <c r="S204" i="3"/>
  <c r="S203" i="3"/>
  <c r="S202" i="3"/>
  <c r="S201" i="3"/>
  <c r="S200" i="3"/>
  <c r="S199" i="3"/>
  <c r="S198" i="3"/>
  <c r="R197" i="3"/>
  <c r="Q197" i="3"/>
  <c r="S195" i="3"/>
  <c r="K151" i="3"/>
  <c r="S194" i="3"/>
  <c r="S193" i="3"/>
  <c r="S187" i="3"/>
  <c r="S186" i="3"/>
  <c r="S185" i="3"/>
  <c r="S184" i="3"/>
  <c r="S183" i="3"/>
  <c r="S182" i="3"/>
  <c r="S181" i="3"/>
  <c r="S180" i="3"/>
  <c r="S179" i="3"/>
  <c r="S178" i="3"/>
  <c r="S177" i="3"/>
  <c r="S176" i="3"/>
  <c r="S175" i="3"/>
  <c r="S174" i="3"/>
  <c r="S173" i="3"/>
  <c r="S172" i="3"/>
  <c r="S171" i="3"/>
  <c r="S170" i="3"/>
  <c r="S169" i="3"/>
  <c r="S168" i="3"/>
  <c r="S167" i="3"/>
  <c r="S166" i="3"/>
  <c r="S165" i="3"/>
  <c r="S164" i="3"/>
  <c r="S163" i="3"/>
  <c r="S162" i="3"/>
  <c r="S161" i="3"/>
  <c r="S160" i="3"/>
  <c r="S159" i="3"/>
  <c r="S158" i="3"/>
  <c r="S157" i="3"/>
  <c r="S156" i="3"/>
  <c r="S155" i="3"/>
  <c r="S154" i="3"/>
  <c r="S153" i="3"/>
  <c r="S152" i="3"/>
  <c r="R151" i="3"/>
  <c r="Q151" i="3"/>
  <c r="L151" i="3"/>
  <c r="J151" i="3"/>
  <c r="I151" i="3"/>
  <c r="T151" i="3" s="1"/>
  <c r="S150" i="3"/>
  <c r="S149" i="3"/>
  <c r="S148" i="3"/>
  <c r="S147" i="3"/>
  <c r="S146" i="3"/>
  <c r="S145" i="3"/>
  <c r="S144" i="3"/>
  <c r="S143" i="3"/>
  <c r="S142" i="3"/>
  <c r="S141" i="3"/>
  <c r="S140" i="3"/>
  <c r="S139" i="3"/>
  <c r="S138" i="3"/>
  <c r="S137" i="3"/>
  <c r="S136" i="3"/>
  <c r="S135" i="3"/>
  <c r="S134" i="3"/>
  <c r="S133" i="3"/>
  <c r="S132" i="3"/>
  <c r="S131" i="3"/>
  <c r="S130" i="3"/>
  <c r="S129" i="3"/>
  <c r="S128" i="3"/>
  <c r="S127" i="3"/>
  <c r="S126" i="3"/>
  <c r="S125" i="3"/>
  <c r="S124" i="3"/>
  <c r="S123" i="3"/>
  <c r="S122" i="3"/>
  <c r="S121" i="3"/>
  <c r="R120" i="3"/>
  <c r="Q120" i="3"/>
  <c r="L120" i="3"/>
  <c r="K120" i="3"/>
  <c r="J120" i="3"/>
  <c r="I120" i="3"/>
  <c r="T120" i="3" s="1"/>
  <c r="S119" i="3"/>
  <c r="S118" i="3"/>
  <c r="S117" i="3"/>
  <c r="S116" i="3"/>
  <c r="S115" i="3"/>
  <c r="S114" i="3"/>
  <c r="S113" i="3"/>
  <c r="S112" i="3"/>
  <c r="S111" i="3"/>
  <c r="S110" i="3"/>
  <c r="S109" i="3"/>
  <c r="S108" i="3"/>
  <c r="S107" i="3"/>
  <c r="S106" i="3"/>
  <c r="S105" i="3"/>
  <c r="S104" i="3"/>
  <c r="S103" i="3"/>
  <c r="S102" i="3"/>
  <c r="S101" i="3"/>
  <c r="S100" i="3"/>
  <c r="S99" i="3"/>
  <c r="S98" i="3"/>
  <c r="S97" i="3"/>
  <c r="S96" i="3"/>
  <c r="S95" i="3"/>
  <c r="S94" i="3"/>
  <c r="S93" i="3"/>
  <c r="S92" i="3"/>
  <c r="S91" i="3"/>
  <c r="S90" i="3"/>
  <c r="S89" i="3"/>
  <c r="S88" i="3"/>
  <c r="S87" i="3"/>
  <c r="S86" i="3"/>
  <c r="S85" i="3"/>
  <c r="S84" i="3"/>
  <c r="S83" i="3"/>
  <c r="S82" i="3"/>
  <c r="S81" i="3"/>
  <c r="S80" i="3"/>
  <c r="S79" i="3"/>
  <c r="S78" i="3"/>
  <c r="S77" i="3"/>
  <c r="S76" i="3"/>
  <c r="S75" i="3"/>
  <c r="S74" i="3"/>
  <c r="S73" i="3"/>
  <c r="S72" i="3"/>
  <c r="S71" i="3"/>
  <c r="S70" i="3"/>
  <c r="S69" i="3"/>
  <c r="S68" i="3"/>
  <c r="S67" i="3"/>
  <c r="S66" i="3"/>
  <c r="S65" i="3"/>
  <c r="S64" i="3"/>
  <c r="S63" i="3"/>
  <c r="S62" i="3"/>
  <c r="S61" i="3"/>
  <c r="S60" i="3"/>
  <c r="S59" i="3"/>
  <c r="S58" i="3"/>
  <c r="S57" i="3"/>
  <c r="S56" i="3"/>
  <c r="S55" i="3"/>
  <c r="S54" i="3"/>
  <c r="S53" i="3"/>
  <c r="S52" i="3"/>
  <c r="S51" i="3"/>
  <c r="S50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S28" i="3"/>
  <c r="S27" i="3"/>
  <c r="S26" i="3"/>
  <c r="S25" i="3"/>
  <c r="S24" i="3"/>
  <c r="S23" i="3"/>
  <c r="S22" i="3"/>
  <c r="S21" i="3"/>
  <c r="S20" i="3"/>
  <c r="S19" i="3"/>
  <c r="S18" i="3"/>
  <c r="S17" i="3"/>
  <c r="S16" i="3"/>
  <c r="B16" i="3"/>
  <c r="R15" i="3"/>
  <c r="Q15" i="3"/>
  <c r="L15" i="3"/>
  <c r="K15" i="3"/>
  <c r="J15" i="3"/>
  <c r="I15" i="3"/>
  <c r="T15" i="3" s="1"/>
  <c r="P13" i="3"/>
  <c r="R550" i="3" l="1"/>
  <c r="J550" i="3"/>
  <c r="L550" i="3"/>
  <c r="Q550" i="3"/>
  <c r="T846" i="3"/>
  <c r="I550" i="3"/>
  <c r="K1283" i="3"/>
  <c r="R1283" i="3"/>
  <c r="T551" i="3"/>
  <c r="T550" i="3"/>
  <c r="J1283" i="3"/>
  <c r="I1283" i="3"/>
  <c r="P1283" i="3"/>
  <c r="Q1283" i="3"/>
  <c r="S1131" i="3"/>
  <c r="J1275" i="3"/>
  <c r="S1156" i="3"/>
  <c r="S909" i="3"/>
  <c r="S1236" i="3"/>
  <c r="L1275" i="3"/>
  <c r="K1275" i="3"/>
  <c r="R1275" i="3"/>
  <c r="S904" i="3"/>
  <c r="S1275" i="3"/>
  <c r="Q1275" i="3"/>
  <c r="P1275" i="3"/>
  <c r="S1128" i="3"/>
  <c r="S1149" i="3"/>
  <c r="S865" i="3"/>
  <c r="S960" i="3"/>
  <c r="S374" i="3"/>
  <c r="S412" i="3"/>
  <c r="S539" i="3"/>
  <c r="S544" i="3"/>
  <c r="S773" i="3"/>
  <c r="S796" i="3"/>
  <c r="S1142" i="3"/>
  <c r="S1166" i="3"/>
  <c r="S788" i="3"/>
  <c r="S822" i="3"/>
  <c r="S1077" i="3"/>
  <c r="S1119" i="3"/>
  <c r="S1135" i="3"/>
  <c r="S874" i="3"/>
  <c r="S921" i="3"/>
  <c r="S999" i="3"/>
  <c r="S1169" i="3"/>
  <c r="S429" i="3"/>
  <c r="S492" i="3"/>
  <c r="S524" i="3"/>
  <c r="S899" i="3"/>
  <c r="S1255" i="3"/>
  <c r="S354" i="3"/>
  <c r="S386" i="3"/>
  <c r="S516" i="3"/>
  <c r="S1223" i="3"/>
  <c r="S288" i="3"/>
  <c r="S347" i="3"/>
  <c r="S972" i="3"/>
  <c r="S435" i="3"/>
  <c r="S839" i="3"/>
  <c r="S1192" i="3"/>
  <c r="S1240" i="3"/>
  <c r="S1244" i="3"/>
  <c r="S1248" i="3"/>
  <c r="S120" i="3"/>
  <c r="S235" i="3"/>
  <c r="S268" i="3"/>
  <c r="S281" i="3"/>
  <c r="S291" i="3"/>
  <c r="S297" i="3"/>
  <c r="S305" i="3"/>
  <c r="S344" i="3"/>
  <c r="S398" i="3"/>
  <c r="S461" i="3"/>
  <c r="S479" i="3"/>
  <c r="S497" i="3"/>
  <c r="S846" i="3"/>
  <c r="S889" i="3"/>
  <c r="S915" i="3"/>
  <c r="S954" i="3"/>
  <c r="S1104" i="3"/>
  <c r="S1116" i="3"/>
  <c r="S1185" i="3"/>
  <c r="S1197" i="3"/>
  <c r="S1213" i="3"/>
  <c r="S1258" i="3"/>
  <c r="S1188" i="3"/>
  <c r="S418" i="3"/>
  <c r="S422" i="3"/>
  <c r="S551" i="3"/>
  <c r="S883" i="3"/>
  <c r="S1233" i="3"/>
  <c r="S1268" i="3"/>
  <c r="S321" i="3"/>
  <c r="S712" i="3"/>
  <c r="Q998" i="3"/>
  <c r="S338" i="3"/>
  <c r="S1178" i="3"/>
  <c r="S641" i="3"/>
  <c r="K641" i="3"/>
  <c r="S672" i="3"/>
  <c r="K672" i="3"/>
  <c r="S765" i="3"/>
  <c r="S811" i="3"/>
  <c r="K811" i="3"/>
  <c r="S438" i="3"/>
  <c r="S197" i="3"/>
  <c r="S151" i="3"/>
  <c r="I998" i="3"/>
  <c r="T998" i="3" s="1"/>
  <c r="K1062" i="3"/>
  <c r="K998" i="3" s="1"/>
  <c r="S1062" i="3"/>
  <c r="S391" i="3"/>
  <c r="S982" i="3"/>
  <c r="K982" i="3"/>
  <c r="J998" i="3"/>
  <c r="L998" i="3"/>
  <c r="R998" i="3"/>
  <c r="S1284" i="3"/>
  <c r="S1283" i="3" s="1"/>
  <c r="S15" i="3"/>
  <c r="I14" i="3"/>
  <c r="T14" i="3" s="1"/>
  <c r="Q14" i="3"/>
  <c r="S731" i="3"/>
  <c r="S739" i="3"/>
  <c r="K739" i="3"/>
  <c r="S274" i="3"/>
  <c r="S350" i="3"/>
  <c r="S381" i="3"/>
  <c r="S467" i="3"/>
  <c r="S508" i="3"/>
  <c r="S529" i="3"/>
  <c r="K529" i="3"/>
  <c r="K14" i="3" s="1"/>
  <c r="J14" i="3"/>
  <c r="L14" i="3"/>
  <c r="R14" i="3"/>
  <c r="S241" i="3"/>
  <c r="S359" i="3"/>
  <c r="S781" i="3"/>
  <c r="S929" i="3"/>
  <c r="K550" i="3" l="1"/>
  <c r="K13" i="3" s="1"/>
  <c r="S550" i="3"/>
  <c r="I13" i="3"/>
  <c r="T13" i="3" s="1"/>
  <c r="S998" i="3"/>
  <c r="Q13" i="3"/>
  <c r="L13" i="3"/>
  <c r="R13" i="3"/>
  <c r="J13" i="3"/>
  <c r="S14" i="3"/>
  <c r="T1284" i="3"/>
  <c r="T1285" i="3"/>
  <c r="V1285" i="3" s="1"/>
  <c r="T1286" i="3"/>
  <c r="V1286" i="3" s="1"/>
  <c r="T1287" i="3"/>
  <c r="V1287" i="3" s="1"/>
  <c r="T1290" i="3"/>
  <c r="T1291" i="3"/>
  <c r="V1291" i="3" s="1"/>
  <c r="T1283" i="3"/>
  <c r="T1276" i="3"/>
  <c r="T1277" i="3"/>
  <c r="V1277" i="3" s="1"/>
  <c r="T1278" i="3"/>
  <c r="T1279" i="3"/>
  <c r="V1279" i="3" s="1"/>
  <c r="T1280" i="3"/>
  <c r="T1281" i="3"/>
  <c r="V1281" i="3" s="1"/>
  <c r="T1275" i="3"/>
  <c r="V1228" i="3"/>
  <c r="V1230" i="3"/>
  <c r="V1232" i="3"/>
  <c r="V1234" i="3"/>
  <c r="V1235" i="3"/>
  <c r="V1237" i="3"/>
  <c r="V1239" i="3"/>
  <c r="V1241" i="3"/>
  <c r="V1242" i="3"/>
  <c r="V1243" i="3"/>
  <c r="V1245" i="3"/>
  <c r="V1246" i="3"/>
  <c r="V1247" i="3"/>
  <c r="V1249" i="3"/>
  <c r="V1250" i="3"/>
  <c r="V1252" i="3"/>
  <c r="V1254" i="3"/>
  <c r="V1256" i="3"/>
  <c r="V1257" i="3"/>
  <c r="V1259" i="3"/>
  <c r="V1260" i="3"/>
  <c r="V1261" i="3"/>
  <c r="V1265" i="3"/>
  <c r="V1267" i="3"/>
  <c r="V1269" i="3"/>
  <c r="V1270" i="3"/>
  <c r="V1271" i="3"/>
  <c r="T1273" i="3"/>
  <c r="V1273" i="3" s="1"/>
  <c r="V973" i="3"/>
  <c r="V974" i="3"/>
  <c r="V976" i="3"/>
  <c r="V977" i="3"/>
  <c r="V979" i="3"/>
  <c r="V981" i="3"/>
  <c r="V983" i="3"/>
  <c r="V984" i="3"/>
  <c r="V986" i="3"/>
  <c r="V987" i="3"/>
  <c r="V988" i="3"/>
  <c r="V993" i="3"/>
  <c r="V997" i="3"/>
  <c r="V1000" i="3"/>
  <c r="V1001" i="3"/>
  <c r="V1002" i="3"/>
  <c r="V1003" i="3"/>
  <c r="V1004" i="3"/>
  <c r="V1005" i="3"/>
  <c r="V1006" i="3"/>
  <c r="V1007" i="3"/>
  <c r="V1008" i="3"/>
  <c r="V1009" i="3"/>
  <c r="V1010" i="3"/>
  <c r="V1011" i="3"/>
  <c r="V1012" i="3"/>
  <c r="V1013" i="3"/>
  <c r="V1014" i="3"/>
  <c r="V1015" i="3"/>
  <c r="V1016" i="3"/>
  <c r="V1017" i="3"/>
  <c r="V1018" i="3"/>
  <c r="V1019" i="3"/>
  <c r="V1020" i="3"/>
  <c r="V1021" i="3"/>
  <c r="V1022" i="3"/>
  <c r="V1023" i="3"/>
  <c r="V1024" i="3"/>
  <c r="V1025" i="3"/>
  <c r="V1026" i="3"/>
  <c r="V1027" i="3"/>
  <c r="V1028" i="3"/>
  <c r="V1029" i="3"/>
  <c r="V1030" i="3"/>
  <c r="V1031" i="3"/>
  <c r="V1032" i="3"/>
  <c r="V1033" i="3"/>
  <c r="V1034" i="3"/>
  <c r="V1035" i="3"/>
  <c r="V1036" i="3"/>
  <c r="V1037" i="3"/>
  <c r="V1038" i="3"/>
  <c r="V1039" i="3"/>
  <c r="V1040" i="3"/>
  <c r="V1041" i="3"/>
  <c r="V1042" i="3"/>
  <c r="V1043" i="3"/>
  <c r="V1044" i="3"/>
  <c r="V1045" i="3"/>
  <c r="V1046" i="3"/>
  <c r="V1047" i="3"/>
  <c r="V1048" i="3"/>
  <c r="V1049" i="3"/>
  <c r="V1050" i="3"/>
  <c r="V1051" i="3"/>
  <c r="V1052" i="3"/>
  <c r="V1053" i="3"/>
  <c r="V1054" i="3"/>
  <c r="V1055" i="3"/>
  <c r="V1056" i="3"/>
  <c r="V1057" i="3"/>
  <c r="V1058" i="3"/>
  <c r="V1060" i="3"/>
  <c r="V1061" i="3"/>
  <c r="V1063" i="3"/>
  <c r="V1064" i="3"/>
  <c r="V1065" i="3"/>
  <c r="V1066" i="3"/>
  <c r="V1067" i="3"/>
  <c r="V1069" i="3"/>
  <c r="V1070" i="3"/>
  <c r="V1071" i="3"/>
  <c r="V1072" i="3"/>
  <c r="V1074" i="3"/>
  <c r="V1075" i="3"/>
  <c r="V1076" i="3"/>
  <c r="V1078" i="3"/>
  <c r="V1079" i="3"/>
  <c r="V1080" i="3"/>
  <c r="V1081" i="3"/>
  <c r="V1082" i="3"/>
  <c r="V1083" i="3"/>
  <c r="V1084" i="3"/>
  <c r="V1085" i="3"/>
  <c r="V1086" i="3"/>
  <c r="V1090" i="3"/>
  <c r="V1091" i="3"/>
  <c r="V1092" i="3"/>
  <c r="V1093" i="3"/>
  <c r="V1094" i="3"/>
  <c r="V1095" i="3"/>
  <c r="V1096" i="3"/>
  <c r="V1097" i="3"/>
  <c r="V1098" i="3"/>
  <c r="V1099" i="3"/>
  <c r="V1100" i="3"/>
  <c r="V1101" i="3"/>
  <c r="V1102" i="3"/>
  <c r="V1103" i="3"/>
  <c r="V1105" i="3"/>
  <c r="V1106" i="3"/>
  <c r="V1107" i="3"/>
  <c r="V1108" i="3"/>
  <c r="V1109" i="3"/>
  <c r="V1110" i="3"/>
  <c r="V1111" i="3"/>
  <c r="V1112" i="3"/>
  <c r="V1113" i="3"/>
  <c r="V1114" i="3"/>
  <c r="V1115" i="3"/>
  <c r="V1117" i="3"/>
  <c r="V1118" i="3"/>
  <c r="V1120" i="3"/>
  <c r="V1121" i="3"/>
  <c r="V1123" i="3"/>
  <c r="V1124" i="3"/>
  <c r="V1125" i="3"/>
  <c r="V1126" i="3"/>
  <c r="V1127" i="3"/>
  <c r="V1129" i="3"/>
  <c r="V1130" i="3"/>
  <c r="V1132" i="3"/>
  <c r="V1134" i="3"/>
  <c r="V1136" i="3"/>
  <c r="V1137" i="3"/>
  <c r="V1139" i="3"/>
  <c r="V1141" i="3"/>
  <c r="V1143" i="3"/>
  <c r="V1144" i="3"/>
  <c r="V1146" i="3"/>
  <c r="V1148" i="3"/>
  <c r="V1150" i="3"/>
  <c r="V1151" i="3"/>
  <c r="V1152" i="3"/>
  <c r="V1153" i="3"/>
  <c r="V1154" i="3"/>
  <c r="V1155" i="3"/>
  <c r="V1157" i="3"/>
  <c r="V1159" i="3"/>
  <c r="V1161" i="3"/>
  <c r="V1163" i="3"/>
  <c r="V1165" i="3"/>
  <c r="V1167" i="3"/>
  <c r="V1168" i="3"/>
  <c r="V1170" i="3"/>
  <c r="V1171" i="3"/>
  <c r="V1173" i="3"/>
  <c r="V1175" i="3"/>
  <c r="V1177" i="3"/>
  <c r="V1179" i="3"/>
  <c r="V1180" i="3"/>
  <c r="V1181" i="3"/>
  <c r="V1182" i="3"/>
  <c r="V1183" i="3"/>
  <c r="V1184" i="3"/>
  <c r="V1186" i="3"/>
  <c r="V1187" i="3"/>
  <c r="V1189" i="3"/>
  <c r="V1190" i="3"/>
  <c r="V1191" i="3"/>
  <c r="V1193" i="3"/>
  <c r="V1194" i="3"/>
  <c r="V1196" i="3"/>
  <c r="V1198" i="3"/>
  <c r="V1199" i="3"/>
  <c r="V1200" i="3"/>
  <c r="V1202" i="3"/>
  <c r="V1204" i="3"/>
  <c r="V1206" i="3"/>
  <c r="V1208" i="3"/>
  <c r="V1210" i="3"/>
  <c r="V1212" i="3"/>
  <c r="V1214" i="3"/>
  <c r="V1215" i="3"/>
  <c r="V1216" i="3"/>
  <c r="V1218" i="3"/>
  <c r="V1220" i="3"/>
  <c r="V1222" i="3"/>
  <c r="V1224" i="3"/>
  <c r="V1225" i="3"/>
  <c r="V1226" i="3"/>
  <c r="V572" i="3"/>
  <c r="V573" i="3"/>
  <c r="V574" i="3"/>
  <c r="V575" i="3"/>
  <c r="V576" i="3"/>
  <c r="V577" i="3"/>
  <c r="V578" i="3"/>
  <c r="V579" i="3"/>
  <c r="V580" i="3"/>
  <c r="V581" i="3"/>
  <c r="V582" i="3"/>
  <c r="V583" i="3"/>
  <c r="V584" i="3"/>
  <c r="V585" i="3"/>
  <c r="V586" i="3"/>
  <c r="V587" i="3"/>
  <c r="V588" i="3"/>
  <c r="V589" i="3"/>
  <c r="V590" i="3"/>
  <c r="V591" i="3"/>
  <c r="V592" i="3"/>
  <c r="V593" i="3"/>
  <c r="V594" i="3"/>
  <c r="V595" i="3"/>
  <c r="V596" i="3"/>
  <c r="V597" i="3"/>
  <c r="V598" i="3"/>
  <c r="V599" i="3"/>
  <c r="V600" i="3"/>
  <c r="V601" i="3"/>
  <c r="V603" i="3"/>
  <c r="V604" i="3"/>
  <c r="V605" i="3"/>
  <c r="V606" i="3"/>
  <c r="V607" i="3"/>
  <c r="V608" i="3"/>
  <c r="V609" i="3"/>
  <c r="V610" i="3"/>
  <c r="V611" i="3"/>
  <c r="V612" i="3"/>
  <c r="V613" i="3"/>
  <c r="V614" i="3"/>
  <c r="V615" i="3"/>
  <c r="V616" i="3"/>
  <c r="V617" i="3"/>
  <c r="V618" i="3"/>
  <c r="V619" i="3"/>
  <c r="V620" i="3"/>
  <c r="V642" i="3"/>
  <c r="V643" i="3"/>
  <c r="V644" i="3"/>
  <c r="V645" i="3"/>
  <c r="V646" i="3"/>
  <c r="V647" i="3"/>
  <c r="V648" i="3"/>
  <c r="V649" i="3"/>
  <c r="V650" i="3"/>
  <c r="V651" i="3"/>
  <c r="V652" i="3"/>
  <c r="V653" i="3"/>
  <c r="V654" i="3"/>
  <c r="V655" i="3"/>
  <c r="V656" i="3"/>
  <c r="V657" i="3"/>
  <c r="V664" i="3"/>
  <c r="V665" i="3"/>
  <c r="V666" i="3"/>
  <c r="V667" i="3"/>
  <c r="V668" i="3"/>
  <c r="V669" i="3"/>
  <c r="V673" i="3"/>
  <c r="V674" i="3"/>
  <c r="V675" i="3"/>
  <c r="V676" i="3"/>
  <c r="V677" i="3"/>
  <c r="V681" i="3"/>
  <c r="V682" i="3"/>
  <c r="V683" i="3"/>
  <c r="V684" i="3"/>
  <c r="V685" i="3"/>
  <c r="V686" i="3"/>
  <c r="V687" i="3"/>
  <c r="V688" i="3"/>
  <c r="V689" i="3"/>
  <c r="V690" i="3"/>
  <c r="V691" i="3"/>
  <c r="V692" i="3"/>
  <c r="V693" i="3"/>
  <c r="V694" i="3"/>
  <c r="V695" i="3"/>
  <c r="V696" i="3"/>
  <c r="V697" i="3"/>
  <c r="V698" i="3"/>
  <c r="V699" i="3"/>
  <c r="V700" i="3"/>
  <c r="V701" i="3"/>
  <c r="V702" i="3"/>
  <c r="V703" i="3"/>
  <c r="V704" i="3"/>
  <c r="V705" i="3"/>
  <c r="V706" i="3"/>
  <c r="V707" i="3"/>
  <c r="V708" i="3"/>
  <c r="V709" i="3"/>
  <c r="V713" i="3"/>
  <c r="V714" i="3"/>
  <c r="V715" i="3"/>
  <c r="V716" i="3"/>
  <c r="V717" i="3"/>
  <c r="V718" i="3"/>
  <c r="V719" i="3"/>
  <c r="V720" i="3"/>
  <c r="V732" i="3"/>
  <c r="V733" i="3"/>
  <c r="V736" i="3"/>
  <c r="V737" i="3"/>
  <c r="V738" i="3"/>
  <c r="V740" i="3"/>
  <c r="V741" i="3"/>
  <c r="V742" i="3"/>
  <c r="V743" i="3"/>
  <c r="V744" i="3"/>
  <c r="V745" i="3"/>
  <c r="V746" i="3"/>
  <c r="V747" i="3"/>
  <c r="V748" i="3"/>
  <c r="V749" i="3"/>
  <c r="V757" i="3"/>
  <c r="V758" i="3"/>
  <c r="V759" i="3"/>
  <c r="V760" i="3"/>
  <c r="V761" i="3"/>
  <c r="V762" i="3"/>
  <c r="V763" i="3"/>
  <c r="V764" i="3"/>
  <c r="V766" i="3"/>
  <c r="V767" i="3"/>
  <c r="V770" i="3"/>
  <c r="V771" i="3"/>
  <c r="V772" i="3"/>
  <c r="V774" i="3"/>
  <c r="V778" i="3"/>
  <c r="V779" i="3"/>
  <c r="V780" i="3"/>
  <c r="V782" i="3"/>
  <c r="V784" i="3"/>
  <c r="V785" i="3"/>
  <c r="V787" i="3"/>
  <c r="V789" i="3"/>
  <c r="V793" i="3"/>
  <c r="V795" i="3"/>
  <c r="V797" i="3"/>
  <c r="V798" i="3"/>
  <c r="V805" i="3"/>
  <c r="V806" i="3"/>
  <c r="V807" i="3"/>
  <c r="V808" i="3"/>
  <c r="V809" i="3"/>
  <c r="V810" i="3"/>
  <c r="V812" i="3"/>
  <c r="V819" i="3"/>
  <c r="V820" i="3"/>
  <c r="V821" i="3"/>
  <c r="V823" i="3"/>
  <c r="V824" i="3"/>
  <c r="V830" i="3"/>
  <c r="V832" i="3"/>
  <c r="V834" i="3"/>
  <c r="V836" i="3"/>
  <c r="V838" i="3"/>
  <c r="V840" i="3"/>
  <c r="V843" i="3"/>
  <c r="V847" i="3"/>
  <c r="V849" i="3"/>
  <c r="V850" i="3"/>
  <c r="V851" i="3"/>
  <c r="V852" i="3"/>
  <c r="V854" i="3"/>
  <c r="V855" i="3"/>
  <c r="V857" i="3"/>
  <c r="V864" i="3"/>
  <c r="V866" i="3"/>
  <c r="V867" i="3"/>
  <c r="V870" i="3"/>
  <c r="V873" i="3"/>
  <c r="V876" i="3"/>
  <c r="V880" i="3"/>
  <c r="V881" i="3"/>
  <c r="V882" i="3"/>
  <c r="V884" i="3"/>
  <c r="V886" i="3"/>
  <c r="V888" i="3"/>
  <c r="V890" i="3"/>
  <c r="V892" i="3"/>
  <c r="V894" i="3"/>
  <c r="V896" i="3"/>
  <c r="V898" i="3"/>
  <c r="V900" i="3"/>
  <c r="V903" i="3"/>
  <c r="V905" i="3"/>
  <c r="V910" i="3"/>
  <c r="V913" i="3"/>
  <c r="V914" i="3"/>
  <c r="V916" i="3"/>
  <c r="V917" i="3"/>
  <c r="V920" i="3"/>
  <c r="V922" i="3"/>
  <c r="V923" i="3"/>
  <c r="V926" i="3"/>
  <c r="V906" i="3"/>
  <c r="V930" i="3"/>
  <c r="V931" i="3"/>
  <c r="V932" i="3"/>
  <c r="V937" i="3"/>
  <c r="V939" i="3"/>
  <c r="V941" i="3"/>
  <c r="V947" i="3"/>
  <c r="V955" i="3"/>
  <c r="V958" i="3"/>
  <c r="V959" i="3"/>
  <c r="V961" i="3"/>
  <c r="V965" i="3"/>
  <c r="V967" i="3"/>
  <c r="V971" i="3"/>
  <c r="V541" i="3"/>
  <c r="V543" i="3"/>
  <c r="V546" i="3"/>
  <c r="V549" i="3"/>
  <c r="V552" i="3"/>
  <c r="V553" i="3"/>
  <c r="V554" i="3"/>
  <c r="V555" i="3"/>
  <c r="V556" i="3"/>
  <c r="V557" i="3"/>
  <c r="V558" i="3"/>
  <c r="V559" i="3"/>
  <c r="V560" i="3"/>
  <c r="V561" i="3"/>
  <c r="V562" i="3"/>
  <c r="V563" i="3"/>
  <c r="V564" i="3"/>
  <c r="V565" i="3"/>
  <c r="V566" i="3"/>
  <c r="V567" i="3"/>
  <c r="V568" i="3"/>
  <c r="V569" i="3"/>
  <c r="V570" i="3"/>
  <c r="V571" i="3"/>
  <c r="V485" i="3"/>
  <c r="V486" i="3"/>
  <c r="V487" i="3"/>
  <c r="V489" i="3"/>
  <c r="V491" i="3"/>
  <c r="V493" i="3"/>
  <c r="V494" i="3"/>
  <c r="V495" i="3"/>
  <c r="V496" i="3"/>
  <c r="V498" i="3"/>
  <c r="V499" i="3"/>
  <c r="V500" i="3"/>
  <c r="V501" i="3"/>
  <c r="V502" i="3"/>
  <c r="V504" i="3"/>
  <c r="V507" i="3"/>
  <c r="V509" i="3"/>
  <c r="V512" i="3"/>
  <c r="V515" i="3"/>
  <c r="V517" i="3"/>
  <c r="V519" i="3"/>
  <c r="V520" i="3"/>
  <c r="V521" i="3"/>
  <c r="V523" i="3"/>
  <c r="V525" i="3"/>
  <c r="V526" i="3"/>
  <c r="V528" i="3"/>
  <c r="V530" i="3"/>
  <c r="V531" i="3"/>
  <c r="V532" i="3"/>
  <c r="V534" i="3"/>
  <c r="V440" i="3"/>
  <c r="V441" i="3"/>
  <c r="V442" i="3"/>
  <c r="V443" i="3"/>
  <c r="V444" i="3"/>
  <c r="V445" i="3"/>
  <c r="V447" i="3"/>
  <c r="V448" i="3"/>
  <c r="V450" i="3"/>
  <c r="V452" i="3"/>
  <c r="V454" i="3"/>
  <c r="V458" i="3"/>
  <c r="V460" i="3"/>
  <c r="V463" i="3"/>
  <c r="V464" i="3"/>
  <c r="V466" i="3"/>
  <c r="V468" i="3"/>
  <c r="V469" i="3"/>
  <c r="V470" i="3"/>
  <c r="V471" i="3"/>
  <c r="V472" i="3"/>
  <c r="V473" i="3"/>
  <c r="V475" i="3"/>
  <c r="V476" i="3"/>
  <c r="V477" i="3"/>
  <c r="V478" i="3"/>
  <c r="V480" i="3"/>
  <c r="V481" i="3"/>
  <c r="V482" i="3"/>
  <c r="V483" i="3"/>
  <c r="V484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1" i="3"/>
  <c r="V122" i="3"/>
  <c r="V123" i="3"/>
  <c r="V125" i="3"/>
  <c r="V126" i="3"/>
  <c r="V127" i="3"/>
  <c r="V128" i="3"/>
  <c r="V129" i="3"/>
  <c r="V130" i="3"/>
  <c r="V131" i="3"/>
  <c r="V132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3" i="3"/>
  <c r="V184" i="3"/>
  <c r="V185" i="3"/>
  <c r="V186" i="3"/>
  <c r="V187" i="3"/>
  <c r="V193" i="3"/>
  <c r="V194" i="3"/>
  <c r="V195" i="3"/>
  <c r="V198" i="3"/>
  <c r="V199" i="3"/>
  <c r="V200" i="3"/>
  <c r="V201" i="3"/>
  <c r="V202" i="3"/>
  <c r="V203" i="3"/>
  <c r="V204" i="3"/>
  <c r="V205" i="3"/>
  <c r="V206" i="3"/>
  <c r="V208" i="3"/>
  <c r="V209" i="3"/>
  <c r="V210" i="3"/>
  <c r="V211" i="3"/>
  <c r="V212" i="3"/>
  <c r="V213" i="3"/>
  <c r="V214" i="3"/>
  <c r="V215" i="3"/>
  <c r="V216" i="3"/>
  <c r="V217" i="3"/>
  <c r="V218" i="3"/>
  <c r="V219" i="3"/>
  <c r="V220" i="3"/>
  <c r="V221" i="3"/>
  <c r="V222" i="3"/>
  <c r="V223" i="3"/>
  <c r="V224" i="3"/>
  <c r="V225" i="3"/>
  <c r="V226" i="3"/>
  <c r="V227" i="3"/>
  <c r="V228" i="3"/>
  <c r="V229" i="3"/>
  <c r="V230" i="3"/>
  <c r="V231" i="3"/>
  <c r="V232" i="3"/>
  <c r="V236" i="3"/>
  <c r="V237" i="3"/>
  <c r="V239" i="3"/>
  <c r="V240" i="3"/>
  <c r="V242" i="3"/>
  <c r="V243" i="3"/>
  <c r="V245" i="3"/>
  <c r="V246" i="3"/>
  <c r="V247" i="3"/>
  <c r="V248" i="3"/>
  <c r="V249" i="3"/>
  <c r="V250" i="3"/>
  <c r="V251" i="3"/>
  <c r="V252" i="3"/>
  <c r="V253" i="3"/>
  <c r="V255" i="3"/>
  <c r="V256" i="3"/>
  <c r="V257" i="3"/>
  <c r="V258" i="3"/>
  <c r="V259" i="3"/>
  <c r="V260" i="3"/>
  <c r="V261" i="3"/>
  <c r="V262" i="3"/>
  <c r="V263" i="3"/>
  <c r="V264" i="3"/>
  <c r="V265" i="3"/>
  <c r="V266" i="3"/>
  <c r="V267" i="3"/>
  <c r="V269" i="3"/>
  <c r="V270" i="3"/>
  <c r="V271" i="3"/>
  <c r="V272" i="3"/>
  <c r="V273" i="3"/>
  <c r="V275" i="3"/>
  <c r="V276" i="3"/>
  <c r="V277" i="3"/>
  <c r="V278" i="3"/>
  <c r="V279" i="3"/>
  <c r="V280" i="3"/>
  <c r="V282" i="3"/>
  <c r="V283" i="3"/>
  <c r="V284" i="3"/>
  <c r="V285" i="3"/>
  <c r="V287" i="3"/>
  <c r="V289" i="3"/>
  <c r="V290" i="3"/>
  <c r="V292" i="3"/>
  <c r="V293" i="3"/>
  <c r="V294" i="3"/>
  <c r="V295" i="3"/>
  <c r="V296" i="3"/>
  <c r="V298" i="3"/>
  <c r="V299" i="3"/>
  <c r="V300" i="3"/>
  <c r="V302" i="3"/>
  <c r="V304" i="3"/>
  <c r="V306" i="3"/>
  <c r="V307" i="3"/>
  <c r="V308" i="3"/>
  <c r="V309" i="3"/>
  <c r="V310" i="3"/>
  <c r="V311" i="3"/>
  <c r="V313" i="3"/>
  <c r="V314" i="3"/>
  <c r="V315" i="3"/>
  <c r="V316" i="3"/>
  <c r="V317" i="3"/>
  <c r="V318" i="3"/>
  <c r="V319" i="3"/>
  <c r="V320" i="3"/>
  <c r="V322" i="3"/>
  <c r="V323" i="3"/>
  <c r="V324" i="3"/>
  <c r="V325" i="3"/>
  <c r="V326" i="3"/>
  <c r="V327" i="3"/>
  <c r="V329" i="3"/>
  <c r="V330" i="3"/>
  <c r="V331" i="3"/>
  <c r="V332" i="3"/>
  <c r="V333" i="3"/>
  <c r="V334" i="3"/>
  <c r="V335" i="3"/>
  <c r="V336" i="3"/>
  <c r="V337" i="3"/>
  <c r="V341" i="3"/>
  <c r="V342" i="3"/>
  <c r="V343" i="3"/>
  <c r="V345" i="3"/>
  <c r="V346" i="3"/>
  <c r="V348" i="3"/>
  <c r="V352" i="3"/>
  <c r="V353" i="3"/>
  <c r="V355" i="3"/>
  <c r="V356" i="3"/>
  <c r="V358" i="3"/>
  <c r="V361" i="3"/>
  <c r="V362" i="3"/>
  <c r="V363" i="3"/>
  <c r="V364" i="3"/>
  <c r="V365" i="3"/>
  <c r="V366" i="3"/>
  <c r="V367" i="3"/>
  <c r="V368" i="3"/>
  <c r="V369" i="3"/>
  <c r="V370" i="3"/>
  <c r="V371" i="3"/>
  <c r="V372" i="3"/>
  <c r="V373" i="3"/>
  <c r="V375" i="3"/>
  <c r="V378" i="3"/>
  <c r="V380" i="3"/>
  <c r="V382" i="3"/>
  <c r="V383" i="3"/>
  <c r="V387" i="3"/>
  <c r="V388" i="3"/>
  <c r="V390" i="3"/>
  <c r="V392" i="3"/>
  <c r="V393" i="3"/>
  <c r="V394" i="3"/>
  <c r="V397" i="3"/>
  <c r="V399" i="3"/>
  <c r="V400" i="3"/>
  <c r="V403" i="3"/>
  <c r="V404" i="3"/>
  <c r="V405" i="3"/>
  <c r="V407" i="3"/>
  <c r="V413" i="3"/>
  <c r="V414" i="3"/>
  <c r="V417" i="3"/>
  <c r="V419" i="3"/>
  <c r="V420" i="3"/>
  <c r="V421" i="3"/>
  <c r="V423" i="3"/>
  <c r="V424" i="3"/>
  <c r="V425" i="3"/>
  <c r="V426" i="3"/>
  <c r="V427" i="3"/>
  <c r="V428" i="3"/>
  <c r="V430" i="3"/>
  <c r="V431" i="3"/>
  <c r="V432" i="3"/>
  <c r="V433" i="3"/>
  <c r="V434" i="3"/>
  <c r="V436" i="3"/>
  <c r="V437" i="3"/>
  <c r="W395" i="3" l="1"/>
  <c r="V395" i="3" s="1"/>
  <c r="W385" i="3"/>
  <c r="V385" i="3" s="1"/>
  <c r="W301" i="3"/>
  <c r="V301" i="3" s="1"/>
  <c r="W150" i="3"/>
  <c r="V150" i="3" s="1"/>
  <c r="W465" i="3"/>
  <c r="V465" i="3" s="1"/>
  <c r="W533" i="3"/>
  <c r="V533" i="3" s="1"/>
  <c r="W545" i="3"/>
  <c r="V545" i="3" s="1"/>
  <c r="W542" i="3"/>
  <c r="V542" i="3" s="1"/>
  <c r="W540" i="3"/>
  <c r="V540" i="3" s="1"/>
  <c r="W875" i="3"/>
  <c r="V875" i="3" s="1"/>
  <c r="W848" i="3"/>
  <c r="V848" i="3" s="1"/>
  <c r="W680" i="3"/>
  <c r="V680" i="3" s="1"/>
  <c r="W678" i="3"/>
  <c r="V678" i="3" s="1"/>
  <c r="W602" i="3"/>
  <c r="V602" i="3" s="1"/>
  <c r="W1122" i="3"/>
  <c r="V1122" i="3" s="1"/>
  <c r="W1088" i="3"/>
  <c r="V1088" i="3" s="1"/>
  <c r="W1068" i="3"/>
  <c r="V1068" i="3" s="1"/>
  <c r="W415" i="3"/>
  <c r="V415" i="3" s="1"/>
  <c r="W384" i="3"/>
  <c r="V384" i="3" s="1"/>
  <c r="W376" i="3"/>
  <c r="V376" i="3" s="1"/>
  <c r="W349" i="3"/>
  <c r="V349" i="3" s="1"/>
  <c r="W340" i="3"/>
  <c r="V340" i="3" s="1"/>
  <c r="W149" i="3"/>
  <c r="V149" i="3" s="1"/>
  <c r="W474" i="3"/>
  <c r="V474" i="3" s="1"/>
  <c r="W462" i="3"/>
  <c r="V462" i="3" s="1"/>
  <c r="W456" i="3"/>
  <c r="V456" i="3" s="1"/>
  <c r="W510" i="3"/>
  <c r="V510" i="3" s="1"/>
  <c r="W918" i="3"/>
  <c r="V918" i="3" s="1"/>
  <c r="W908" i="3"/>
  <c r="V908" i="3" s="1"/>
  <c r="W791" i="3"/>
  <c r="V791" i="3" s="1"/>
  <c r="W679" i="3"/>
  <c r="V679" i="3" s="1"/>
  <c r="W671" i="3"/>
  <c r="V671" i="3" s="1"/>
  <c r="W1089" i="3"/>
  <c r="V1089" i="3" s="1"/>
  <c r="W1087" i="3"/>
  <c r="V1087" i="3" s="1"/>
  <c r="W1073" i="3"/>
  <c r="V1073" i="3" s="1"/>
  <c r="W1263" i="3"/>
  <c r="V1263" i="3" s="1"/>
  <c r="W351" i="3"/>
  <c r="V351" i="3" s="1"/>
  <c r="W312" i="3"/>
  <c r="V312" i="3" s="1"/>
  <c r="W238" i="3"/>
  <c r="V238" i="3" s="1"/>
  <c r="W207" i="3"/>
  <c r="V207" i="3" s="1"/>
  <c r="W182" i="3"/>
  <c r="V182" i="3" s="1"/>
  <c r="W133" i="3"/>
  <c r="V133" i="3" s="1"/>
  <c r="W537" i="3"/>
  <c r="V537" i="3" s="1"/>
  <c r="W729" i="3"/>
  <c r="V729" i="3" s="1"/>
  <c r="W727" i="3"/>
  <c r="V727" i="3" s="1"/>
  <c r="W725" i="3"/>
  <c r="V725" i="3" s="1"/>
  <c r="W723" i="3"/>
  <c r="V723" i="3" s="1"/>
  <c r="W711" i="3"/>
  <c r="V711" i="3" s="1"/>
  <c r="W639" i="3"/>
  <c r="V639" i="3" s="1"/>
  <c r="W637" i="3"/>
  <c r="V637" i="3" s="1"/>
  <c r="W635" i="3"/>
  <c r="V635" i="3" s="1"/>
  <c r="W633" i="3"/>
  <c r="V633" i="3" s="1"/>
  <c r="W631" i="3"/>
  <c r="V631" i="3" s="1"/>
  <c r="W629" i="3"/>
  <c r="V629" i="3" s="1"/>
  <c r="W627" i="3"/>
  <c r="V627" i="3" s="1"/>
  <c r="W625" i="3"/>
  <c r="V625" i="3" s="1"/>
  <c r="W623" i="3"/>
  <c r="V623" i="3" s="1"/>
  <c r="W621" i="3"/>
  <c r="V621" i="3" s="1"/>
  <c r="W360" i="3"/>
  <c r="V360" i="3" s="1"/>
  <c r="W339" i="3"/>
  <c r="V339" i="3" s="1"/>
  <c r="W244" i="3"/>
  <c r="V244" i="3" s="1"/>
  <c r="W124" i="3"/>
  <c r="V124" i="3" s="1"/>
  <c r="W36" i="3"/>
  <c r="V36" i="3" s="1"/>
  <c r="W538" i="3"/>
  <c r="V538" i="3" s="1"/>
  <c r="W535" i="3"/>
  <c r="V535" i="3" s="1"/>
  <c r="W518" i="3"/>
  <c r="V518" i="3" s="1"/>
  <c r="W730" i="3"/>
  <c r="V730" i="3" s="1"/>
  <c r="W728" i="3"/>
  <c r="V728" i="3" s="1"/>
  <c r="W726" i="3"/>
  <c r="V726" i="3" s="1"/>
  <c r="W724" i="3"/>
  <c r="V724" i="3" s="1"/>
  <c r="W710" i="3"/>
  <c r="V710" i="3" s="1"/>
  <c r="W640" i="3"/>
  <c r="V640" i="3" s="1"/>
  <c r="W638" i="3"/>
  <c r="V638" i="3" s="1"/>
  <c r="W636" i="3"/>
  <c r="V636" i="3" s="1"/>
  <c r="W634" i="3"/>
  <c r="V634" i="3" s="1"/>
  <c r="W632" i="3"/>
  <c r="V632" i="3" s="1"/>
  <c r="W630" i="3"/>
  <c r="V630" i="3" s="1"/>
  <c r="W628" i="3"/>
  <c r="V628" i="3" s="1"/>
  <c r="W626" i="3"/>
  <c r="V626" i="3" s="1"/>
  <c r="W624" i="3"/>
  <c r="V624" i="3" s="1"/>
  <c r="W622" i="3"/>
  <c r="V622" i="3" s="1"/>
  <c r="S13" i="3"/>
  <c r="AC1218" i="7"/>
  <c r="D1218" i="7" s="1"/>
  <c r="U529" i="3" l="1"/>
  <c r="U14" i="3" s="1"/>
  <c r="U13" i="3" s="1"/>
  <c r="AC791" i="7"/>
  <c r="B21" i="9" l="1"/>
  <c r="L234" i="7" l="1"/>
  <c r="F210" i="5"/>
  <c r="E210" i="5"/>
  <c r="D210" i="5"/>
  <c r="AC789" i="7"/>
  <c r="D789" i="7" s="1"/>
  <c r="AE935" i="7"/>
  <c r="AD935" i="7"/>
  <c r="AB935" i="7"/>
  <c r="AA935" i="7"/>
  <c r="Z935" i="7"/>
  <c r="Y935" i="7"/>
  <c r="X935" i="7"/>
  <c r="W935" i="7"/>
  <c r="V935" i="7"/>
  <c r="U935" i="7"/>
  <c r="T935" i="7"/>
  <c r="S935" i="7"/>
  <c r="R935" i="7"/>
  <c r="Q935" i="7"/>
  <c r="P935" i="7"/>
  <c r="O935" i="7"/>
  <c r="M935" i="7"/>
  <c r="L935" i="7"/>
  <c r="K935" i="7"/>
  <c r="J935" i="7"/>
  <c r="I935" i="7"/>
  <c r="H935" i="7"/>
  <c r="G935" i="7"/>
  <c r="F935" i="7"/>
  <c r="E935" i="7"/>
  <c r="AC937" i="7"/>
  <c r="D937" i="7" s="1"/>
  <c r="AC726" i="7"/>
  <c r="D726" i="7" s="1"/>
  <c r="CD725" i="7"/>
  <c r="AC725" i="7"/>
  <c r="D725" i="7" s="1"/>
  <c r="AC775" i="7"/>
  <c r="D775" i="7" s="1"/>
  <c r="AC1136" i="7"/>
  <c r="AC987" i="7"/>
  <c r="D987" i="7" s="1"/>
  <c r="AE986" i="7"/>
  <c r="AD986" i="7"/>
  <c r="AB986" i="7"/>
  <c r="AA986" i="7"/>
  <c r="Z986" i="7"/>
  <c r="Y986" i="7"/>
  <c r="X986" i="7"/>
  <c r="W986" i="7"/>
  <c r="V986" i="7"/>
  <c r="U986" i="7"/>
  <c r="T986" i="7"/>
  <c r="S986" i="7"/>
  <c r="R986" i="7"/>
  <c r="Q986" i="7"/>
  <c r="P986" i="7"/>
  <c r="O986" i="7"/>
  <c r="M986" i="7"/>
  <c r="L986" i="7"/>
  <c r="K986" i="7"/>
  <c r="J986" i="7"/>
  <c r="I986" i="7"/>
  <c r="H986" i="7"/>
  <c r="G986" i="7"/>
  <c r="F986" i="7"/>
  <c r="E986" i="7"/>
  <c r="AE557" i="7"/>
  <c r="AD557" i="7"/>
  <c r="AC557" i="7"/>
  <c r="AB557" i="7"/>
  <c r="AA557" i="7"/>
  <c r="Z557" i="7"/>
  <c r="Y557" i="7"/>
  <c r="X557" i="7"/>
  <c r="W557" i="7"/>
  <c r="V557" i="7"/>
  <c r="U557" i="7"/>
  <c r="T557" i="7"/>
  <c r="S557" i="7"/>
  <c r="R557" i="7"/>
  <c r="Q557" i="7"/>
  <c r="P557" i="7"/>
  <c r="O557" i="7"/>
  <c r="M557" i="7"/>
  <c r="L557" i="7"/>
  <c r="K557" i="7"/>
  <c r="J557" i="7"/>
  <c r="I557" i="7"/>
  <c r="H557" i="7"/>
  <c r="G557" i="7"/>
  <c r="F557" i="7"/>
  <c r="E557" i="7"/>
  <c r="D1136" i="7" l="1"/>
  <c r="V980" i="3"/>
  <c r="AC986" i="7"/>
  <c r="D986" i="7"/>
  <c r="L720" i="7" l="1"/>
  <c r="AE988" i="7" l="1"/>
  <c r="AD988" i="7"/>
  <c r="AB988" i="7"/>
  <c r="AA988" i="7"/>
  <c r="Z988" i="7"/>
  <c r="Y988" i="7"/>
  <c r="X988" i="7"/>
  <c r="W988" i="7"/>
  <c r="V988" i="7"/>
  <c r="U988" i="7"/>
  <c r="T988" i="7"/>
  <c r="S988" i="7"/>
  <c r="R988" i="7"/>
  <c r="Q988" i="7"/>
  <c r="P988" i="7"/>
  <c r="O988" i="7"/>
  <c r="M988" i="7"/>
  <c r="L988" i="7"/>
  <c r="K988" i="7"/>
  <c r="J988" i="7"/>
  <c r="I988" i="7"/>
  <c r="H988" i="7"/>
  <c r="F988" i="7"/>
  <c r="E988" i="7"/>
  <c r="E424" i="7"/>
  <c r="AE424" i="7"/>
  <c r="AD424" i="7"/>
  <c r="AB424" i="7"/>
  <c r="AA424" i="7"/>
  <c r="Z424" i="7"/>
  <c r="Y424" i="7"/>
  <c r="X424" i="7"/>
  <c r="W424" i="7"/>
  <c r="V424" i="7"/>
  <c r="U424" i="7"/>
  <c r="T424" i="7"/>
  <c r="S424" i="7"/>
  <c r="R424" i="7"/>
  <c r="Q424" i="7"/>
  <c r="P424" i="7"/>
  <c r="O424" i="7"/>
  <c r="M424" i="7"/>
  <c r="L424" i="7"/>
  <c r="K424" i="7"/>
  <c r="J424" i="7"/>
  <c r="I424" i="7"/>
  <c r="H424" i="7"/>
  <c r="G424" i="7"/>
  <c r="F424" i="7"/>
  <c r="AC773" i="7" l="1"/>
  <c r="D773" i="7" s="1"/>
  <c r="AE350" i="7"/>
  <c r="AD350" i="7"/>
  <c r="AB350" i="7"/>
  <c r="AA350" i="7"/>
  <c r="Z350" i="7"/>
  <c r="Y350" i="7"/>
  <c r="X350" i="7"/>
  <c r="W350" i="7"/>
  <c r="V350" i="7"/>
  <c r="U350" i="7"/>
  <c r="T350" i="7"/>
  <c r="S350" i="7"/>
  <c r="R350" i="7"/>
  <c r="Q350" i="7"/>
  <c r="P350" i="7"/>
  <c r="O350" i="7"/>
  <c r="M350" i="7"/>
  <c r="L350" i="7"/>
  <c r="K350" i="7"/>
  <c r="J350" i="7"/>
  <c r="I350" i="7"/>
  <c r="H350" i="7"/>
  <c r="G350" i="7"/>
  <c r="F350" i="7"/>
  <c r="E350" i="7"/>
  <c r="AE828" i="7"/>
  <c r="AD828" i="7"/>
  <c r="AB828" i="7"/>
  <c r="AA828" i="7"/>
  <c r="Z828" i="7"/>
  <c r="Y828" i="7"/>
  <c r="X828" i="7"/>
  <c r="W828" i="7"/>
  <c r="V828" i="7"/>
  <c r="U828" i="7"/>
  <c r="T828" i="7"/>
  <c r="S828" i="7"/>
  <c r="R828" i="7"/>
  <c r="Q828" i="7"/>
  <c r="P828" i="7"/>
  <c r="O828" i="7"/>
  <c r="M828" i="7"/>
  <c r="L828" i="7"/>
  <c r="K828" i="7"/>
  <c r="J828" i="7"/>
  <c r="I828" i="7"/>
  <c r="H828" i="7"/>
  <c r="G828" i="7"/>
  <c r="F828" i="7"/>
  <c r="E828" i="7"/>
  <c r="D860" i="7"/>
  <c r="AE895" i="7" l="1"/>
  <c r="AD895" i="7"/>
  <c r="AB895" i="7"/>
  <c r="AA895" i="7"/>
  <c r="Z895" i="7"/>
  <c r="Y895" i="7"/>
  <c r="X895" i="7"/>
  <c r="W895" i="7"/>
  <c r="V895" i="7"/>
  <c r="U895" i="7"/>
  <c r="T895" i="7"/>
  <c r="S895" i="7"/>
  <c r="R895" i="7"/>
  <c r="Q895" i="7"/>
  <c r="P895" i="7"/>
  <c r="O895" i="7"/>
  <c r="M895" i="7"/>
  <c r="L895" i="7"/>
  <c r="K895" i="7"/>
  <c r="J895" i="7"/>
  <c r="I895" i="7"/>
  <c r="H895" i="7"/>
  <c r="G895" i="7"/>
  <c r="F895" i="7"/>
  <c r="E895" i="7"/>
  <c r="AE905" i="7"/>
  <c r="AD905" i="7"/>
  <c r="AB905" i="7"/>
  <c r="AA905" i="7"/>
  <c r="Z905" i="7"/>
  <c r="Y905" i="7"/>
  <c r="X905" i="7"/>
  <c r="W905" i="7"/>
  <c r="V905" i="7"/>
  <c r="U905" i="7"/>
  <c r="T905" i="7"/>
  <c r="S905" i="7"/>
  <c r="R905" i="7"/>
  <c r="Q905" i="7"/>
  <c r="P905" i="7"/>
  <c r="O905" i="7"/>
  <c r="M905" i="7"/>
  <c r="L905" i="7"/>
  <c r="K905" i="7"/>
  <c r="J905" i="7"/>
  <c r="I905" i="7"/>
  <c r="H905" i="7"/>
  <c r="G905" i="7"/>
  <c r="F905" i="7"/>
  <c r="E905" i="7"/>
  <c r="H924" i="7"/>
  <c r="AC924" i="7" s="1"/>
  <c r="D924" i="7" s="1"/>
  <c r="AC923" i="7"/>
  <c r="D923" i="7" s="1"/>
  <c r="AC443" i="7"/>
  <c r="I520" i="7" l="1"/>
  <c r="I519" i="7" s="1"/>
  <c r="AE978" i="7"/>
  <c r="AB978" i="7"/>
  <c r="AA978" i="7"/>
  <c r="Z978" i="7"/>
  <c r="Y978" i="7"/>
  <c r="X978" i="7"/>
  <c r="W978" i="7"/>
  <c r="V978" i="7"/>
  <c r="U978" i="7"/>
  <c r="T978" i="7"/>
  <c r="S978" i="7"/>
  <c r="R978" i="7"/>
  <c r="Q978" i="7"/>
  <c r="P978" i="7"/>
  <c r="O978" i="7"/>
  <c r="M978" i="7"/>
  <c r="L978" i="7"/>
  <c r="K978" i="7"/>
  <c r="J978" i="7"/>
  <c r="I978" i="7"/>
  <c r="H978" i="7"/>
  <c r="G978" i="7"/>
  <c r="F978" i="7"/>
  <c r="E978" i="7"/>
  <c r="AC981" i="7"/>
  <c r="D981" i="7" s="1"/>
  <c r="AD978" i="7"/>
  <c r="G991" i="7" l="1"/>
  <c r="AE845" i="7"/>
  <c r="AB845" i="7"/>
  <c r="AA845" i="7"/>
  <c r="Z845" i="7"/>
  <c r="Y845" i="7"/>
  <c r="X845" i="7"/>
  <c r="W845" i="7"/>
  <c r="V845" i="7"/>
  <c r="U845" i="7"/>
  <c r="T845" i="7"/>
  <c r="S845" i="7"/>
  <c r="R845" i="7"/>
  <c r="Q845" i="7"/>
  <c r="P845" i="7"/>
  <c r="O845" i="7"/>
  <c r="M845" i="7"/>
  <c r="L845" i="7"/>
  <c r="K845" i="7"/>
  <c r="J845" i="7"/>
  <c r="I845" i="7"/>
  <c r="H845" i="7"/>
  <c r="G845" i="7"/>
  <c r="F845" i="7"/>
  <c r="E845" i="7"/>
  <c r="AC808" i="7"/>
  <c r="D808" i="7" s="1"/>
  <c r="I306" i="7"/>
  <c r="R298" i="7"/>
  <c r="AC991" i="7" l="1"/>
  <c r="D991" i="7" s="1"/>
  <c r="G988" i="7"/>
  <c r="AC992" i="7"/>
  <c r="D992" i="7" s="1"/>
  <c r="V292" i="7" l="1"/>
  <c r="D500" i="7"/>
  <c r="AE498" i="7"/>
  <c r="AD498" i="7"/>
  <c r="AB498" i="7"/>
  <c r="AA498" i="7"/>
  <c r="Z498" i="7"/>
  <c r="Y498" i="7"/>
  <c r="X498" i="7"/>
  <c r="W498" i="7"/>
  <c r="V498" i="7"/>
  <c r="U498" i="7"/>
  <c r="T498" i="7"/>
  <c r="S498" i="7"/>
  <c r="R498" i="7"/>
  <c r="Q498" i="7"/>
  <c r="P498" i="7"/>
  <c r="O498" i="7"/>
  <c r="M498" i="7"/>
  <c r="L498" i="7"/>
  <c r="K498" i="7"/>
  <c r="J498" i="7"/>
  <c r="I498" i="7"/>
  <c r="H498" i="7"/>
  <c r="G498" i="7"/>
  <c r="F498" i="7"/>
  <c r="E498" i="7"/>
  <c r="T763" i="7"/>
  <c r="R763" i="7"/>
  <c r="D501" i="7" l="1"/>
  <c r="AC499" i="7"/>
  <c r="D499" i="7" s="1"/>
  <c r="AC763" i="7"/>
  <c r="D763" i="7" s="1"/>
  <c r="N1253" i="7"/>
  <c r="R1252" i="7"/>
  <c r="P1251" i="7"/>
  <c r="AC740" i="7"/>
  <c r="D740" i="7" s="1"/>
  <c r="AC498" i="7" l="1"/>
  <c r="D502" i="7"/>
  <c r="D498" i="7" l="1"/>
  <c r="T714" i="7" l="1"/>
  <c r="AC714" i="7" s="1"/>
  <c r="D714" i="7" s="1"/>
  <c r="P211" i="9" l="1"/>
  <c r="L203" i="9"/>
  <c r="K203" i="9"/>
  <c r="J203" i="9"/>
  <c r="I203" i="9"/>
  <c r="P203" i="9" s="1"/>
  <c r="L197" i="9"/>
  <c r="K197" i="9"/>
  <c r="J197" i="9"/>
  <c r="I197" i="9"/>
  <c r="P197" i="9" s="1"/>
  <c r="L185" i="9"/>
  <c r="K185" i="9"/>
  <c r="J185" i="9"/>
  <c r="I185" i="9"/>
  <c r="P185" i="9" s="1"/>
  <c r="L160" i="9"/>
  <c r="K160" i="9"/>
  <c r="J160" i="9"/>
  <c r="I160" i="9"/>
  <c r="P160" i="9" s="1"/>
  <c r="L129" i="9"/>
  <c r="K129" i="9"/>
  <c r="J129" i="9"/>
  <c r="I129" i="9"/>
  <c r="P129" i="9" s="1"/>
  <c r="L116" i="9"/>
  <c r="K116" i="9"/>
  <c r="J116" i="9"/>
  <c r="I116" i="9"/>
  <c r="P116" i="9" s="1"/>
  <c r="L99" i="9"/>
  <c r="K99" i="9"/>
  <c r="J99" i="9"/>
  <c r="I99" i="9"/>
  <c r="P99" i="9" s="1"/>
  <c r="L95" i="9"/>
  <c r="L85" i="9" s="1"/>
  <c r="K95" i="9"/>
  <c r="K85" i="9" s="1"/>
  <c r="J95" i="9"/>
  <c r="I95" i="9"/>
  <c r="AE238" i="8"/>
  <c r="F238" i="8" s="1"/>
  <c r="F237" i="8" s="1"/>
  <c r="AG237" i="8"/>
  <c r="AF237" i="8"/>
  <c r="AD237" i="8"/>
  <c r="AC237" i="8"/>
  <c r="AB237" i="8"/>
  <c r="AA237" i="8"/>
  <c r="Z237" i="8"/>
  <c r="Y237" i="8"/>
  <c r="X237" i="8"/>
  <c r="W237" i="8"/>
  <c r="V237" i="8"/>
  <c r="U237" i="8"/>
  <c r="T237" i="8"/>
  <c r="S237" i="8"/>
  <c r="R237" i="8"/>
  <c r="Q237" i="8"/>
  <c r="P237" i="8"/>
  <c r="O237" i="8"/>
  <c r="N237" i="8"/>
  <c r="M237" i="8"/>
  <c r="L237" i="8"/>
  <c r="K237" i="8"/>
  <c r="J237" i="8"/>
  <c r="I237" i="8"/>
  <c r="H237" i="8"/>
  <c r="G237" i="8"/>
  <c r="E237" i="8"/>
  <c r="AE236" i="8"/>
  <c r="F236" i="8" s="1"/>
  <c r="F235" i="8" s="1"/>
  <c r="AG235" i="8"/>
  <c r="AF235" i="8"/>
  <c r="AD235" i="8"/>
  <c r="AC235" i="8"/>
  <c r="AB235" i="8"/>
  <c r="AA235" i="8"/>
  <c r="Z235" i="8"/>
  <c r="Y235" i="8"/>
  <c r="X235" i="8"/>
  <c r="W235" i="8"/>
  <c r="V235" i="8"/>
  <c r="U235" i="8"/>
  <c r="T235" i="8"/>
  <c r="S235" i="8"/>
  <c r="R235" i="8"/>
  <c r="Q235" i="8"/>
  <c r="P235" i="8"/>
  <c r="O235" i="8"/>
  <c r="N235" i="8"/>
  <c r="M235" i="8"/>
  <c r="L235" i="8"/>
  <c r="K235" i="8"/>
  <c r="J235" i="8"/>
  <c r="I235" i="8"/>
  <c r="H235" i="8"/>
  <c r="G235" i="8"/>
  <c r="AE234" i="8"/>
  <c r="F234" i="8" s="1"/>
  <c r="F233" i="8" s="1"/>
  <c r="AG233" i="8"/>
  <c r="AF233" i="8"/>
  <c r="AD233" i="8"/>
  <c r="AC233" i="8"/>
  <c r="AB233" i="8"/>
  <c r="AA233" i="8"/>
  <c r="Z233" i="8"/>
  <c r="Y233" i="8"/>
  <c r="X233" i="8"/>
  <c r="W233" i="8"/>
  <c r="V233" i="8"/>
  <c r="U233" i="8"/>
  <c r="T233" i="8"/>
  <c r="S233" i="8"/>
  <c r="R233" i="8"/>
  <c r="Q233" i="8"/>
  <c r="P233" i="8"/>
  <c r="O233" i="8"/>
  <c r="N233" i="8"/>
  <c r="M233" i="8"/>
  <c r="L233" i="8"/>
  <c r="K233" i="8"/>
  <c r="J233" i="8"/>
  <c r="I233" i="8"/>
  <c r="H233" i="8"/>
  <c r="G233" i="8"/>
  <c r="E233" i="8"/>
  <c r="AE232" i="8"/>
  <c r="F232" i="8" s="1"/>
  <c r="AE231" i="8"/>
  <c r="F231" i="8" s="1"/>
  <c r="AG230" i="8"/>
  <c r="AF230" i="8"/>
  <c r="AD230" i="8"/>
  <c r="AC230" i="8"/>
  <c r="AB230" i="8"/>
  <c r="AA230" i="8"/>
  <c r="Z230" i="8"/>
  <c r="Y230" i="8"/>
  <c r="X230" i="8"/>
  <c r="W230" i="8"/>
  <c r="V230" i="8"/>
  <c r="U230" i="8"/>
  <c r="T230" i="8"/>
  <c r="S230" i="8"/>
  <c r="R230" i="8"/>
  <c r="Q230" i="8"/>
  <c r="P230" i="8"/>
  <c r="O230" i="8"/>
  <c r="N230" i="8"/>
  <c r="M230" i="8"/>
  <c r="L230" i="8"/>
  <c r="K230" i="8"/>
  <c r="J230" i="8"/>
  <c r="I230" i="8"/>
  <c r="H230" i="8"/>
  <c r="G230" i="8"/>
  <c r="E230" i="8"/>
  <c r="AE229" i="8"/>
  <c r="F229" i="8" s="1"/>
  <c r="F228" i="8" s="1"/>
  <c r="AG228" i="8"/>
  <c r="AF228" i="8"/>
  <c r="AD228" i="8"/>
  <c r="AC228" i="8"/>
  <c r="AB228" i="8"/>
  <c r="AA228" i="8"/>
  <c r="Z228" i="8"/>
  <c r="Y228" i="8"/>
  <c r="X228" i="8"/>
  <c r="W228" i="8"/>
  <c r="V228" i="8"/>
  <c r="U228" i="8"/>
  <c r="T228" i="8"/>
  <c r="S228" i="8"/>
  <c r="R228" i="8"/>
  <c r="Q228" i="8"/>
  <c r="P228" i="8"/>
  <c r="O228" i="8"/>
  <c r="N228" i="8"/>
  <c r="M228" i="8"/>
  <c r="L228" i="8"/>
  <c r="K228" i="8"/>
  <c r="J228" i="8"/>
  <c r="I228" i="8"/>
  <c r="H228" i="8"/>
  <c r="G228" i="8"/>
  <c r="E228" i="8"/>
  <c r="AE227" i="8"/>
  <c r="F227" i="8" s="1"/>
  <c r="F226" i="8" s="1"/>
  <c r="AG226" i="8"/>
  <c r="AF226" i="8"/>
  <c r="AD226" i="8"/>
  <c r="AC226" i="8"/>
  <c r="AB226" i="8"/>
  <c r="AA226" i="8"/>
  <c r="Z226" i="8"/>
  <c r="Y226" i="8"/>
  <c r="X226" i="8"/>
  <c r="W226" i="8"/>
  <c r="V226" i="8"/>
  <c r="U226" i="8"/>
  <c r="T226" i="8"/>
  <c r="S226" i="8"/>
  <c r="R226" i="8"/>
  <c r="Q226" i="8"/>
  <c r="P226" i="8"/>
  <c r="O226" i="8"/>
  <c r="N226" i="8"/>
  <c r="M226" i="8"/>
  <c r="L226" i="8"/>
  <c r="K226" i="8"/>
  <c r="J226" i="8"/>
  <c r="I226" i="8"/>
  <c r="H226" i="8"/>
  <c r="G226" i="8"/>
  <c r="E226" i="8"/>
  <c r="AE225" i="8"/>
  <c r="F225" i="8" s="1"/>
  <c r="F224" i="8" s="1"/>
  <c r="AG224" i="8"/>
  <c r="AF224" i="8"/>
  <c r="AD224" i="8"/>
  <c r="AC224" i="8"/>
  <c r="AB224" i="8"/>
  <c r="AA224" i="8"/>
  <c r="Z224" i="8"/>
  <c r="Y224" i="8"/>
  <c r="X224" i="8"/>
  <c r="W224" i="8"/>
  <c r="V224" i="8"/>
  <c r="U224" i="8"/>
  <c r="T224" i="8"/>
  <c r="S224" i="8"/>
  <c r="R224" i="8"/>
  <c r="Q224" i="8"/>
  <c r="P224" i="8"/>
  <c r="O224" i="8"/>
  <c r="N224" i="8"/>
  <c r="M224" i="8"/>
  <c r="L224" i="8"/>
  <c r="K224" i="8"/>
  <c r="J224" i="8"/>
  <c r="I224" i="8"/>
  <c r="H224" i="8"/>
  <c r="G224" i="8"/>
  <c r="E224" i="8"/>
  <c r="AE223" i="8"/>
  <c r="AE222" i="8" s="1"/>
  <c r="AG222" i="8"/>
  <c r="AF222" i="8"/>
  <c r="AD222" i="8"/>
  <c r="AC222" i="8"/>
  <c r="AB222" i="8"/>
  <c r="AA222" i="8"/>
  <c r="Z222" i="8"/>
  <c r="Y222" i="8"/>
  <c r="X222" i="8"/>
  <c r="W222" i="8"/>
  <c r="V222" i="8"/>
  <c r="U222" i="8"/>
  <c r="T222" i="8"/>
  <c r="S222" i="8"/>
  <c r="R222" i="8"/>
  <c r="Q222" i="8"/>
  <c r="P222" i="8"/>
  <c r="O222" i="8"/>
  <c r="N222" i="8"/>
  <c r="M222" i="8"/>
  <c r="L222" i="8"/>
  <c r="K222" i="8"/>
  <c r="J222" i="8"/>
  <c r="I222" i="8"/>
  <c r="H222" i="8"/>
  <c r="G222" i="8"/>
  <c r="E222" i="8"/>
  <c r="F221" i="8"/>
  <c r="F220" i="8" s="1"/>
  <c r="AG220" i="8"/>
  <c r="AF220" i="8"/>
  <c r="AE220" i="8"/>
  <c r="AD220" i="8"/>
  <c r="AC220" i="8"/>
  <c r="AB220" i="8"/>
  <c r="AA220" i="8"/>
  <c r="Z220" i="8"/>
  <c r="Y220" i="8"/>
  <c r="X220" i="8"/>
  <c r="W220" i="8"/>
  <c r="V220" i="8"/>
  <c r="U220" i="8"/>
  <c r="T220" i="8"/>
  <c r="S220" i="8"/>
  <c r="R220" i="8"/>
  <c r="Q220" i="8"/>
  <c r="P220" i="8"/>
  <c r="O220" i="8"/>
  <c r="N220" i="8"/>
  <c r="M220" i="8"/>
  <c r="L220" i="8"/>
  <c r="K220" i="8"/>
  <c r="J220" i="8"/>
  <c r="I220" i="8"/>
  <c r="H220" i="8"/>
  <c r="G220" i="8"/>
  <c r="E220" i="8"/>
  <c r="F219" i="8"/>
  <c r="F218" i="8" s="1"/>
  <c r="AG218" i="8"/>
  <c r="AF218" i="8"/>
  <c r="AE218" i="8"/>
  <c r="AD218" i="8"/>
  <c r="AC218" i="8"/>
  <c r="AB218" i="8"/>
  <c r="AA218" i="8"/>
  <c r="Z218" i="8"/>
  <c r="Y218" i="8"/>
  <c r="X218" i="8"/>
  <c r="W218" i="8"/>
  <c r="V218" i="8"/>
  <c r="U218" i="8"/>
  <c r="T218" i="8"/>
  <c r="S218" i="8"/>
  <c r="R218" i="8"/>
  <c r="Q218" i="8"/>
  <c r="P218" i="8"/>
  <c r="O218" i="8"/>
  <c r="N218" i="8"/>
  <c r="M218" i="8"/>
  <c r="L218" i="8"/>
  <c r="K218" i="8"/>
  <c r="J218" i="8"/>
  <c r="I218" i="8"/>
  <c r="H218" i="8"/>
  <c r="G218" i="8"/>
  <c r="E218" i="8"/>
  <c r="AE217" i="8"/>
  <c r="F217" i="8" s="1"/>
  <c r="AE216" i="8"/>
  <c r="F216" i="8" s="1"/>
  <c r="AE215" i="8"/>
  <c r="F215" i="8" s="1"/>
  <c r="AG214" i="8"/>
  <c r="AF214" i="8"/>
  <c r="AD214" i="8"/>
  <c r="AC214" i="8"/>
  <c r="AB214" i="8"/>
  <c r="AA214" i="8"/>
  <c r="Z214" i="8"/>
  <c r="Y214" i="8"/>
  <c r="X214" i="8"/>
  <c r="W214" i="8"/>
  <c r="V214" i="8"/>
  <c r="U214" i="8"/>
  <c r="T214" i="8"/>
  <c r="S214" i="8"/>
  <c r="R214" i="8"/>
  <c r="Q214" i="8"/>
  <c r="P214" i="8"/>
  <c r="O214" i="8"/>
  <c r="N214" i="8"/>
  <c r="M214" i="8"/>
  <c r="L214" i="8"/>
  <c r="K214" i="8"/>
  <c r="J214" i="8"/>
  <c r="I214" i="8"/>
  <c r="H214" i="8"/>
  <c r="G214" i="8"/>
  <c r="E214" i="8"/>
  <c r="AE213" i="8"/>
  <c r="F213" i="8" s="1"/>
  <c r="AE211" i="8"/>
  <c r="AE210" i="8" s="1"/>
  <c r="AG210" i="8"/>
  <c r="AF210" i="8"/>
  <c r="AD210" i="8"/>
  <c r="AC210" i="8"/>
  <c r="AB210" i="8"/>
  <c r="AA210" i="8"/>
  <c r="Z210" i="8"/>
  <c r="Y210" i="8"/>
  <c r="X210" i="8"/>
  <c r="W210" i="8"/>
  <c r="V210" i="8"/>
  <c r="U210" i="8"/>
  <c r="T210" i="8"/>
  <c r="S210" i="8"/>
  <c r="R210" i="8"/>
  <c r="Q210" i="8"/>
  <c r="P210" i="8"/>
  <c r="O210" i="8"/>
  <c r="N210" i="8"/>
  <c r="M210" i="8"/>
  <c r="L210" i="8"/>
  <c r="K210" i="8"/>
  <c r="J210" i="8"/>
  <c r="I210" i="8"/>
  <c r="H210" i="8"/>
  <c r="G210" i="8"/>
  <c r="E210" i="8"/>
  <c r="AE209" i="8"/>
  <c r="F209" i="8" s="1"/>
  <c r="F208" i="8" s="1"/>
  <c r="AG208" i="8"/>
  <c r="AF208" i="8"/>
  <c r="AD208" i="8"/>
  <c r="AC208" i="8"/>
  <c r="AB208" i="8"/>
  <c r="AA208" i="8"/>
  <c r="Z208" i="8"/>
  <c r="Y208" i="8"/>
  <c r="X208" i="8"/>
  <c r="W208" i="8"/>
  <c r="V208" i="8"/>
  <c r="U208" i="8"/>
  <c r="T208" i="8"/>
  <c r="S208" i="8"/>
  <c r="R208" i="8"/>
  <c r="Q208" i="8"/>
  <c r="P208" i="8"/>
  <c r="O208" i="8"/>
  <c r="N208" i="8"/>
  <c r="M208" i="8"/>
  <c r="L208" i="8"/>
  <c r="K208" i="8"/>
  <c r="J208" i="8"/>
  <c r="I208" i="8"/>
  <c r="H208" i="8"/>
  <c r="G208" i="8"/>
  <c r="E208" i="8"/>
  <c r="AE207" i="8"/>
  <c r="F207" i="8" s="1"/>
  <c r="AE206" i="8"/>
  <c r="AE205" i="8"/>
  <c r="F205" i="8" s="1"/>
  <c r="AG204" i="8"/>
  <c r="AF204" i="8"/>
  <c r="AD204" i="8"/>
  <c r="AC204" i="8"/>
  <c r="AB204" i="8"/>
  <c r="AA204" i="8"/>
  <c r="Z204" i="8"/>
  <c r="Y204" i="8"/>
  <c r="X204" i="8"/>
  <c r="W204" i="8"/>
  <c r="V204" i="8"/>
  <c r="U204" i="8"/>
  <c r="T204" i="8"/>
  <c r="S204" i="8"/>
  <c r="R204" i="8"/>
  <c r="Q204" i="8"/>
  <c r="P204" i="8"/>
  <c r="O204" i="8"/>
  <c r="N204" i="8"/>
  <c r="M204" i="8"/>
  <c r="L204" i="8"/>
  <c r="K204" i="8"/>
  <c r="J204" i="8"/>
  <c r="I204" i="8"/>
  <c r="H204" i="8"/>
  <c r="G204" i="8"/>
  <c r="E204" i="8"/>
  <c r="AE203" i="8"/>
  <c r="F203" i="8" s="1"/>
  <c r="AE202" i="8"/>
  <c r="F202" i="8" s="1"/>
  <c r="AG201" i="8"/>
  <c r="AF201" i="8"/>
  <c r="AD201" i="8"/>
  <c r="AC201" i="8"/>
  <c r="AB201" i="8"/>
  <c r="AA201" i="8"/>
  <c r="Z201" i="8"/>
  <c r="Y201" i="8"/>
  <c r="X201" i="8"/>
  <c r="W201" i="8"/>
  <c r="V201" i="8"/>
  <c r="U201" i="8"/>
  <c r="T201" i="8"/>
  <c r="S201" i="8"/>
  <c r="R201" i="8"/>
  <c r="Q201" i="8"/>
  <c r="P201" i="8"/>
  <c r="O201" i="8"/>
  <c r="N201" i="8"/>
  <c r="M201" i="8"/>
  <c r="L201" i="8"/>
  <c r="K201" i="8"/>
  <c r="J201" i="8"/>
  <c r="I201" i="8"/>
  <c r="H201" i="8"/>
  <c r="G201" i="8"/>
  <c r="E201" i="8"/>
  <c r="AE200" i="8"/>
  <c r="F200" i="8" s="1"/>
  <c r="AE199" i="8"/>
  <c r="F199" i="8" s="1"/>
  <c r="AG198" i="8"/>
  <c r="AF198" i="8"/>
  <c r="AD198" i="8"/>
  <c r="AC198" i="8"/>
  <c r="AB198" i="8"/>
  <c r="AA198" i="8"/>
  <c r="Z198" i="8"/>
  <c r="Y198" i="8"/>
  <c r="X198" i="8"/>
  <c r="W198" i="8"/>
  <c r="V198" i="8"/>
  <c r="U198" i="8"/>
  <c r="T198" i="8"/>
  <c r="S198" i="8"/>
  <c r="R198" i="8"/>
  <c r="Q198" i="8"/>
  <c r="P198" i="8"/>
  <c r="O198" i="8"/>
  <c r="N198" i="8"/>
  <c r="M198" i="8"/>
  <c r="L198" i="8"/>
  <c r="K198" i="8"/>
  <c r="J198" i="8"/>
  <c r="I198" i="8"/>
  <c r="H198" i="8"/>
  <c r="G198" i="8"/>
  <c r="E198" i="8"/>
  <c r="F197" i="8"/>
  <c r="F196" i="8" s="1"/>
  <c r="AG196" i="8"/>
  <c r="AF196" i="8"/>
  <c r="AE196" i="8"/>
  <c r="AD196" i="8"/>
  <c r="AC196" i="8"/>
  <c r="AB196" i="8"/>
  <c r="AA196" i="8"/>
  <c r="Z196" i="8"/>
  <c r="Y196" i="8"/>
  <c r="X196" i="8"/>
  <c r="W196" i="8"/>
  <c r="V196" i="8"/>
  <c r="U196" i="8"/>
  <c r="T196" i="8"/>
  <c r="S196" i="8"/>
  <c r="R196" i="8"/>
  <c r="Q196" i="8"/>
  <c r="P196" i="8"/>
  <c r="O196" i="8"/>
  <c r="N196" i="8"/>
  <c r="M196" i="8"/>
  <c r="L196" i="8"/>
  <c r="K196" i="8"/>
  <c r="J196" i="8"/>
  <c r="I196" i="8"/>
  <c r="H196" i="8"/>
  <c r="G196" i="8"/>
  <c r="E196" i="8"/>
  <c r="AE195" i="8"/>
  <c r="F195" i="8" s="1"/>
  <c r="AE194" i="8"/>
  <c r="F194" i="8" s="1"/>
  <c r="AE193" i="8"/>
  <c r="F193" i="8" s="1"/>
  <c r="AE192" i="8"/>
  <c r="F192" i="8" s="1"/>
  <c r="AG191" i="8"/>
  <c r="AF191" i="8"/>
  <c r="AD191" i="8"/>
  <c r="AC191" i="8"/>
  <c r="AB191" i="8"/>
  <c r="AA191" i="8"/>
  <c r="Z191" i="8"/>
  <c r="Y191" i="8"/>
  <c r="X191" i="8"/>
  <c r="W191" i="8"/>
  <c r="V191" i="8"/>
  <c r="U191" i="8"/>
  <c r="T191" i="8"/>
  <c r="S191" i="8"/>
  <c r="R191" i="8"/>
  <c r="Q191" i="8"/>
  <c r="P191" i="8"/>
  <c r="O191" i="8"/>
  <c r="N191" i="8"/>
  <c r="M191" i="8"/>
  <c r="L191" i="8"/>
  <c r="K191" i="8"/>
  <c r="J191" i="8"/>
  <c r="I191" i="8"/>
  <c r="H191" i="8"/>
  <c r="G191" i="8"/>
  <c r="E191" i="8"/>
  <c r="AE190" i="8"/>
  <c r="F190" i="8" s="1"/>
  <c r="F189" i="8" s="1"/>
  <c r="AG189" i="8"/>
  <c r="AF189" i="8"/>
  <c r="AD189" i="8"/>
  <c r="AC189" i="8"/>
  <c r="AB189" i="8"/>
  <c r="AA189" i="8"/>
  <c r="Z189" i="8"/>
  <c r="Y189" i="8"/>
  <c r="X189" i="8"/>
  <c r="W189" i="8"/>
  <c r="V189" i="8"/>
  <c r="U189" i="8"/>
  <c r="T189" i="8"/>
  <c r="S189" i="8"/>
  <c r="R189" i="8"/>
  <c r="Q189" i="8"/>
  <c r="P189" i="8"/>
  <c r="O189" i="8"/>
  <c r="N189" i="8"/>
  <c r="M189" i="8"/>
  <c r="L189" i="8"/>
  <c r="K189" i="8"/>
  <c r="J189" i="8"/>
  <c r="I189" i="8"/>
  <c r="H189" i="8"/>
  <c r="G189" i="8"/>
  <c r="E189" i="8"/>
  <c r="AE188" i="8"/>
  <c r="F188" i="8" s="1"/>
  <c r="F187" i="8"/>
  <c r="AG186" i="8"/>
  <c r="AF186" i="8"/>
  <c r="AD186" i="8"/>
  <c r="AC186" i="8"/>
  <c r="AB186" i="8"/>
  <c r="AA186" i="8"/>
  <c r="Z186" i="8"/>
  <c r="Y186" i="8"/>
  <c r="X186" i="8"/>
  <c r="W186" i="8"/>
  <c r="V186" i="8"/>
  <c r="U186" i="8"/>
  <c r="T186" i="8"/>
  <c r="S186" i="8"/>
  <c r="R186" i="8"/>
  <c r="Q186" i="8"/>
  <c r="P186" i="8"/>
  <c r="O186" i="8"/>
  <c r="N186" i="8"/>
  <c r="M186" i="8"/>
  <c r="L186" i="8"/>
  <c r="K186" i="8"/>
  <c r="J186" i="8"/>
  <c r="I186" i="8"/>
  <c r="H186" i="8"/>
  <c r="G186" i="8"/>
  <c r="E186" i="8"/>
  <c r="F185" i="8"/>
  <c r="F184" i="8"/>
  <c r="AG183" i="8"/>
  <c r="AF183" i="8"/>
  <c r="AE183" i="8"/>
  <c r="AD183" i="8"/>
  <c r="AC183" i="8"/>
  <c r="AB183" i="8"/>
  <c r="AA183" i="8"/>
  <c r="Z183" i="8"/>
  <c r="Y183" i="8"/>
  <c r="X183" i="8"/>
  <c r="W183" i="8"/>
  <c r="V183" i="8"/>
  <c r="U183" i="8"/>
  <c r="T183" i="8"/>
  <c r="S183" i="8"/>
  <c r="R183" i="8"/>
  <c r="Q183" i="8"/>
  <c r="P183" i="8"/>
  <c r="O183" i="8"/>
  <c r="N183" i="8"/>
  <c r="M183" i="8"/>
  <c r="L183" i="8"/>
  <c r="K183" i="8"/>
  <c r="J183" i="8"/>
  <c r="I183" i="8"/>
  <c r="H183" i="8"/>
  <c r="G183" i="8"/>
  <c r="E183" i="8"/>
  <c r="AE182" i="8"/>
  <c r="F182" i="8" s="1"/>
  <c r="AE181" i="8"/>
  <c r="F181" i="8" s="1"/>
  <c r="AE180" i="8"/>
  <c r="F180" i="8" s="1"/>
  <c r="AE179" i="8"/>
  <c r="F179" i="8" s="1"/>
  <c r="AE178" i="8"/>
  <c r="F178" i="8" s="1"/>
  <c r="AG177" i="8"/>
  <c r="AF177" i="8"/>
  <c r="AD177" i="8"/>
  <c r="AC177" i="8"/>
  <c r="AB177" i="8"/>
  <c r="AA177" i="8"/>
  <c r="Z177" i="8"/>
  <c r="Y177" i="8"/>
  <c r="X177" i="8"/>
  <c r="W177" i="8"/>
  <c r="V177" i="8"/>
  <c r="U177" i="8"/>
  <c r="T177" i="8"/>
  <c r="S177" i="8"/>
  <c r="R177" i="8"/>
  <c r="Q177" i="8"/>
  <c r="P177" i="8"/>
  <c r="O177" i="8"/>
  <c r="N177" i="8"/>
  <c r="M177" i="8"/>
  <c r="L177" i="8"/>
  <c r="K177" i="8"/>
  <c r="J177" i="8"/>
  <c r="I177" i="8"/>
  <c r="H177" i="8"/>
  <c r="G177" i="8"/>
  <c r="E177" i="8"/>
  <c r="AE176" i="8"/>
  <c r="F176" i="8" s="1"/>
  <c r="AE175" i="8"/>
  <c r="F175" i="8" s="1"/>
  <c r="F174" i="8"/>
  <c r="AE173" i="8"/>
  <c r="F173" i="8" s="1"/>
  <c r="F172" i="8"/>
  <c r="F171" i="8"/>
  <c r="F170" i="8"/>
  <c r="F169" i="8"/>
  <c r="F168" i="8"/>
  <c r="F167" i="8"/>
  <c r="F166" i="8"/>
  <c r="F165" i="8"/>
  <c r="F164" i="8"/>
  <c r="F163" i="8"/>
  <c r="F162" i="8"/>
  <c r="AG161" i="8"/>
  <c r="AF161" i="8"/>
  <c r="AD161" i="8"/>
  <c r="AC161" i="8"/>
  <c r="AB161" i="8"/>
  <c r="AA161" i="8"/>
  <c r="Z161" i="8"/>
  <c r="Y161" i="8"/>
  <c r="X161" i="8"/>
  <c r="W161" i="8"/>
  <c r="V161" i="8"/>
  <c r="U161" i="8"/>
  <c r="T161" i="8"/>
  <c r="S161" i="8"/>
  <c r="R161" i="8"/>
  <c r="Q161" i="8"/>
  <c r="P161" i="8"/>
  <c r="O161" i="8"/>
  <c r="N161" i="8"/>
  <c r="M161" i="8"/>
  <c r="L161" i="8"/>
  <c r="K161" i="8"/>
  <c r="J161" i="8"/>
  <c r="I161" i="8"/>
  <c r="H161" i="8"/>
  <c r="G161" i="8"/>
  <c r="E161" i="8"/>
  <c r="AE160" i="8"/>
  <c r="F160" i="8" s="1"/>
  <c r="AE159" i="8"/>
  <c r="F159" i="8" s="1"/>
  <c r="AE158" i="8"/>
  <c r="F158" i="8" s="1"/>
  <c r="AE157" i="8"/>
  <c r="F157" i="8" s="1"/>
  <c r="AE156" i="8"/>
  <c r="F156" i="8" s="1"/>
  <c r="AE155" i="8"/>
  <c r="F155" i="8" s="1"/>
  <c r="AE154" i="8"/>
  <c r="F154" i="8" s="1"/>
  <c r="AE153" i="8"/>
  <c r="F153" i="8" s="1"/>
  <c r="AE152" i="8"/>
  <c r="F152" i="8" s="1"/>
  <c r="AE151" i="8"/>
  <c r="F151" i="8" s="1"/>
  <c r="F150" i="8"/>
  <c r="AE149" i="8"/>
  <c r="F149" i="8" s="1"/>
  <c r="AE148" i="8"/>
  <c r="F148" i="8" s="1"/>
  <c r="AE147" i="8"/>
  <c r="F147" i="8" s="1"/>
  <c r="AE146" i="8"/>
  <c r="F146" i="8" s="1"/>
  <c r="AE145" i="8"/>
  <c r="F145" i="8" s="1"/>
  <c r="AE144" i="8"/>
  <c r="F144" i="8" s="1"/>
  <c r="AE143" i="8"/>
  <c r="F143" i="8" s="1"/>
  <c r="AE142" i="8"/>
  <c r="F142" i="8" s="1"/>
  <c r="AE141" i="8"/>
  <c r="F141" i="8" s="1"/>
  <c r="AE140" i="8"/>
  <c r="F140" i="8" s="1"/>
  <c r="AE139" i="8"/>
  <c r="F139" i="8" s="1"/>
  <c r="AE138" i="8"/>
  <c r="F138" i="8" s="1"/>
  <c r="F137" i="8"/>
  <c r="AE136" i="8"/>
  <c r="F136" i="8" s="1"/>
  <c r="AE135" i="8"/>
  <c r="F135" i="8" s="1"/>
  <c r="AE134" i="8"/>
  <c r="F134" i="8" s="1"/>
  <c r="AE133" i="8"/>
  <c r="F133" i="8" s="1"/>
  <c r="AE132" i="8"/>
  <c r="F132" i="8" s="1"/>
  <c r="AE131" i="8"/>
  <c r="F131" i="8" s="1"/>
  <c r="AG130" i="8"/>
  <c r="AF130" i="8"/>
  <c r="AD130" i="8"/>
  <c r="AC130" i="8"/>
  <c r="AB130" i="8"/>
  <c r="AA130" i="8"/>
  <c r="Z130" i="8"/>
  <c r="Y130" i="8"/>
  <c r="X130" i="8"/>
  <c r="W130" i="8"/>
  <c r="V130" i="8"/>
  <c r="U130" i="8"/>
  <c r="T130" i="8"/>
  <c r="S130" i="8"/>
  <c r="R130" i="8"/>
  <c r="Q130" i="8"/>
  <c r="P130" i="8"/>
  <c r="O130" i="8"/>
  <c r="N130" i="8"/>
  <c r="M130" i="8"/>
  <c r="L130" i="8"/>
  <c r="K130" i="8"/>
  <c r="J130" i="8"/>
  <c r="I130" i="8"/>
  <c r="H130" i="8"/>
  <c r="G130" i="8"/>
  <c r="E130" i="8"/>
  <c r="F129" i="8"/>
  <c r="AE128" i="8"/>
  <c r="F128" i="8" s="1"/>
  <c r="F127" i="8"/>
  <c r="F126" i="8"/>
  <c r="AG125" i="8"/>
  <c r="AF125" i="8"/>
  <c r="AD125" i="8"/>
  <c r="AC125" i="8"/>
  <c r="AB125" i="8"/>
  <c r="AA125" i="8"/>
  <c r="Z125" i="8"/>
  <c r="Y125" i="8"/>
  <c r="X125" i="8"/>
  <c r="W125" i="8"/>
  <c r="V125" i="8"/>
  <c r="U125" i="8"/>
  <c r="T125" i="8"/>
  <c r="S125" i="8"/>
  <c r="R125" i="8"/>
  <c r="Q125" i="8"/>
  <c r="P125" i="8"/>
  <c r="O125" i="8"/>
  <c r="N125" i="8"/>
  <c r="M125" i="8"/>
  <c r="L125" i="8"/>
  <c r="K125" i="8"/>
  <c r="J125" i="8"/>
  <c r="I125" i="8"/>
  <c r="H125" i="8"/>
  <c r="G125" i="8"/>
  <c r="E125" i="8"/>
  <c r="AE124" i="8"/>
  <c r="F124" i="8" s="1"/>
  <c r="AE123" i="8"/>
  <c r="F123" i="8" s="1"/>
  <c r="AE122" i="8"/>
  <c r="F122" i="8" s="1"/>
  <c r="F121" i="8"/>
  <c r="F120" i="8"/>
  <c r="AE119" i="8"/>
  <c r="F119" i="8" s="1"/>
  <c r="AE118" i="8"/>
  <c r="F118" i="8" s="1"/>
  <c r="AG117" i="8"/>
  <c r="AF117" i="8"/>
  <c r="AD117" i="8"/>
  <c r="AC117" i="8"/>
  <c r="AB117" i="8"/>
  <c r="AA117" i="8"/>
  <c r="Z117" i="8"/>
  <c r="Y117" i="8"/>
  <c r="X117" i="8"/>
  <c r="W117" i="8"/>
  <c r="V117" i="8"/>
  <c r="U117" i="8"/>
  <c r="T117" i="8"/>
  <c r="S117" i="8"/>
  <c r="R117" i="8"/>
  <c r="Q117" i="8"/>
  <c r="P117" i="8"/>
  <c r="O117" i="8"/>
  <c r="N117" i="8"/>
  <c r="M117" i="8"/>
  <c r="L117" i="8"/>
  <c r="K117" i="8"/>
  <c r="J117" i="8"/>
  <c r="I117" i="8"/>
  <c r="H117" i="8"/>
  <c r="G117" i="8"/>
  <c r="E117" i="8"/>
  <c r="AE116" i="8"/>
  <c r="F116" i="8" s="1"/>
  <c r="AE115" i="8"/>
  <c r="F115" i="8" s="1"/>
  <c r="AE114" i="8"/>
  <c r="F114" i="8" s="1"/>
  <c r="AE113" i="8"/>
  <c r="F113" i="8" s="1"/>
  <c r="AE112" i="8"/>
  <c r="F112" i="8" s="1"/>
  <c r="F111" i="8"/>
  <c r="AE110" i="8"/>
  <c r="F110" i="8" s="1"/>
  <c r="F109" i="8"/>
  <c r="F108" i="8"/>
  <c r="AE107" i="8"/>
  <c r="F107" i="8" s="1"/>
  <c r="AE106" i="8"/>
  <c r="F106" i="8" s="1"/>
  <c r="AE105" i="8"/>
  <c r="F105" i="8" s="1"/>
  <c r="AE104" i="8"/>
  <c r="F104" i="8" s="1"/>
  <c r="F103" i="8"/>
  <c r="AE102" i="8"/>
  <c r="F102" i="8" s="1"/>
  <c r="AE101" i="8"/>
  <c r="AG100" i="8"/>
  <c r="AF100" i="8"/>
  <c r="AD100" i="8"/>
  <c r="AC100" i="8"/>
  <c r="AB100" i="8"/>
  <c r="AA100" i="8"/>
  <c r="Z100" i="8"/>
  <c r="Y100" i="8"/>
  <c r="X100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E100" i="8"/>
  <c r="AE99" i="8"/>
  <c r="F99" i="8" s="1"/>
  <c r="F98" i="8"/>
  <c r="B98" i="8"/>
  <c r="AE97" i="8"/>
  <c r="F97" i="8" s="1"/>
  <c r="B97" i="8"/>
  <c r="AG96" i="8"/>
  <c r="AF96" i="8"/>
  <c r="AD96" i="8"/>
  <c r="AC96" i="8"/>
  <c r="AB96" i="8"/>
  <c r="AA96" i="8"/>
  <c r="Z96" i="8"/>
  <c r="Y96" i="8"/>
  <c r="X96" i="8"/>
  <c r="W96" i="8"/>
  <c r="V96" i="8"/>
  <c r="U96" i="8"/>
  <c r="T96" i="8"/>
  <c r="S96" i="8"/>
  <c r="R96" i="8"/>
  <c r="Q96" i="8"/>
  <c r="P96" i="8"/>
  <c r="O96" i="8"/>
  <c r="N96" i="8"/>
  <c r="M96" i="8"/>
  <c r="L96" i="8"/>
  <c r="K96" i="8"/>
  <c r="J96" i="8"/>
  <c r="I96" i="8"/>
  <c r="H96" i="8"/>
  <c r="G96" i="8"/>
  <c r="E96" i="8"/>
  <c r="AE93" i="8"/>
  <c r="F93" i="8" s="1"/>
  <c r="B93" i="8"/>
  <c r="AE92" i="8"/>
  <c r="F92" i="8" s="1"/>
  <c r="B92" i="8"/>
  <c r="AE91" i="8"/>
  <c r="F91" i="8" s="1"/>
  <c r="B91" i="8"/>
  <c r="AE90" i="8"/>
  <c r="F90" i="8" s="1"/>
  <c r="B90" i="8"/>
  <c r="AE89" i="8"/>
  <c r="F89" i="8" s="1"/>
  <c r="B89" i="8"/>
  <c r="AE88" i="8"/>
  <c r="F88" i="8" s="1"/>
  <c r="B88" i="8"/>
  <c r="AG87" i="8"/>
  <c r="AF87" i="8"/>
  <c r="AD87" i="8"/>
  <c r="AC87" i="8"/>
  <c r="AB87" i="8"/>
  <c r="AA87" i="8"/>
  <c r="Z87" i="8"/>
  <c r="Y87" i="8"/>
  <c r="X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E87" i="8"/>
  <c r="J85" i="9" l="1"/>
  <c r="P95" i="9"/>
  <c r="I85" i="9"/>
  <c r="P85" i="9" s="1"/>
  <c r="AE100" i="8"/>
  <c r="F183" i="8"/>
  <c r="F211" i="8"/>
  <c r="F210" i="8" s="1"/>
  <c r="F186" i="8"/>
  <c r="F198" i="8"/>
  <c r="N86" i="8"/>
  <c r="V86" i="8"/>
  <c r="Z86" i="8"/>
  <c r="AD86" i="8"/>
  <c r="F125" i="8"/>
  <c r="AE189" i="8"/>
  <c r="J86" i="8"/>
  <c r="R86" i="8"/>
  <c r="G86" i="8"/>
  <c r="W86" i="8"/>
  <c r="AA86" i="8"/>
  <c r="AE204" i="8"/>
  <c r="AE226" i="8"/>
  <c r="K86" i="8"/>
  <c r="S86" i="8"/>
  <c r="AE96" i="8"/>
  <c r="AG86" i="8"/>
  <c r="AE208" i="8"/>
  <c r="AE233" i="8"/>
  <c r="F87" i="8"/>
  <c r="I86" i="8"/>
  <c r="M86" i="8"/>
  <c r="Q86" i="8"/>
  <c r="U86" i="8"/>
  <c r="Y86" i="8"/>
  <c r="AC86" i="8"/>
  <c r="AE125" i="8"/>
  <c r="F130" i="8"/>
  <c r="AF86" i="8"/>
  <c r="F177" i="8"/>
  <c r="F191" i="8"/>
  <c r="F214" i="8"/>
  <c r="AE230" i="8"/>
  <c r="AE237" i="8"/>
  <c r="O86" i="8"/>
  <c r="F96" i="8"/>
  <c r="F161" i="8"/>
  <c r="AE228" i="8"/>
  <c r="F101" i="8"/>
  <c r="F100" i="8" s="1"/>
  <c r="H86" i="8"/>
  <c r="L86" i="8"/>
  <c r="P86" i="8"/>
  <c r="T86" i="8"/>
  <c r="X86" i="8"/>
  <c r="AB86" i="8"/>
  <c r="F201" i="8"/>
  <c r="F230" i="8"/>
  <c r="AE198" i="8"/>
  <c r="F206" i="8"/>
  <c r="F204" i="8" s="1"/>
  <c r="F223" i="8"/>
  <c r="F222" i="8" s="1"/>
  <c r="F117" i="8"/>
  <c r="AE177" i="8"/>
  <c r="AE117" i="8"/>
  <c r="AE130" i="8"/>
  <c r="AE186" i="8"/>
  <c r="AE191" i="8"/>
  <c r="AE201" i="8"/>
  <c r="AE214" i="8"/>
  <c r="AE224" i="8"/>
  <c r="AE235" i="8"/>
  <c r="AE87" i="8"/>
  <c r="AE161" i="8"/>
  <c r="F86" i="8" l="1"/>
  <c r="AE86" i="8"/>
  <c r="AC1294" i="7" l="1"/>
  <c r="AE1291" i="7" l="1"/>
  <c r="AD1291" i="7"/>
  <c r="AB1291" i="7"/>
  <c r="AA1291" i="7"/>
  <c r="Z1291" i="7"/>
  <c r="Y1291" i="7"/>
  <c r="X1291" i="7"/>
  <c r="W1291" i="7"/>
  <c r="V1291" i="7"/>
  <c r="U1291" i="7"/>
  <c r="T1291" i="7"/>
  <c r="S1291" i="7"/>
  <c r="R1291" i="7"/>
  <c r="Q1291" i="7"/>
  <c r="P1291" i="7"/>
  <c r="O1291" i="7"/>
  <c r="N1291" i="7"/>
  <c r="M1291" i="7"/>
  <c r="L1291" i="7"/>
  <c r="K1291" i="7"/>
  <c r="J1291" i="7"/>
  <c r="I1291" i="7"/>
  <c r="H1291" i="7"/>
  <c r="G1291" i="7"/>
  <c r="F1291" i="7"/>
  <c r="E1291" i="7"/>
  <c r="D1294" i="7"/>
  <c r="D1293" i="7"/>
  <c r="D1292" i="7" l="1"/>
  <c r="AC1291" i="7"/>
  <c r="D1291" i="7" l="1"/>
  <c r="D618" i="7"/>
  <c r="D40" i="7" l="1"/>
  <c r="CB40" i="7"/>
  <c r="AR40" i="7"/>
  <c r="AC713" i="7" l="1"/>
  <c r="D713" i="7" s="1"/>
  <c r="D194" i="7"/>
  <c r="AC715" i="7"/>
  <c r="D715" i="7" l="1"/>
  <c r="D6" i="12" l="1"/>
  <c r="E6" i="12" s="1"/>
  <c r="AE22" i="8" l="1"/>
  <c r="F22" i="8" s="1"/>
  <c r="B22" i="8"/>
  <c r="Y12" i="11"/>
  <c r="Y11" i="11" s="1"/>
  <c r="X12" i="11"/>
  <c r="X11" i="11" s="1"/>
  <c r="W12" i="11"/>
  <c r="W11" i="11" s="1"/>
  <c r="V12" i="11"/>
  <c r="V11" i="11" s="1"/>
  <c r="U12" i="11"/>
  <c r="U11" i="11" s="1"/>
  <c r="T12" i="11"/>
  <c r="T11" i="11" s="1"/>
  <c r="S12" i="11"/>
  <c r="S11" i="11" s="1"/>
  <c r="R12" i="11"/>
  <c r="R11" i="11" s="1"/>
  <c r="E14" i="11"/>
  <c r="AB13" i="11"/>
  <c r="AB12" i="11" s="1"/>
  <c r="AB11" i="11" s="1"/>
  <c r="AA13" i="11"/>
  <c r="AA12" i="11" s="1"/>
  <c r="AA11" i="11" s="1"/>
  <c r="Z13" i="11"/>
  <c r="Z12" i="11" s="1"/>
  <c r="Z11" i="11" s="1"/>
  <c r="Q13" i="11"/>
  <c r="Q12" i="11" s="1"/>
  <c r="Q11" i="11" s="1"/>
  <c r="P13" i="11"/>
  <c r="P12" i="11" s="1"/>
  <c r="P11" i="11" s="1"/>
  <c r="O13" i="11"/>
  <c r="O12" i="11" s="1"/>
  <c r="O11" i="11" s="1"/>
  <c r="N13" i="11"/>
  <c r="N12" i="11" s="1"/>
  <c r="N11" i="11" s="1"/>
  <c r="M13" i="11"/>
  <c r="M12" i="11" s="1"/>
  <c r="M11" i="11" s="1"/>
  <c r="L13" i="11"/>
  <c r="L12" i="11" s="1"/>
  <c r="L11" i="11" s="1"/>
  <c r="K13" i="11"/>
  <c r="K12" i="11" s="1"/>
  <c r="K11" i="11" s="1"/>
  <c r="J13" i="11"/>
  <c r="J12" i="11" s="1"/>
  <c r="J11" i="11" s="1"/>
  <c r="I13" i="11"/>
  <c r="I12" i="11" s="1"/>
  <c r="I11" i="11" s="1"/>
  <c r="H13" i="11"/>
  <c r="H12" i="11" s="1"/>
  <c r="H11" i="11" s="1"/>
  <c r="G13" i="11"/>
  <c r="G12" i="11" s="1"/>
  <c r="G11" i="11" s="1"/>
  <c r="F13" i="11"/>
  <c r="F12" i="11" s="1"/>
  <c r="F11" i="11" s="1"/>
  <c r="E10" i="11"/>
  <c r="F10" i="11" s="1"/>
  <c r="AE1297" i="7"/>
  <c r="AE1290" i="7" s="1"/>
  <c r="AD1297" i="7"/>
  <c r="AD1290" i="7" s="1"/>
  <c r="AB1297" i="7"/>
  <c r="AB1290" i="7" s="1"/>
  <c r="AA1297" i="7"/>
  <c r="AA1290" i="7" s="1"/>
  <c r="Z1297" i="7"/>
  <c r="Z1290" i="7" s="1"/>
  <c r="Y1297" i="7"/>
  <c r="Y1290" i="7" s="1"/>
  <c r="X1297" i="7"/>
  <c r="X1290" i="7" s="1"/>
  <c r="W1297" i="7"/>
  <c r="W1290" i="7" s="1"/>
  <c r="V1297" i="7"/>
  <c r="V1290" i="7" s="1"/>
  <c r="U1297" i="7"/>
  <c r="U1290" i="7" s="1"/>
  <c r="T1297" i="7"/>
  <c r="T1290" i="7" s="1"/>
  <c r="S1297" i="7"/>
  <c r="S1290" i="7" s="1"/>
  <c r="R1297" i="7"/>
  <c r="R1290" i="7" s="1"/>
  <c r="Q1297" i="7"/>
  <c r="Q1290" i="7" s="1"/>
  <c r="P1297" i="7"/>
  <c r="P1290" i="7" s="1"/>
  <c r="O1297" i="7"/>
  <c r="O1290" i="7" s="1"/>
  <c r="N1297" i="7"/>
  <c r="N1290" i="7" s="1"/>
  <c r="M1297" i="7"/>
  <c r="M1290" i="7" s="1"/>
  <c r="L1297" i="7"/>
  <c r="L1290" i="7" s="1"/>
  <c r="K1297" i="7"/>
  <c r="K1290" i="7" s="1"/>
  <c r="J1297" i="7"/>
  <c r="J1290" i="7" s="1"/>
  <c r="I1297" i="7"/>
  <c r="I1290" i="7" s="1"/>
  <c r="H1297" i="7"/>
  <c r="H1290" i="7" s="1"/>
  <c r="G1297" i="7"/>
  <c r="G1290" i="7" s="1"/>
  <c r="F1297" i="7"/>
  <c r="F1290" i="7" s="1"/>
  <c r="E1297" i="7"/>
  <c r="E1290" i="7" s="1"/>
  <c r="AC1297" i="7" l="1"/>
  <c r="AC1290" i="7" s="1"/>
  <c r="D1298" i="7"/>
  <c r="E13" i="11"/>
  <c r="E12" i="11" s="1"/>
  <c r="E11" i="11" s="1"/>
  <c r="D1297" i="7" l="1"/>
  <c r="L317" i="7"/>
  <c r="G668" i="7"/>
  <c r="AC668" i="7" s="1"/>
  <c r="D668" i="7" s="1"/>
  <c r="AC667" i="7"/>
  <c r="D667" i="7" s="1"/>
  <c r="G666" i="7"/>
  <c r="AC666" i="7" s="1"/>
  <c r="D666" i="7" s="1"/>
  <c r="G665" i="7"/>
  <c r="AC665" i="7" s="1"/>
  <c r="D665" i="7" s="1"/>
  <c r="AE47" i="8"/>
  <c r="D616" i="7"/>
  <c r="D617" i="7"/>
  <c r="D1290" i="7" l="1"/>
  <c r="AC664" i="7"/>
  <c r="D664" i="7" s="1"/>
  <c r="C41" i="4" l="1"/>
  <c r="C45" i="4" s="1"/>
  <c r="D110" i="7"/>
  <c r="AC140" i="7" l="1"/>
  <c r="N1181" i="7" l="1"/>
  <c r="F222" i="5" l="1"/>
  <c r="AD663" i="7"/>
  <c r="AC663" i="7"/>
  <c r="D663" i="7" l="1"/>
  <c r="AC1285" i="7"/>
  <c r="AE1285" i="7"/>
  <c r="AD1285" i="7"/>
  <c r="AB1285" i="7"/>
  <c r="AA1285" i="7"/>
  <c r="Z1285" i="7"/>
  <c r="Y1285" i="7"/>
  <c r="X1285" i="7"/>
  <c r="W1285" i="7"/>
  <c r="V1285" i="7"/>
  <c r="U1285" i="7"/>
  <c r="T1285" i="7"/>
  <c r="S1285" i="7"/>
  <c r="R1285" i="7"/>
  <c r="Q1285" i="7"/>
  <c r="P1285" i="7"/>
  <c r="O1285" i="7"/>
  <c r="N1285" i="7"/>
  <c r="M1285" i="7"/>
  <c r="L1285" i="7"/>
  <c r="K1285" i="7"/>
  <c r="J1285" i="7"/>
  <c r="I1285" i="7"/>
  <c r="H1285" i="7"/>
  <c r="G1285" i="7"/>
  <c r="F1285" i="7"/>
  <c r="E1285" i="7"/>
  <c r="D1285" i="7" l="1"/>
  <c r="N1174" i="7"/>
  <c r="N1172" i="7" s="1"/>
  <c r="AE1172" i="7"/>
  <c r="AD1172" i="7"/>
  <c r="AB1172" i="7"/>
  <c r="AA1172" i="7"/>
  <c r="Z1172" i="7"/>
  <c r="Y1172" i="7"/>
  <c r="X1172" i="7"/>
  <c r="W1172" i="7"/>
  <c r="V1172" i="7"/>
  <c r="U1172" i="7"/>
  <c r="T1172" i="7"/>
  <c r="S1172" i="7"/>
  <c r="R1172" i="7"/>
  <c r="Q1172" i="7"/>
  <c r="P1172" i="7"/>
  <c r="O1172" i="7"/>
  <c r="M1172" i="7"/>
  <c r="L1172" i="7"/>
  <c r="K1172" i="7"/>
  <c r="J1172" i="7"/>
  <c r="I1172" i="7"/>
  <c r="H1172" i="7"/>
  <c r="G1172" i="7"/>
  <c r="F1172" i="7"/>
  <c r="E1172" i="7"/>
  <c r="AC1173" i="7"/>
  <c r="E79" i="5"/>
  <c r="D1173" i="7" l="1"/>
  <c r="V451" i="3"/>
  <c r="V455" i="3"/>
  <c r="V511" i="3"/>
  <c r="V904" i="3"/>
  <c r="V944" i="3"/>
  <c r="V379" i="3"/>
  <c r="V406" i="3"/>
  <c r="V457" i="3"/>
  <c r="V887" i="3"/>
  <c r="V907" i="3"/>
  <c r="V1145" i="3"/>
  <c r="V1262" i="3"/>
  <c r="V1266" i="3"/>
  <c r="C15" i="4"/>
  <c r="E11" i="5"/>
  <c r="E145" i="5"/>
  <c r="V1192" i="3"/>
  <c r="V286" i="3"/>
  <c r="V909" i="3"/>
  <c r="V513" i="3"/>
  <c r="V835" i="3"/>
  <c r="V786" i="3"/>
  <c r="V1172" i="3"/>
  <c r="V490" i="3"/>
  <c r="V868" i="3"/>
  <c r="V274" i="3"/>
  <c r="V305" i="3"/>
  <c r="V488" i="3"/>
  <c r="V357" i="3"/>
  <c r="V792" i="3"/>
  <c r="V1201" i="3"/>
  <c r="V1233" i="3"/>
  <c r="V1209" i="3"/>
  <c r="V291" i="3"/>
  <c r="V359" i="3"/>
  <c r="V288" i="3"/>
  <c r="V1272" i="3"/>
  <c r="V151" i="3"/>
  <c r="V396" i="3"/>
  <c r="V435" i="3"/>
  <c r="V479" i="3"/>
  <c r="V497" i="3"/>
  <c r="V235" i="3"/>
  <c r="V418" i="3"/>
  <c r="V1253" i="3"/>
  <c r="V197" i="3"/>
  <c r="V297" i="3"/>
  <c r="V303" i="3"/>
  <c r="V350" i="3"/>
  <c r="V338" i="3"/>
  <c r="V268" i="3"/>
  <c r="V281" i="3"/>
  <c r="V321" i="3"/>
  <c r="V347" i="3"/>
  <c r="V374" i="3"/>
  <c r="V381" i="3"/>
  <c r="V527" i="3"/>
  <c r="V389" i="3"/>
  <c r="V422" i="3"/>
  <c r="V438" i="3"/>
  <c r="V449" i="3"/>
  <c r="V459" i="3"/>
  <c r="V524" i="3"/>
  <c r="V788" i="3"/>
  <c r="V865" i="3"/>
  <c r="V871" i="3"/>
  <c r="V386" i="3"/>
  <c r="V391" i="3"/>
  <c r="V429" i="3"/>
  <c r="V505" i="3"/>
  <c r="V508" i="3"/>
  <c r="V529" i="3"/>
  <c r="V398" i="3"/>
  <c r="V503" i="3"/>
  <c r="V544" i="3"/>
  <c r="V547" i="3"/>
  <c r="V731" i="3"/>
  <c r="V781" i="3"/>
  <c r="V831" i="3"/>
  <c r="V822" i="3"/>
  <c r="V846" i="3"/>
  <c r="V861" i="3"/>
  <c r="V893" i="3"/>
  <c r="V978" i="3"/>
  <c r="V982" i="3"/>
  <c r="V765" i="3"/>
  <c r="V839" i="3"/>
  <c r="V874" i="3"/>
  <c r="V712" i="3"/>
  <c r="V833" i="3"/>
  <c r="V895" i="3"/>
  <c r="V915" i="3"/>
  <c r="V921" i="3"/>
  <c r="V938" i="3"/>
  <c r="V1178" i="3"/>
  <c r="V739" i="3"/>
  <c r="V919" i="3"/>
  <c r="V794" i="3"/>
  <c r="V811" i="3"/>
  <c r="V829" i="3"/>
  <c r="V837" i="3"/>
  <c r="V889" i="3"/>
  <c r="V899" i="3"/>
  <c r="V989" i="3"/>
  <c r="V996" i="3"/>
  <c r="V940" i="3"/>
  <c r="V948" i="3"/>
  <c r="V935" i="3"/>
  <c r="V964" i="3"/>
  <c r="V966" i="3"/>
  <c r="V970" i="3"/>
  <c r="V1174" i="3"/>
  <c r="V1195" i="3"/>
  <c r="V1207" i="3"/>
  <c r="V1119" i="3"/>
  <c r="V1147" i="3"/>
  <c r="V1104" i="3"/>
  <c r="V1116" i="3"/>
  <c r="V1128" i="3"/>
  <c r="V1140" i="3"/>
  <c r="V1142" i="3"/>
  <c r="V1156" i="3"/>
  <c r="V1160" i="3"/>
  <c r="V1162" i="3"/>
  <c r="V1166" i="3"/>
  <c r="V1169" i="3"/>
  <c r="V1217" i="3"/>
  <c r="V1227" i="3"/>
  <c r="V1240" i="3"/>
  <c r="V1244" i="3"/>
  <c r="V1248" i="3"/>
  <c r="V1203" i="3"/>
  <c r="V1219" i="3"/>
  <c r="V1221" i="3"/>
  <c r="V1229" i="3"/>
  <c r="V1255" i="3"/>
  <c r="V1197" i="3"/>
  <c r="V1211" i="3"/>
  <c r="V1231" i="3"/>
  <c r="V1236" i="3"/>
  <c r="V1251" i="3"/>
  <c r="V1258" i="3"/>
  <c r="V1268" i="3"/>
  <c r="V960" i="3" l="1"/>
  <c r="V883" i="3"/>
  <c r="V461" i="3"/>
  <c r="D79" i="5"/>
  <c r="V467" i="3"/>
  <c r="V641" i="3"/>
  <c r="E10" i="5"/>
  <c r="V492" i="3"/>
  <c r="V1062" i="3"/>
  <c r="V773" i="3"/>
  <c r="V377" i="3"/>
  <c r="V796" i="3"/>
  <c r="V1213" i="3"/>
  <c r="V1176" i="3"/>
  <c r="V672" i="3"/>
  <c r="V1223" i="3"/>
  <c r="V1149" i="3"/>
  <c r="V539" i="3"/>
  <c r="V120" i="3"/>
  <c r="V1185" i="3"/>
  <c r="V1164" i="3"/>
  <c r="V929" i="3"/>
  <c r="V241" i="3"/>
  <c r="V516" i="3"/>
  <c r="V897" i="3"/>
  <c r="V1077" i="3"/>
  <c r="V1135" i="3"/>
  <c r="V1205" i="3"/>
  <c r="V522" i="3"/>
  <c r="V1131" i="3"/>
  <c r="V972" i="3"/>
  <c r="V1188" i="3"/>
  <c r="V1138" i="3"/>
  <c r="V999" i="3"/>
  <c r="V954" i="3"/>
  <c r="V551" i="3"/>
  <c r="V550" i="3" l="1"/>
  <c r="C19" i="4"/>
  <c r="C12" i="4"/>
  <c r="F205" i="5"/>
  <c r="E205" i="5"/>
  <c r="AC1287" i="7"/>
  <c r="AE1287" i="7"/>
  <c r="AD1287" i="7"/>
  <c r="AB1287" i="7"/>
  <c r="AA1287" i="7"/>
  <c r="Z1287" i="7"/>
  <c r="Y1287" i="7"/>
  <c r="X1287" i="7"/>
  <c r="W1287" i="7"/>
  <c r="V1287" i="7"/>
  <c r="U1287" i="7"/>
  <c r="T1287" i="7"/>
  <c r="S1287" i="7"/>
  <c r="R1287" i="7"/>
  <c r="Q1287" i="7"/>
  <c r="P1287" i="7"/>
  <c r="O1287" i="7"/>
  <c r="N1287" i="7"/>
  <c r="M1287" i="7"/>
  <c r="L1287" i="7"/>
  <c r="K1287" i="7"/>
  <c r="J1287" i="7"/>
  <c r="I1287" i="7"/>
  <c r="H1287" i="7"/>
  <c r="G1287" i="7"/>
  <c r="F1287" i="7"/>
  <c r="E1287" i="7"/>
  <c r="AC1283" i="7"/>
  <c r="AE1283" i="7"/>
  <c r="AD1283" i="7"/>
  <c r="AB1283" i="7"/>
  <c r="AA1283" i="7"/>
  <c r="Z1283" i="7"/>
  <c r="Y1283" i="7"/>
  <c r="X1283" i="7"/>
  <c r="W1283" i="7"/>
  <c r="V1283" i="7"/>
  <c r="U1283" i="7"/>
  <c r="T1283" i="7"/>
  <c r="S1283" i="7"/>
  <c r="R1283" i="7"/>
  <c r="Q1283" i="7"/>
  <c r="P1283" i="7"/>
  <c r="O1283" i="7"/>
  <c r="N1283" i="7"/>
  <c r="M1283" i="7"/>
  <c r="L1283" i="7"/>
  <c r="K1283" i="7"/>
  <c r="J1283" i="7"/>
  <c r="I1283" i="7"/>
  <c r="H1283" i="7"/>
  <c r="G1283" i="7"/>
  <c r="F1283" i="7"/>
  <c r="E1283" i="7"/>
  <c r="EU1280" i="7"/>
  <c r="CK1280" i="7"/>
  <c r="CH1280" i="7"/>
  <c r="L1282" i="7" l="1"/>
  <c r="P1282" i="7"/>
  <c r="X1282" i="7"/>
  <c r="D1287" i="7"/>
  <c r="J1282" i="7"/>
  <c r="D1283" i="7"/>
  <c r="W1282" i="7"/>
  <c r="F1282" i="7"/>
  <c r="I1282" i="7"/>
  <c r="U1282" i="7"/>
  <c r="N1282" i="7"/>
  <c r="AA1282" i="7"/>
  <c r="Y1282" i="7"/>
  <c r="O1282" i="7"/>
  <c r="S1282" i="7"/>
  <c r="Z1282" i="7"/>
  <c r="M1282" i="7"/>
  <c r="K1282" i="7"/>
  <c r="E1282" i="7"/>
  <c r="Q1282" i="7"/>
  <c r="R1282" i="7"/>
  <c r="AD1282" i="7"/>
  <c r="T1282" i="7"/>
  <c r="G1282" i="7"/>
  <c r="AE1282" i="7"/>
  <c r="V1282" i="7"/>
  <c r="H1282" i="7"/>
  <c r="AB1282" i="7"/>
  <c r="D205" i="5"/>
  <c r="C205" i="5"/>
  <c r="AC1282" i="7"/>
  <c r="D1282" i="7" l="1"/>
  <c r="V412" i="3"/>
  <c r="C29" i="4"/>
  <c r="C27" i="4"/>
  <c r="C28" i="4"/>
  <c r="H382" i="7"/>
  <c r="E307" i="7"/>
  <c r="V354" i="3" l="1"/>
  <c r="V344" i="3" l="1"/>
  <c r="D609" i="7"/>
  <c r="D615" i="7" l="1"/>
  <c r="AC914" i="7"/>
  <c r="D914" i="7" s="1"/>
  <c r="AE913" i="7"/>
  <c r="AD913" i="7"/>
  <c r="AB913" i="7"/>
  <c r="AA913" i="7"/>
  <c r="Z913" i="7"/>
  <c r="Y913" i="7"/>
  <c r="X913" i="7"/>
  <c r="W913" i="7"/>
  <c r="V913" i="7"/>
  <c r="U913" i="7"/>
  <c r="T913" i="7"/>
  <c r="S913" i="7"/>
  <c r="R913" i="7"/>
  <c r="Q913" i="7"/>
  <c r="P913" i="7"/>
  <c r="O913" i="7"/>
  <c r="M913" i="7"/>
  <c r="L913" i="7"/>
  <c r="K913" i="7"/>
  <c r="J913" i="7"/>
  <c r="I913" i="7"/>
  <c r="H913" i="7"/>
  <c r="G913" i="7"/>
  <c r="F913" i="7"/>
  <c r="E913" i="7"/>
  <c r="E455" i="7"/>
  <c r="F455" i="7"/>
  <c r="G455" i="7"/>
  <c r="H455" i="7"/>
  <c r="I455" i="7"/>
  <c r="J455" i="7"/>
  <c r="K455" i="7"/>
  <c r="L455" i="7"/>
  <c r="M455" i="7"/>
  <c r="O455" i="7"/>
  <c r="P455" i="7"/>
  <c r="Q455" i="7"/>
  <c r="R455" i="7"/>
  <c r="S455" i="7"/>
  <c r="T455" i="7"/>
  <c r="U455" i="7"/>
  <c r="V455" i="7"/>
  <c r="W455" i="7"/>
  <c r="X455" i="7"/>
  <c r="Y455" i="7"/>
  <c r="Z455" i="7"/>
  <c r="AA455" i="7"/>
  <c r="AB455" i="7"/>
  <c r="AC455" i="7"/>
  <c r="AD455" i="7"/>
  <c r="AE455" i="7"/>
  <c r="D913" i="7" l="1"/>
  <c r="AC913" i="7"/>
  <c r="T1224" i="7" l="1"/>
  <c r="AE921" i="7"/>
  <c r="AD921" i="7"/>
  <c r="AB921" i="7"/>
  <c r="AA921" i="7"/>
  <c r="Z921" i="7"/>
  <c r="Y921" i="7"/>
  <c r="X921" i="7"/>
  <c r="W921" i="7"/>
  <c r="V921" i="7"/>
  <c r="U921" i="7"/>
  <c r="T921" i="7"/>
  <c r="S921" i="7"/>
  <c r="R921" i="7"/>
  <c r="Q921" i="7"/>
  <c r="P921" i="7"/>
  <c r="O921" i="7"/>
  <c r="M921" i="7"/>
  <c r="L921" i="7"/>
  <c r="K921" i="7"/>
  <c r="J921" i="7"/>
  <c r="I921" i="7"/>
  <c r="H921" i="7"/>
  <c r="G921" i="7"/>
  <c r="F921" i="7"/>
  <c r="E921" i="7"/>
  <c r="AC922" i="7"/>
  <c r="D922" i="7" s="1"/>
  <c r="AE966" i="7"/>
  <c r="AD966" i="7"/>
  <c r="AB966" i="7"/>
  <c r="AA966" i="7"/>
  <c r="Z966" i="7"/>
  <c r="Y966" i="7"/>
  <c r="X966" i="7"/>
  <c r="W966" i="7"/>
  <c r="V966" i="7"/>
  <c r="U966" i="7"/>
  <c r="T966" i="7"/>
  <c r="S966" i="7"/>
  <c r="R966" i="7"/>
  <c r="Q966" i="7"/>
  <c r="P966" i="7"/>
  <c r="O966" i="7"/>
  <c r="M966" i="7"/>
  <c r="L966" i="7"/>
  <c r="K966" i="7"/>
  <c r="J966" i="7"/>
  <c r="I966" i="7"/>
  <c r="H966" i="7"/>
  <c r="G966" i="7"/>
  <c r="F966" i="7"/>
  <c r="E966" i="7"/>
  <c r="AC968" i="7"/>
  <c r="D968" i="7" s="1"/>
  <c r="D969" i="7" l="1"/>
  <c r="AC345" i="7" l="1"/>
  <c r="D345" i="7" s="1"/>
  <c r="E13" i="8" l="1"/>
  <c r="E15" i="8"/>
  <c r="E24" i="8"/>
  <c r="E26" i="8"/>
  <c r="E28" i="8"/>
  <c r="E30" i="8"/>
  <c r="E33" i="8"/>
  <c r="E40" i="8"/>
  <c r="E36" i="8" s="1"/>
  <c r="E42" i="8"/>
  <c r="E44" i="8"/>
  <c r="E48" i="8"/>
  <c r="E50" i="8"/>
  <c r="E52" i="8"/>
  <c r="E54" i="8"/>
  <c r="E58" i="8"/>
  <c r="E60" i="8"/>
  <c r="E62" i="8"/>
  <c r="E12" i="8" l="1"/>
  <c r="E11" i="8"/>
  <c r="N1128" i="7" l="1"/>
  <c r="AC1128" i="7" s="1"/>
  <c r="D1128" i="7" s="1"/>
  <c r="AD156" i="7"/>
  <c r="AC1252" i="7" l="1"/>
  <c r="D1252" i="7" s="1"/>
  <c r="AC884" i="7" l="1"/>
  <c r="D884" i="7" s="1"/>
  <c r="AC710" i="7" l="1"/>
  <c r="D710" i="7" s="1"/>
  <c r="AC711" i="7"/>
  <c r="D711" i="7" s="1"/>
  <c r="AC1186" i="7" l="1"/>
  <c r="D1186" i="7" s="1"/>
  <c r="AC854" i="7"/>
  <c r="E960" i="7"/>
  <c r="F960" i="7"/>
  <c r="G960" i="7"/>
  <c r="H960" i="7"/>
  <c r="I960" i="7"/>
  <c r="J960" i="7"/>
  <c r="K960" i="7"/>
  <c r="L960" i="7"/>
  <c r="M960" i="7"/>
  <c r="O960" i="7"/>
  <c r="P960" i="7"/>
  <c r="Q960" i="7"/>
  <c r="R960" i="7"/>
  <c r="S960" i="7"/>
  <c r="T960" i="7"/>
  <c r="U960" i="7"/>
  <c r="V960" i="7"/>
  <c r="W960" i="7"/>
  <c r="X960" i="7"/>
  <c r="Y960" i="7"/>
  <c r="Z960" i="7"/>
  <c r="AA960" i="7"/>
  <c r="AB960" i="7"/>
  <c r="AD960" i="7"/>
  <c r="AE960" i="7"/>
  <c r="F47" i="8" l="1"/>
  <c r="E745" i="7" l="1"/>
  <c r="F745" i="7"/>
  <c r="G745" i="7"/>
  <c r="H745" i="7"/>
  <c r="I745" i="7"/>
  <c r="J745" i="7"/>
  <c r="K745" i="7"/>
  <c r="L745" i="7"/>
  <c r="M745" i="7"/>
  <c r="O745" i="7"/>
  <c r="P745" i="7"/>
  <c r="Q745" i="7"/>
  <c r="S745" i="7"/>
  <c r="U745" i="7"/>
  <c r="V745" i="7"/>
  <c r="W745" i="7"/>
  <c r="X745" i="7"/>
  <c r="Y745" i="7"/>
  <c r="Z745" i="7"/>
  <c r="AA745" i="7"/>
  <c r="AB745" i="7"/>
  <c r="AD745" i="7"/>
  <c r="AE745" i="7"/>
  <c r="N1216" i="7" l="1"/>
  <c r="AE61" i="8"/>
  <c r="F61" i="8" s="1"/>
  <c r="F60" i="8" s="1"/>
  <c r="T745" i="7" l="1"/>
  <c r="R745" i="7"/>
  <c r="AC250" i="7"/>
  <c r="N1118" i="7" l="1"/>
  <c r="AC724" i="7"/>
  <c r="AC1118" i="7" l="1"/>
  <c r="D1118" i="7" s="1"/>
  <c r="D724" i="7"/>
  <c r="D233" i="7" l="1"/>
  <c r="AC699" i="7" l="1"/>
  <c r="AC700" i="7"/>
  <c r="AC698" i="7"/>
  <c r="E39" i="10" l="1"/>
  <c r="D39" i="10"/>
  <c r="C39" i="10"/>
  <c r="B62" i="9"/>
  <c r="L61" i="9"/>
  <c r="K61" i="9"/>
  <c r="J61" i="9"/>
  <c r="I61" i="9"/>
  <c r="B60" i="9"/>
  <c r="L59" i="9"/>
  <c r="K59" i="9"/>
  <c r="J59" i="9"/>
  <c r="I59" i="9"/>
  <c r="K58" i="9"/>
  <c r="K57" i="9" s="1"/>
  <c r="B58" i="9"/>
  <c r="L57" i="9"/>
  <c r="J57" i="9"/>
  <c r="I57" i="9"/>
  <c r="B56" i="9"/>
  <c r="K55" i="9"/>
  <c r="K53" i="9" s="1"/>
  <c r="B55" i="9"/>
  <c r="B54" i="9"/>
  <c r="L53" i="9"/>
  <c r="J53" i="9"/>
  <c r="I53" i="9"/>
  <c r="K52" i="9"/>
  <c r="K51" i="9" s="1"/>
  <c r="B52" i="9"/>
  <c r="L51" i="9"/>
  <c r="J51" i="9"/>
  <c r="I51" i="9"/>
  <c r="K50" i="9"/>
  <c r="K49" i="9" s="1"/>
  <c r="B50" i="9"/>
  <c r="L49" i="9"/>
  <c r="J49" i="9"/>
  <c r="I49" i="9"/>
  <c r="K48" i="9"/>
  <c r="K47" i="9" s="1"/>
  <c r="B48" i="9"/>
  <c r="L47" i="9"/>
  <c r="J47" i="9"/>
  <c r="I47" i="9"/>
  <c r="K46" i="9"/>
  <c r="B46" i="9"/>
  <c r="K45" i="9"/>
  <c r="B45" i="9"/>
  <c r="K44" i="9"/>
  <c r="B44" i="9"/>
  <c r="L43" i="9"/>
  <c r="J43" i="9"/>
  <c r="I43" i="9"/>
  <c r="K42" i="9"/>
  <c r="K41" i="9" s="1"/>
  <c r="B42" i="9"/>
  <c r="L41" i="9"/>
  <c r="J41" i="9"/>
  <c r="I41" i="9"/>
  <c r="K40" i="9"/>
  <c r="K39" i="9" s="1"/>
  <c r="B40" i="9"/>
  <c r="L39" i="9"/>
  <c r="J39" i="9"/>
  <c r="I39" i="9"/>
  <c r="K38" i="9"/>
  <c r="B38" i="9"/>
  <c r="K37" i="9"/>
  <c r="B37" i="9"/>
  <c r="K36" i="9"/>
  <c r="B36" i="9"/>
  <c r="L35" i="9"/>
  <c r="J35" i="9"/>
  <c r="I35" i="9"/>
  <c r="B34" i="9"/>
  <c r="K33" i="9"/>
  <c r="K32" i="9" s="1"/>
  <c r="B33" i="9"/>
  <c r="L32" i="9"/>
  <c r="J32" i="9"/>
  <c r="I32" i="9"/>
  <c r="K31" i="9"/>
  <c r="B31" i="9"/>
  <c r="K30" i="9"/>
  <c r="B30" i="9"/>
  <c r="L29" i="9"/>
  <c r="J29" i="9"/>
  <c r="I29" i="9"/>
  <c r="K28" i="9"/>
  <c r="K27" i="9" s="1"/>
  <c r="B28" i="9"/>
  <c r="L27" i="9"/>
  <c r="J27" i="9"/>
  <c r="I27" i="9"/>
  <c r="K26" i="9"/>
  <c r="K25" i="9" s="1"/>
  <c r="B26" i="9"/>
  <c r="L25" i="9"/>
  <c r="J25" i="9"/>
  <c r="I25" i="9"/>
  <c r="K24" i="9"/>
  <c r="K23" i="9" s="1"/>
  <c r="B24" i="9"/>
  <c r="L23" i="9"/>
  <c r="J23" i="9"/>
  <c r="I23" i="9"/>
  <c r="B22" i="9"/>
  <c r="B20" i="9"/>
  <c r="K19" i="9"/>
  <c r="B19" i="9"/>
  <c r="K18" i="9"/>
  <c r="B18" i="9"/>
  <c r="K17" i="9"/>
  <c r="B17" i="9"/>
  <c r="K16" i="9"/>
  <c r="B16" i="9"/>
  <c r="K15" i="9"/>
  <c r="B15" i="9"/>
  <c r="L14" i="9"/>
  <c r="J14" i="9"/>
  <c r="I14" i="9"/>
  <c r="K13" i="9"/>
  <c r="B13" i="9"/>
  <c r="L12" i="9"/>
  <c r="J12" i="9"/>
  <c r="I12" i="9"/>
  <c r="F63" i="8"/>
  <c r="F62" i="8" s="1"/>
  <c r="B63" i="8"/>
  <c r="AG62" i="8"/>
  <c r="AF62" i="8"/>
  <c r="AD62" i="8"/>
  <c r="AC62" i="8"/>
  <c r="AB62" i="8"/>
  <c r="AA62" i="8"/>
  <c r="Z62" i="8"/>
  <c r="Y62" i="8"/>
  <c r="X62" i="8"/>
  <c r="W62" i="8"/>
  <c r="V62" i="8"/>
  <c r="U62" i="8"/>
  <c r="T62" i="8"/>
  <c r="S62" i="8"/>
  <c r="R62" i="8"/>
  <c r="Q62" i="8"/>
  <c r="P62" i="8"/>
  <c r="O62" i="8"/>
  <c r="N62" i="8"/>
  <c r="M62" i="8"/>
  <c r="L62" i="8"/>
  <c r="K62" i="8"/>
  <c r="J62" i="8"/>
  <c r="I62" i="8"/>
  <c r="H62" i="8"/>
  <c r="G62" i="8"/>
  <c r="B61" i="8"/>
  <c r="AG60" i="8"/>
  <c r="AF60" i="8"/>
  <c r="AD60" i="8"/>
  <c r="AC60" i="8"/>
  <c r="AB60" i="8"/>
  <c r="AA60" i="8"/>
  <c r="Z60" i="8"/>
  <c r="Y60" i="8"/>
  <c r="X60" i="8"/>
  <c r="W60" i="8"/>
  <c r="V60" i="8"/>
  <c r="U60" i="8"/>
  <c r="T60" i="8"/>
  <c r="S60" i="8"/>
  <c r="R60" i="8"/>
  <c r="Q60" i="8"/>
  <c r="P60" i="8"/>
  <c r="O60" i="8"/>
  <c r="N60" i="8"/>
  <c r="M60" i="8"/>
  <c r="L60" i="8"/>
  <c r="K60" i="8"/>
  <c r="J60" i="8"/>
  <c r="I60" i="8"/>
  <c r="H60" i="8"/>
  <c r="G60" i="8"/>
  <c r="AE59" i="8"/>
  <c r="F59" i="8" s="1"/>
  <c r="F58" i="8" s="1"/>
  <c r="B59" i="8"/>
  <c r="AG58" i="8"/>
  <c r="AF58" i="8"/>
  <c r="AD58" i="8"/>
  <c r="AC58" i="8"/>
  <c r="AB58" i="8"/>
  <c r="AA58" i="8"/>
  <c r="Z58" i="8"/>
  <c r="Y58" i="8"/>
  <c r="X58" i="8"/>
  <c r="W58" i="8"/>
  <c r="V58" i="8"/>
  <c r="U58" i="8"/>
  <c r="T58" i="8"/>
  <c r="S58" i="8"/>
  <c r="R58" i="8"/>
  <c r="Q58" i="8"/>
  <c r="P58" i="8"/>
  <c r="O58" i="8"/>
  <c r="N58" i="8"/>
  <c r="M58" i="8"/>
  <c r="L58" i="8"/>
  <c r="K58" i="8"/>
  <c r="J58" i="8"/>
  <c r="I58" i="8"/>
  <c r="H58" i="8"/>
  <c r="G58" i="8"/>
  <c r="F57" i="8"/>
  <c r="B57" i="8"/>
  <c r="AE56" i="8"/>
  <c r="P56" i="8"/>
  <c r="B56" i="8"/>
  <c r="AE55" i="8"/>
  <c r="F55" i="8" s="1"/>
  <c r="B55" i="8"/>
  <c r="AG54" i="8"/>
  <c r="AF54" i="8"/>
  <c r="AD54" i="8"/>
  <c r="AC54" i="8"/>
  <c r="AB54" i="8"/>
  <c r="AA54" i="8"/>
  <c r="Z54" i="8"/>
  <c r="Y54" i="8"/>
  <c r="X54" i="8"/>
  <c r="W54" i="8"/>
  <c r="V54" i="8"/>
  <c r="U54" i="8"/>
  <c r="T54" i="8"/>
  <c r="S54" i="8"/>
  <c r="R54" i="8"/>
  <c r="Q54" i="8"/>
  <c r="O54" i="8"/>
  <c r="N54" i="8"/>
  <c r="M54" i="8"/>
  <c r="L54" i="8"/>
  <c r="K54" i="8"/>
  <c r="J54" i="8"/>
  <c r="I54" i="8"/>
  <c r="H54" i="8"/>
  <c r="G54" i="8"/>
  <c r="F53" i="8"/>
  <c r="F52" i="8" s="1"/>
  <c r="B53" i="8"/>
  <c r="AG52" i="8"/>
  <c r="AF52" i="8"/>
  <c r="AD52" i="8"/>
  <c r="AC52" i="8"/>
  <c r="AB52" i="8"/>
  <c r="AA52" i="8"/>
  <c r="Z52" i="8"/>
  <c r="Y52" i="8"/>
  <c r="X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AE51" i="8"/>
  <c r="F51" i="8" s="1"/>
  <c r="F50" i="8" s="1"/>
  <c r="B51" i="8"/>
  <c r="AG50" i="8"/>
  <c r="AF50" i="8"/>
  <c r="AD50" i="8"/>
  <c r="AC50" i="8"/>
  <c r="AB50" i="8"/>
  <c r="AA50" i="8"/>
  <c r="Z50" i="8"/>
  <c r="Y50" i="8"/>
  <c r="X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49" i="8"/>
  <c r="F48" i="8" s="1"/>
  <c r="B49" i="8"/>
  <c r="AG48" i="8"/>
  <c r="AF48" i="8"/>
  <c r="AD48" i="8"/>
  <c r="AC48" i="8"/>
  <c r="AB48" i="8"/>
  <c r="AA48" i="8"/>
  <c r="Z48" i="8"/>
  <c r="Y48" i="8"/>
  <c r="X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B47" i="8"/>
  <c r="F46" i="8"/>
  <c r="B46" i="8"/>
  <c r="F45" i="8"/>
  <c r="B45" i="8"/>
  <c r="AG44" i="8"/>
  <c r="AF44" i="8"/>
  <c r="AD44" i="8"/>
  <c r="AC44" i="8"/>
  <c r="AB44" i="8"/>
  <c r="AA44" i="8"/>
  <c r="Z44" i="8"/>
  <c r="Y44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AE43" i="8"/>
  <c r="F43" i="8" s="1"/>
  <c r="F42" i="8" s="1"/>
  <c r="B43" i="8"/>
  <c r="AG42" i="8"/>
  <c r="AF42" i="8"/>
  <c r="AD42" i="8"/>
  <c r="AC42" i="8"/>
  <c r="AB42" i="8"/>
  <c r="AA42" i="8"/>
  <c r="Z42" i="8"/>
  <c r="Y42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AE41" i="8"/>
  <c r="F41" i="8" s="1"/>
  <c r="F40" i="8" s="1"/>
  <c r="B41" i="8"/>
  <c r="AG40" i="8"/>
  <c r="AF40" i="8"/>
  <c r="AD40" i="8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AE39" i="8"/>
  <c r="F39" i="8" s="1"/>
  <c r="B39" i="8"/>
  <c r="AE38" i="8"/>
  <c r="F38" i="8" s="1"/>
  <c r="B38" i="8"/>
  <c r="AE37" i="8"/>
  <c r="F37" i="8" s="1"/>
  <c r="B37" i="8"/>
  <c r="AG36" i="8"/>
  <c r="AF36" i="8"/>
  <c r="AD36" i="8"/>
  <c r="AC36" i="8"/>
  <c r="AB36" i="8"/>
  <c r="AA36" i="8"/>
  <c r="Z36" i="8"/>
  <c r="Y36" i="8"/>
  <c r="X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5" i="8"/>
  <c r="B35" i="8"/>
  <c r="AE34" i="8"/>
  <c r="F34" i="8" s="1"/>
  <c r="B34" i="8"/>
  <c r="AG33" i="8"/>
  <c r="AF33" i="8"/>
  <c r="AD33" i="8"/>
  <c r="AC33" i="8"/>
  <c r="AB33" i="8"/>
  <c r="AA33" i="8"/>
  <c r="Z33" i="8"/>
  <c r="Y33" i="8"/>
  <c r="X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2" i="8"/>
  <c r="B32" i="8"/>
  <c r="AE31" i="8"/>
  <c r="F31" i="8" s="1"/>
  <c r="B31" i="8"/>
  <c r="AG30" i="8"/>
  <c r="AF30" i="8"/>
  <c r="AD30" i="8"/>
  <c r="AC30" i="8"/>
  <c r="AB30" i="8"/>
  <c r="AA30" i="8"/>
  <c r="Z30" i="8"/>
  <c r="Y30" i="8"/>
  <c r="X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AE29" i="8"/>
  <c r="F29" i="8" s="1"/>
  <c r="F28" i="8" s="1"/>
  <c r="B29" i="8"/>
  <c r="AG28" i="8"/>
  <c r="AF28" i="8"/>
  <c r="AD28" i="8"/>
  <c r="AC28" i="8"/>
  <c r="AB28" i="8"/>
  <c r="AA28" i="8"/>
  <c r="Z28" i="8"/>
  <c r="Y28" i="8"/>
  <c r="X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AE27" i="8"/>
  <c r="F27" i="8" s="1"/>
  <c r="F26" i="8" s="1"/>
  <c r="B27" i="8"/>
  <c r="AG26" i="8"/>
  <c r="AF26" i="8"/>
  <c r="AD26" i="8"/>
  <c r="AC26" i="8"/>
  <c r="AB26" i="8"/>
  <c r="AA26" i="8"/>
  <c r="Z26" i="8"/>
  <c r="Y26" i="8"/>
  <c r="X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AE25" i="8"/>
  <c r="F25" i="8" s="1"/>
  <c r="F24" i="8" s="1"/>
  <c r="B25" i="8"/>
  <c r="AG24" i="8"/>
  <c r="AF24" i="8"/>
  <c r="AD24" i="8"/>
  <c r="AC24" i="8"/>
  <c r="AB24" i="8"/>
  <c r="AA24" i="8"/>
  <c r="Z24" i="8"/>
  <c r="Y24" i="8"/>
  <c r="X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AE23" i="8"/>
  <c r="F23" i="8" s="1"/>
  <c r="B23" i="8"/>
  <c r="AE21" i="8"/>
  <c r="F21" i="8" s="1"/>
  <c r="B21" i="8"/>
  <c r="AE20" i="8"/>
  <c r="F20" i="8" s="1"/>
  <c r="B20" i="8"/>
  <c r="F19" i="8"/>
  <c r="B19" i="8"/>
  <c r="AE18" i="8"/>
  <c r="F18" i="8" s="1"/>
  <c r="B18" i="8"/>
  <c r="AE17" i="8"/>
  <c r="F17" i="8" s="1"/>
  <c r="B17" i="8"/>
  <c r="F16" i="8"/>
  <c r="B16" i="8"/>
  <c r="AG15" i="8"/>
  <c r="AF15" i="8"/>
  <c r="AD15" i="8"/>
  <c r="AC15" i="8"/>
  <c r="AB15" i="8"/>
  <c r="AA15" i="8"/>
  <c r="Z15" i="8"/>
  <c r="Y15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AE14" i="8"/>
  <c r="B14" i="8"/>
  <c r="AG13" i="8"/>
  <c r="AF13" i="8"/>
  <c r="AD13" i="8"/>
  <c r="AC13" i="8"/>
  <c r="AB13" i="8"/>
  <c r="AA13" i="8"/>
  <c r="Z13" i="8"/>
  <c r="Y13" i="8"/>
  <c r="X13" i="8"/>
  <c r="W13" i="8"/>
  <c r="V13" i="8"/>
  <c r="U13" i="8"/>
  <c r="T13" i="8"/>
  <c r="S13" i="8"/>
  <c r="R13" i="8"/>
  <c r="Q13" i="8"/>
  <c r="O13" i="8"/>
  <c r="N13" i="8"/>
  <c r="M13" i="8"/>
  <c r="L13" i="8"/>
  <c r="K13" i="8"/>
  <c r="J13" i="8"/>
  <c r="I13" i="8"/>
  <c r="H13" i="8"/>
  <c r="G13" i="8"/>
  <c r="D145" i="5"/>
  <c r="C145" i="5"/>
  <c r="C79" i="5"/>
  <c r="C11" i="5"/>
  <c r="AT1279" i="7"/>
  <c r="AC1279" i="7"/>
  <c r="AE1278" i="7"/>
  <c r="AD1278" i="7"/>
  <c r="AB1278" i="7"/>
  <c r="AA1278" i="7"/>
  <c r="Z1278" i="7"/>
  <c r="Y1278" i="7"/>
  <c r="X1278" i="7"/>
  <c r="W1278" i="7"/>
  <c r="V1278" i="7"/>
  <c r="U1278" i="7"/>
  <c r="T1278" i="7"/>
  <c r="S1278" i="7"/>
  <c r="R1278" i="7"/>
  <c r="Q1278" i="7"/>
  <c r="P1278" i="7"/>
  <c r="O1278" i="7"/>
  <c r="N1278" i="7"/>
  <c r="M1278" i="7"/>
  <c r="L1278" i="7"/>
  <c r="K1278" i="7"/>
  <c r="J1278" i="7"/>
  <c r="I1278" i="7"/>
  <c r="H1278" i="7"/>
  <c r="G1278" i="7"/>
  <c r="F1278" i="7"/>
  <c r="E1278" i="7"/>
  <c r="AC1277" i="7"/>
  <c r="AC1276" i="7"/>
  <c r="AC1275" i="7"/>
  <c r="AE1274" i="7"/>
  <c r="AD1274" i="7"/>
  <c r="AB1274" i="7"/>
  <c r="AA1274" i="7"/>
  <c r="Z1274" i="7"/>
  <c r="Y1274" i="7"/>
  <c r="X1274" i="7"/>
  <c r="W1274" i="7"/>
  <c r="V1274" i="7"/>
  <c r="U1274" i="7"/>
  <c r="T1274" i="7"/>
  <c r="S1274" i="7"/>
  <c r="R1274" i="7"/>
  <c r="Q1274" i="7"/>
  <c r="P1274" i="7"/>
  <c r="O1274" i="7"/>
  <c r="N1274" i="7"/>
  <c r="M1274" i="7"/>
  <c r="L1274" i="7"/>
  <c r="K1274" i="7"/>
  <c r="J1274" i="7"/>
  <c r="I1274" i="7"/>
  <c r="H1274" i="7"/>
  <c r="G1274" i="7"/>
  <c r="F1274" i="7"/>
  <c r="E1274" i="7"/>
  <c r="N1273" i="7"/>
  <c r="AC1273" i="7" s="1"/>
  <c r="AE1272" i="7"/>
  <c r="AD1272" i="7"/>
  <c r="AB1272" i="7"/>
  <c r="AA1272" i="7"/>
  <c r="Z1272" i="7"/>
  <c r="Y1272" i="7"/>
  <c r="X1272" i="7"/>
  <c r="W1272" i="7"/>
  <c r="V1272" i="7"/>
  <c r="U1272" i="7"/>
  <c r="T1272" i="7"/>
  <c r="S1272" i="7"/>
  <c r="R1272" i="7"/>
  <c r="Q1272" i="7"/>
  <c r="P1272" i="7"/>
  <c r="O1272" i="7"/>
  <c r="M1272" i="7"/>
  <c r="L1272" i="7"/>
  <c r="K1272" i="7"/>
  <c r="J1272" i="7"/>
  <c r="I1272" i="7"/>
  <c r="H1272" i="7"/>
  <c r="G1272" i="7"/>
  <c r="F1272" i="7"/>
  <c r="E1272" i="7"/>
  <c r="AC1271" i="7"/>
  <c r="D1271" i="7" s="1"/>
  <c r="AE1270" i="7"/>
  <c r="AD1270" i="7"/>
  <c r="AB1270" i="7"/>
  <c r="AA1270" i="7"/>
  <c r="Z1270" i="7"/>
  <c r="Y1270" i="7"/>
  <c r="X1270" i="7"/>
  <c r="W1270" i="7"/>
  <c r="V1270" i="7"/>
  <c r="U1270" i="7"/>
  <c r="T1270" i="7"/>
  <c r="S1270" i="7"/>
  <c r="R1270" i="7"/>
  <c r="Q1270" i="7"/>
  <c r="P1270" i="7"/>
  <c r="O1270" i="7"/>
  <c r="N1270" i="7"/>
  <c r="M1270" i="7"/>
  <c r="L1270" i="7"/>
  <c r="K1270" i="7"/>
  <c r="J1270" i="7"/>
  <c r="I1270" i="7"/>
  <c r="H1270" i="7"/>
  <c r="G1270" i="7"/>
  <c r="F1270" i="7"/>
  <c r="E1270" i="7"/>
  <c r="N1268" i="7"/>
  <c r="AE1268" i="7"/>
  <c r="AD1268" i="7"/>
  <c r="AB1268" i="7"/>
  <c r="AA1268" i="7"/>
  <c r="Z1268" i="7"/>
  <c r="Y1268" i="7"/>
  <c r="X1268" i="7"/>
  <c r="W1268" i="7"/>
  <c r="V1268" i="7"/>
  <c r="U1268" i="7"/>
  <c r="T1268" i="7"/>
  <c r="S1268" i="7"/>
  <c r="R1268" i="7"/>
  <c r="Q1268" i="7"/>
  <c r="P1268" i="7"/>
  <c r="O1268" i="7"/>
  <c r="M1268" i="7"/>
  <c r="L1268" i="7"/>
  <c r="K1268" i="7"/>
  <c r="J1268" i="7"/>
  <c r="I1268" i="7"/>
  <c r="H1268" i="7"/>
  <c r="G1268" i="7"/>
  <c r="F1268" i="7"/>
  <c r="E1268" i="7"/>
  <c r="AC1267" i="7"/>
  <c r="AC1266" i="7"/>
  <c r="AC1265" i="7"/>
  <c r="D1265" i="7" s="1"/>
  <c r="AE1264" i="7"/>
  <c r="AD1264" i="7"/>
  <c r="AB1264" i="7"/>
  <c r="AA1264" i="7"/>
  <c r="Z1264" i="7"/>
  <c r="Y1264" i="7"/>
  <c r="X1264" i="7"/>
  <c r="W1264" i="7"/>
  <c r="V1264" i="7"/>
  <c r="U1264" i="7"/>
  <c r="T1264" i="7"/>
  <c r="S1264" i="7"/>
  <c r="R1264" i="7"/>
  <c r="Q1264" i="7"/>
  <c r="P1264" i="7"/>
  <c r="O1264" i="7"/>
  <c r="N1264" i="7"/>
  <c r="M1264" i="7"/>
  <c r="L1264" i="7"/>
  <c r="K1264" i="7"/>
  <c r="J1264" i="7"/>
  <c r="I1264" i="7"/>
  <c r="H1264" i="7"/>
  <c r="G1264" i="7"/>
  <c r="F1264" i="7"/>
  <c r="E1264" i="7"/>
  <c r="AC1263" i="7"/>
  <c r="D1263" i="7" s="1"/>
  <c r="AC1262" i="7"/>
  <c r="AE1261" i="7"/>
  <c r="AD1261" i="7"/>
  <c r="AB1261" i="7"/>
  <c r="AA1261" i="7"/>
  <c r="Z1261" i="7"/>
  <c r="Y1261" i="7"/>
  <c r="X1261" i="7"/>
  <c r="W1261" i="7"/>
  <c r="V1261" i="7"/>
  <c r="U1261" i="7"/>
  <c r="T1261" i="7"/>
  <c r="S1261" i="7"/>
  <c r="R1261" i="7"/>
  <c r="Q1261" i="7"/>
  <c r="P1261" i="7"/>
  <c r="O1261" i="7"/>
  <c r="N1261" i="7"/>
  <c r="M1261" i="7"/>
  <c r="L1261" i="7"/>
  <c r="K1261" i="7"/>
  <c r="J1261" i="7"/>
  <c r="I1261" i="7"/>
  <c r="H1261" i="7"/>
  <c r="G1261" i="7"/>
  <c r="F1261" i="7"/>
  <c r="E1261" i="7"/>
  <c r="AC1260" i="7"/>
  <c r="AE1259" i="7"/>
  <c r="AD1259" i="7"/>
  <c r="AB1259" i="7"/>
  <c r="AA1259" i="7"/>
  <c r="Z1259" i="7"/>
  <c r="Y1259" i="7"/>
  <c r="X1259" i="7"/>
  <c r="W1259" i="7"/>
  <c r="V1259" i="7"/>
  <c r="U1259" i="7"/>
  <c r="T1259" i="7"/>
  <c r="S1259" i="7"/>
  <c r="R1259" i="7"/>
  <c r="Q1259" i="7"/>
  <c r="P1259" i="7"/>
  <c r="O1259" i="7"/>
  <c r="N1259" i="7"/>
  <c r="M1259" i="7"/>
  <c r="L1259" i="7"/>
  <c r="K1259" i="7"/>
  <c r="J1259" i="7"/>
  <c r="I1259" i="7"/>
  <c r="H1259" i="7"/>
  <c r="G1259" i="7"/>
  <c r="F1259" i="7"/>
  <c r="E1259" i="7"/>
  <c r="AC1258" i="7"/>
  <c r="D1258" i="7" s="1"/>
  <c r="AE1257" i="7"/>
  <c r="AD1257" i="7"/>
  <c r="AB1257" i="7"/>
  <c r="AA1257" i="7"/>
  <c r="Z1257" i="7"/>
  <c r="Y1257" i="7"/>
  <c r="X1257" i="7"/>
  <c r="W1257" i="7"/>
  <c r="V1257" i="7"/>
  <c r="U1257" i="7"/>
  <c r="T1257" i="7"/>
  <c r="S1257" i="7"/>
  <c r="R1257" i="7"/>
  <c r="Q1257" i="7"/>
  <c r="P1257" i="7"/>
  <c r="O1257" i="7"/>
  <c r="N1257" i="7"/>
  <c r="M1257" i="7"/>
  <c r="L1257" i="7"/>
  <c r="K1257" i="7"/>
  <c r="J1257" i="7"/>
  <c r="I1257" i="7"/>
  <c r="H1257" i="7"/>
  <c r="G1257" i="7"/>
  <c r="F1257" i="7"/>
  <c r="E1257" i="7"/>
  <c r="AC1256" i="7"/>
  <c r="AC1255" i="7"/>
  <c r="D1255" i="7" s="1"/>
  <c r="AE1254" i="7"/>
  <c r="AD1254" i="7"/>
  <c r="AB1254" i="7"/>
  <c r="AA1254" i="7"/>
  <c r="Z1254" i="7"/>
  <c r="Y1254" i="7"/>
  <c r="X1254" i="7"/>
  <c r="W1254" i="7"/>
  <c r="V1254" i="7"/>
  <c r="U1254" i="7"/>
  <c r="T1254" i="7"/>
  <c r="S1254" i="7"/>
  <c r="R1254" i="7"/>
  <c r="Q1254" i="7"/>
  <c r="P1254" i="7"/>
  <c r="O1254" i="7"/>
  <c r="N1254" i="7"/>
  <c r="M1254" i="7"/>
  <c r="L1254" i="7"/>
  <c r="K1254" i="7"/>
  <c r="J1254" i="7"/>
  <c r="I1254" i="7"/>
  <c r="H1254" i="7"/>
  <c r="G1254" i="7"/>
  <c r="F1254" i="7"/>
  <c r="E1254" i="7"/>
  <c r="AT1253" i="7"/>
  <c r="AC1253" i="7"/>
  <c r="AC1251" i="7"/>
  <c r="AE1250" i="7"/>
  <c r="AD1250" i="7"/>
  <c r="AB1250" i="7"/>
  <c r="AA1250" i="7"/>
  <c r="Z1250" i="7"/>
  <c r="Y1250" i="7"/>
  <c r="X1250" i="7"/>
  <c r="W1250" i="7"/>
  <c r="V1250" i="7"/>
  <c r="U1250" i="7"/>
  <c r="T1250" i="7"/>
  <c r="S1250" i="7"/>
  <c r="R1250" i="7"/>
  <c r="Q1250" i="7"/>
  <c r="P1250" i="7"/>
  <c r="O1250" i="7"/>
  <c r="N1250" i="7"/>
  <c r="M1250" i="7"/>
  <c r="L1250" i="7"/>
  <c r="K1250" i="7"/>
  <c r="J1250" i="7"/>
  <c r="I1250" i="7"/>
  <c r="H1250" i="7"/>
  <c r="G1250" i="7"/>
  <c r="F1250" i="7"/>
  <c r="E1250" i="7"/>
  <c r="AC1249" i="7"/>
  <c r="AC1248" i="7"/>
  <c r="AC1247" i="7"/>
  <c r="D1247" i="7" s="1"/>
  <c r="AE1246" i="7"/>
  <c r="AD1246" i="7"/>
  <c r="AB1246" i="7"/>
  <c r="AA1246" i="7"/>
  <c r="Z1246" i="7"/>
  <c r="Y1246" i="7"/>
  <c r="X1246" i="7"/>
  <c r="W1246" i="7"/>
  <c r="V1246" i="7"/>
  <c r="U1246" i="7"/>
  <c r="T1246" i="7"/>
  <c r="S1246" i="7"/>
  <c r="R1246" i="7"/>
  <c r="Q1246" i="7"/>
  <c r="P1246" i="7"/>
  <c r="O1246" i="7"/>
  <c r="N1246" i="7"/>
  <c r="M1246" i="7"/>
  <c r="L1246" i="7"/>
  <c r="K1246" i="7"/>
  <c r="J1246" i="7"/>
  <c r="I1246" i="7"/>
  <c r="H1246" i="7"/>
  <c r="G1246" i="7"/>
  <c r="F1246" i="7"/>
  <c r="E1246" i="7"/>
  <c r="AC1245" i="7"/>
  <c r="AC1243" i="7"/>
  <c r="AC1241" i="7"/>
  <c r="AC1240" i="7"/>
  <c r="D1240" i="7" s="1"/>
  <c r="AE1239" i="7"/>
  <c r="AD1239" i="7"/>
  <c r="AB1239" i="7"/>
  <c r="AA1239" i="7"/>
  <c r="Z1239" i="7"/>
  <c r="Y1239" i="7"/>
  <c r="X1239" i="7"/>
  <c r="W1239" i="7"/>
  <c r="V1239" i="7"/>
  <c r="U1239" i="7"/>
  <c r="T1239" i="7"/>
  <c r="S1239" i="7"/>
  <c r="R1239" i="7"/>
  <c r="Q1239" i="7"/>
  <c r="P1239" i="7"/>
  <c r="O1239" i="7"/>
  <c r="N1239" i="7"/>
  <c r="M1239" i="7"/>
  <c r="L1239" i="7"/>
  <c r="K1239" i="7"/>
  <c r="J1239" i="7"/>
  <c r="I1239" i="7"/>
  <c r="H1239" i="7"/>
  <c r="G1239" i="7"/>
  <c r="F1239" i="7"/>
  <c r="E1239" i="7"/>
  <c r="AC1238" i="7"/>
  <c r="AE1237" i="7"/>
  <c r="AD1237" i="7"/>
  <c r="AB1237" i="7"/>
  <c r="AA1237" i="7"/>
  <c r="Z1237" i="7"/>
  <c r="Y1237" i="7"/>
  <c r="X1237" i="7"/>
  <c r="W1237" i="7"/>
  <c r="V1237" i="7"/>
  <c r="U1237" i="7"/>
  <c r="T1237" i="7"/>
  <c r="S1237" i="7"/>
  <c r="R1237" i="7"/>
  <c r="Q1237" i="7"/>
  <c r="P1237" i="7"/>
  <c r="O1237" i="7"/>
  <c r="N1237" i="7"/>
  <c r="M1237" i="7"/>
  <c r="L1237" i="7"/>
  <c r="K1237" i="7"/>
  <c r="J1237" i="7"/>
  <c r="I1237" i="7"/>
  <c r="H1237" i="7"/>
  <c r="G1237" i="7"/>
  <c r="F1237" i="7"/>
  <c r="E1237" i="7"/>
  <c r="AC1236" i="7"/>
  <c r="AE1235" i="7"/>
  <c r="AD1235" i="7"/>
  <c r="AB1235" i="7"/>
  <c r="AA1235" i="7"/>
  <c r="Z1235" i="7"/>
  <c r="Y1235" i="7"/>
  <c r="X1235" i="7"/>
  <c r="W1235" i="7"/>
  <c r="V1235" i="7"/>
  <c r="U1235" i="7"/>
  <c r="T1235" i="7"/>
  <c r="S1235" i="7"/>
  <c r="R1235" i="7"/>
  <c r="Q1235" i="7"/>
  <c r="P1235" i="7"/>
  <c r="O1235" i="7"/>
  <c r="N1235" i="7"/>
  <c r="M1235" i="7"/>
  <c r="L1235" i="7"/>
  <c r="K1235" i="7"/>
  <c r="J1235" i="7"/>
  <c r="I1235" i="7"/>
  <c r="H1235" i="7"/>
  <c r="G1235" i="7"/>
  <c r="F1235" i="7"/>
  <c r="E1235" i="7"/>
  <c r="AC1234" i="7"/>
  <c r="AE1233" i="7"/>
  <c r="AD1233" i="7"/>
  <c r="AB1233" i="7"/>
  <c r="AA1233" i="7"/>
  <c r="Z1233" i="7"/>
  <c r="Y1233" i="7"/>
  <c r="X1233" i="7"/>
  <c r="W1233" i="7"/>
  <c r="V1233" i="7"/>
  <c r="U1233" i="7"/>
  <c r="T1233" i="7"/>
  <c r="S1233" i="7"/>
  <c r="R1233" i="7"/>
  <c r="Q1233" i="7"/>
  <c r="P1233" i="7"/>
  <c r="O1233" i="7"/>
  <c r="N1233" i="7"/>
  <c r="M1233" i="7"/>
  <c r="L1233" i="7"/>
  <c r="K1233" i="7"/>
  <c r="J1233" i="7"/>
  <c r="I1233" i="7"/>
  <c r="H1233" i="7"/>
  <c r="G1233" i="7"/>
  <c r="F1233" i="7"/>
  <c r="E1233" i="7"/>
  <c r="AC1232" i="7"/>
  <c r="AC1231" i="7"/>
  <c r="AC1230" i="7"/>
  <c r="D1230" i="7" s="1"/>
  <c r="AE1229" i="7"/>
  <c r="AD1229" i="7"/>
  <c r="AB1229" i="7"/>
  <c r="AA1229" i="7"/>
  <c r="Z1229" i="7"/>
  <c r="Y1229" i="7"/>
  <c r="X1229" i="7"/>
  <c r="W1229" i="7"/>
  <c r="V1229" i="7"/>
  <c r="U1229" i="7"/>
  <c r="T1229" i="7"/>
  <c r="S1229" i="7"/>
  <c r="R1229" i="7"/>
  <c r="Q1229" i="7"/>
  <c r="P1229" i="7"/>
  <c r="O1229" i="7"/>
  <c r="N1229" i="7"/>
  <c r="M1229" i="7"/>
  <c r="L1229" i="7"/>
  <c r="K1229" i="7"/>
  <c r="J1229" i="7"/>
  <c r="I1229" i="7"/>
  <c r="H1229" i="7"/>
  <c r="G1229" i="7"/>
  <c r="F1229" i="7"/>
  <c r="E1229" i="7"/>
  <c r="AC1228" i="7"/>
  <c r="D1228" i="7" s="1"/>
  <c r="AE1227" i="7"/>
  <c r="AD1227" i="7"/>
  <c r="AB1227" i="7"/>
  <c r="AA1227" i="7"/>
  <c r="Z1227" i="7"/>
  <c r="Y1227" i="7"/>
  <c r="X1227" i="7"/>
  <c r="W1227" i="7"/>
  <c r="V1227" i="7"/>
  <c r="U1227" i="7"/>
  <c r="T1227" i="7"/>
  <c r="S1227" i="7"/>
  <c r="R1227" i="7"/>
  <c r="Q1227" i="7"/>
  <c r="P1227" i="7"/>
  <c r="O1227" i="7"/>
  <c r="N1227" i="7"/>
  <c r="M1227" i="7"/>
  <c r="L1227" i="7"/>
  <c r="K1227" i="7"/>
  <c r="J1227" i="7"/>
  <c r="I1227" i="7"/>
  <c r="H1227" i="7"/>
  <c r="G1227" i="7"/>
  <c r="F1227" i="7"/>
  <c r="E1227" i="7"/>
  <c r="AC1226" i="7"/>
  <c r="AE1225" i="7"/>
  <c r="AD1225" i="7"/>
  <c r="AB1225" i="7"/>
  <c r="AA1225" i="7"/>
  <c r="Z1225" i="7"/>
  <c r="Y1225" i="7"/>
  <c r="X1225" i="7"/>
  <c r="W1225" i="7"/>
  <c r="V1225" i="7"/>
  <c r="U1225" i="7"/>
  <c r="T1225" i="7"/>
  <c r="S1225" i="7"/>
  <c r="R1225" i="7"/>
  <c r="Q1225" i="7"/>
  <c r="P1225" i="7"/>
  <c r="O1225" i="7"/>
  <c r="N1225" i="7"/>
  <c r="M1225" i="7"/>
  <c r="L1225" i="7"/>
  <c r="K1225" i="7"/>
  <c r="J1225" i="7"/>
  <c r="I1225" i="7"/>
  <c r="H1225" i="7"/>
  <c r="G1225" i="7"/>
  <c r="F1225" i="7"/>
  <c r="E1225" i="7"/>
  <c r="AC1224" i="7"/>
  <c r="AE1223" i="7"/>
  <c r="AD1223" i="7"/>
  <c r="AB1223" i="7"/>
  <c r="AA1223" i="7"/>
  <c r="Z1223" i="7"/>
  <c r="Y1223" i="7"/>
  <c r="X1223" i="7"/>
  <c r="W1223" i="7"/>
  <c r="V1223" i="7"/>
  <c r="U1223" i="7"/>
  <c r="T1223" i="7"/>
  <c r="S1223" i="7"/>
  <c r="R1223" i="7"/>
  <c r="Q1223" i="7"/>
  <c r="P1223" i="7"/>
  <c r="O1223" i="7"/>
  <c r="N1223" i="7"/>
  <c r="M1223" i="7"/>
  <c r="L1223" i="7"/>
  <c r="K1223" i="7"/>
  <c r="J1223" i="7"/>
  <c r="I1223" i="7"/>
  <c r="H1223" i="7"/>
  <c r="G1223" i="7"/>
  <c r="F1223" i="7"/>
  <c r="E1223" i="7"/>
  <c r="AC1222" i="7"/>
  <c r="AC1221" i="7"/>
  <c r="AC1220" i="7"/>
  <c r="D1220" i="7" s="1"/>
  <c r="AE1219" i="7"/>
  <c r="AD1219" i="7"/>
  <c r="AB1219" i="7"/>
  <c r="AA1219" i="7"/>
  <c r="Z1219" i="7"/>
  <c r="Y1219" i="7"/>
  <c r="X1219" i="7"/>
  <c r="W1219" i="7"/>
  <c r="V1219" i="7"/>
  <c r="U1219" i="7"/>
  <c r="T1219" i="7"/>
  <c r="S1219" i="7"/>
  <c r="R1219" i="7"/>
  <c r="Q1219" i="7"/>
  <c r="P1219" i="7"/>
  <c r="O1219" i="7"/>
  <c r="N1219" i="7"/>
  <c r="M1219" i="7"/>
  <c r="L1219" i="7"/>
  <c r="K1219" i="7"/>
  <c r="J1219" i="7"/>
  <c r="I1219" i="7"/>
  <c r="H1219" i="7"/>
  <c r="G1219" i="7"/>
  <c r="F1219" i="7"/>
  <c r="E1219" i="7"/>
  <c r="AE1217" i="7"/>
  <c r="AD1217" i="7"/>
  <c r="AB1217" i="7"/>
  <c r="AA1217" i="7"/>
  <c r="Z1217" i="7"/>
  <c r="Y1217" i="7"/>
  <c r="X1217" i="7"/>
  <c r="W1217" i="7"/>
  <c r="V1217" i="7"/>
  <c r="U1217" i="7"/>
  <c r="T1217" i="7"/>
  <c r="S1217" i="7"/>
  <c r="R1217" i="7"/>
  <c r="Q1217" i="7"/>
  <c r="P1217" i="7"/>
  <c r="O1217" i="7"/>
  <c r="N1217" i="7"/>
  <c r="M1217" i="7"/>
  <c r="L1217" i="7"/>
  <c r="K1217" i="7"/>
  <c r="J1217" i="7"/>
  <c r="I1217" i="7"/>
  <c r="H1217" i="7"/>
  <c r="G1217" i="7"/>
  <c r="F1217" i="7"/>
  <c r="E1217" i="7"/>
  <c r="AC1216" i="7"/>
  <c r="AE1215" i="7"/>
  <c r="AD1215" i="7"/>
  <c r="AB1215" i="7"/>
  <c r="AA1215" i="7"/>
  <c r="Z1215" i="7"/>
  <c r="Y1215" i="7"/>
  <c r="X1215" i="7"/>
  <c r="W1215" i="7"/>
  <c r="V1215" i="7"/>
  <c r="U1215" i="7"/>
  <c r="T1215" i="7"/>
  <c r="S1215" i="7"/>
  <c r="R1215" i="7"/>
  <c r="Q1215" i="7"/>
  <c r="P1215" i="7"/>
  <c r="O1215" i="7"/>
  <c r="N1215" i="7"/>
  <c r="M1215" i="7"/>
  <c r="L1215" i="7"/>
  <c r="K1215" i="7"/>
  <c r="J1215" i="7"/>
  <c r="I1215" i="7"/>
  <c r="H1215" i="7"/>
  <c r="G1215" i="7"/>
  <c r="F1215" i="7"/>
  <c r="E1215" i="7"/>
  <c r="AC1214" i="7"/>
  <c r="AE1213" i="7"/>
  <c r="AD1213" i="7"/>
  <c r="AB1213" i="7"/>
  <c r="AA1213" i="7"/>
  <c r="Z1213" i="7"/>
  <c r="Y1213" i="7"/>
  <c r="X1213" i="7"/>
  <c r="W1213" i="7"/>
  <c r="V1213" i="7"/>
  <c r="U1213" i="7"/>
  <c r="T1213" i="7"/>
  <c r="S1213" i="7"/>
  <c r="R1213" i="7"/>
  <c r="Q1213" i="7"/>
  <c r="P1213" i="7"/>
  <c r="O1213" i="7"/>
  <c r="N1213" i="7"/>
  <c r="M1213" i="7"/>
  <c r="L1213" i="7"/>
  <c r="K1213" i="7"/>
  <c r="J1213" i="7"/>
  <c r="I1213" i="7"/>
  <c r="H1213" i="7"/>
  <c r="G1213" i="7"/>
  <c r="F1213" i="7"/>
  <c r="E1213" i="7"/>
  <c r="AC1212" i="7"/>
  <c r="AE1211" i="7"/>
  <c r="AD1211" i="7"/>
  <c r="AB1211" i="7"/>
  <c r="AA1211" i="7"/>
  <c r="Z1211" i="7"/>
  <c r="Y1211" i="7"/>
  <c r="X1211" i="7"/>
  <c r="W1211" i="7"/>
  <c r="V1211" i="7"/>
  <c r="U1211" i="7"/>
  <c r="T1211" i="7"/>
  <c r="S1211" i="7"/>
  <c r="R1211" i="7"/>
  <c r="Q1211" i="7"/>
  <c r="P1211" i="7"/>
  <c r="O1211" i="7"/>
  <c r="N1211" i="7"/>
  <c r="M1211" i="7"/>
  <c r="L1211" i="7"/>
  <c r="K1211" i="7"/>
  <c r="J1211" i="7"/>
  <c r="I1211" i="7"/>
  <c r="H1211" i="7"/>
  <c r="G1211" i="7"/>
  <c r="F1211" i="7"/>
  <c r="E1211" i="7"/>
  <c r="AC1210" i="7"/>
  <c r="D1210" i="7" s="1"/>
  <c r="AE1209" i="7"/>
  <c r="AD1209" i="7"/>
  <c r="AB1209" i="7"/>
  <c r="AA1209" i="7"/>
  <c r="Z1209" i="7"/>
  <c r="Y1209" i="7"/>
  <c r="X1209" i="7"/>
  <c r="W1209" i="7"/>
  <c r="V1209" i="7"/>
  <c r="U1209" i="7"/>
  <c r="T1209" i="7"/>
  <c r="S1209" i="7"/>
  <c r="R1209" i="7"/>
  <c r="Q1209" i="7"/>
  <c r="P1209" i="7"/>
  <c r="O1209" i="7"/>
  <c r="N1209" i="7"/>
  <c r="M1209" i="7"/>
  <c r="L1209" i="7"/>
  <c r="K1209" i="7"/>
  <c r="J1209" i="7"/>
  <c r="I1209" i="7"/>
  <c r="H1209" i="7"/>
  <c r="G1209" i="7"/>
  <c r="F1209" i="7"/>
  <c r="E1209" i="7"/>
  <c r="AC1208" i="7"/>
  <c r="AE1207" i="7"/>
  <c r="AD1207" i="7"/>
  <c r="AB1207" i="7"/>
  <c r="AA1207" i="7"/>
  <c r="Z1207" i="7"/>
  <c r="Y1207" i="7"/>
  <c r="X1207" i="7"/>
  <c r="W1207" i="7"/>
  <c r="V1207" i="7"/>
  <c r="U1207" i="7"/>
  <c r="T1207" i="7"/>
  <c r="S1207" i="7"/>
  <c r="R1207" i="7"/>
  <c r="Q1207" i="7"/>
  <c r="P1207" i="7"/>
  <c r="O1207" i="7"/>
  <c r="N1207" i="7"/>
  <c r="M1207" i="7"/>
  <c r="L1207" i="7"/>
  <c r="K1207" i="7"/>
  <c r="J1207" i="7"/>
  <c r="I1207" i="7"/>
  <c r="H1207" i="7"/>
  <c r="G1207" i="7"/>
  <c r="F1207" i="7"/>
  <c r="E1207" i="7"/>
  <c r="AC1206" i="7"/>
  <c r="AC1205" i="7"/>
  <c r="AC1204" i="7"/>
  <c r="AE1203" i="7"/>
  <c r="AD1203" i="7"/>
  <c r="AB1203" i="7"/>
  <c r="AA1203" i="7"/>
  <c r="Z1203" i="7"/>
  <c r="Y1203" i="7"/>
  <c r="X1203" i="7"/>
  <c r="W1203" i="7"/>
  <c r="V1203" i="7"/>
  <c r="U1203" i="7"/>
  <c r="T1203" i="7"/>
  <c r="S1203" i="7"/>
  <c r="R1203" i="7"/>
  <c r="Q1203" i="7"/>
  <c r="P1203" i="7"/>
  <c r="O1203" i="7"/>
  <c r="N1203" i="7"/>
  <c r="M1203" i="7"/>
  <c r="L1203" i="7"/>
  <c r="K1203" i="7"/>
  <c r="J1203" i="7"/>
  <c r="I1203" i="7"/>
  <c r="H1203" i="7"/>
  <c r="G1203" i="7"/>
  <c r="F1203" i="7"/>
  <c r="E1203" i="7"/>
  <c r="AC1202" i="7"/>
  <c r="AE1201" i="7"/>
  <c r="AD1201" i="7"/>
  <c r="AB1201" i="7"/>
  <c r="AA1201" i="7"/>
  <c r="Z1201" i="7"/>
  <c r="Y1201" i="7"/>
  <c r="X1201" i="7"/>
  <c r="W1201" i="7"/>
  <c r="V1201" i="7"/>
  <c r="U1201" i="7"/>
  <c r="T1201" i="7"/>
  <c r="S1201" i="7"/>
  <c r="R1201" i="7"/>
  <c r="Q1201" i="7"/>
  <c r="P1201" i="7"/>
  <c r="O1201" i="7"/>
  <c r="N1201" i="7"/>
  <c r="M1201" i="7"/>
  <c r="L1201" i="7"/>
  <c r="K1201" i="7"/>
  <c r="J1201" i="7"/>
  <c r="I1201" i="7"/>
  <c r="H1201" i="7"/>
  <c r="G1201" i="7"/>
  <c r="F1201" i="7"/>
  <c r="E1201" i="7"/>
  <c r="AC1200" i="7"/>
  <c r="AC1199" i="7"/>
  <c r="D1199" i="7" s="1"/>
  <c r="AE1198" i="7"/>
  <c r="AD1198" i="7"/>
  <c r="AB1198" i="7"/>
  <c r="AA1198" i="7"/>
  <c r="Z1198" i="7"/>
  <c r="Y1198" i="7"/>
  <c r="X1198" i="7"/>
  <c r="W1198" i="7"/>
  <c r="V1198" i="7"/>
  <c r="U1198" i="7"/>
  <c r="T1198" i="7"/>
  <c r="S1198" i="7"/>
  <c r="R1198" i="7"/>
  <c r="Q1198" i="7"/>
  <c r="P1198" i="7"/>
  <c r="O1198" i="7"/>
  <c r="N1198" i="7"/>
  <c r="M1198" i="7"/>
  <c r="L1198" i="7"/>
  <c r="K1198" i="7"/>
  <c r="J1198" i="7"/>
  <c r="I1198" i="7"/>
  <c r="H1198" i="7"/>
  <c r="G1198" i="7"/>
  <c r="F1198" i="7"/>
  <c r="E1198" i="7"/>
  <c r="AC1197" i="7"/>
  <c r="AC1196" i="7"/>
  <c r="AC1195" i="7"/>
  <c r="D1195" i="7" s="1"/>
  <c r="AE1194" i="7"/>
  <c r="AD1194" i="7"/>
  <c r="AB1194" i="7"/>
  <c r="AA1194" i="7"/>
  <c r="Z1194" i="7"/>
  <c r="Y1194" i="7"/>
  <c r="X1194" i="7"/>
  <c r="W1194" i="7"/>
  <c r="V1194" i="7"/>
  <c r="U1194" i="7"/>
  <c r="T1194" i="7"/>
  <c r="S1194" i="7"/>
  <c r="R1194" i="7"/>
  <c r="Q1194" i="7"/>
  <c r="P1194" i="7"/>
  <c r="O1194" i="7"/>
  <c r="N1194" i="7"/>
  <c r="M1194" i="7"/>
  <c r="L1194" i="7"/>
  <c r="K1194" i="7"/>
  <c r="J1194" i="7"/>
  <c r="I1194" i="7"/>
  <c r="H1194" i="7"/>
  <c r="G1194" i="7"/>
  <c r="F1194" i="7"/>
  <c r="E1194" i="7"/>
  <c r="AC1193" i="7"/>
  <c r="AC1192" i="7"/>
  <c r="AE1191" i="7"/>
  <c r="AD1191" i="7"/>
  <c r="AB1191" i="7"/>
  <c r="AA1191" i="7"/>
  <c r="Z1191" i="7"/>
  <c r="Y1191" i="7"/>
  <c r="X1191" i="7"/>
  <c r="W1191" i="7"/>
  <c r="V1191" i="7"/>
  <c r="U1191" i="7"/>
  <c r="T1191" i="7"/>
  <c r="S1191" i="7"/>
  <c r="R1191" i="7"/>
  <c r="Q1191" i="7"/>
  <c r="P1191" i="7"/>
  <c r="O1191" i="7"/>
  <c r="N1191" i="7"/>
  <c r="M1191" i="7"/>
  <c r="L1191" i="7"/>
  <c r="K1191" i="7"/>
  <c r="J1191" i="7"/>
  <c r="I1191" i="7"/>
  <c r="H1191" i="7"/>
  <c r="G1191" i="7"/>
  <c r="F1191" i="7"/>
  <c r="E1191" i="7"/>
  <c r="U1190" i="7"/>
  <c r="AC1190" i="7" s="1"/>
  <c r="N1189" i="7"/>
  <c r="AC1189" i="7" s="1"/>
  <c r="N1188" i="7"/>
  <c r="AC1188" i="7" s="1"/>
  <c r="N1187" i="7"/>
  <c r="AC1187" i="7" s="1"/>
  <c r="N1185" i="7"/>
  <c r="AC1185" i="7" s="1"/>
  <c r="AE1184" i="7"/>
  <c r="AD1184" i="7"/>
  <c r="AB1184" i="7"/>
  <c r="AA1184" i="7"/>
  <c r="Z1184" i="7"/>
  <c r="Y1184" i="7"/>
  <c r="X1184" i="7"/>
  <c r="W1184" i="7"/>
  <c r="V1184" i="7"/>
  <c r="T1184" i="7"/>
  <c r="S1184" i="7"/>
  <c r="R1184" i="7"/>
  <c r="Q1184" i="7"/>
  <c r="P1184" i="7"/>
  <c r="O1184" i="7"/>
  <c r="M1184" i="7"/>
  <c r="L1184" i="7"/>
  <c r="K1184" i="7"/>
  <c r="J1184" i="7"/>
  <c r="I1184" i="7"/>
  <c r="H1184" i="7"/>
  <c r="G1184" i="7"/>
  <c r="F1184" i="7"/>
  <c r="E1184" i="7"/>
  <c r="AC1183" i="7"/>
  <c r="AE1182" i="7"/>
  <c r="AD1182" i="7"/>
  <c r="AB1182" i="7"/>
  <c r="AA1182" i="7"/>
  <c r="Z1182" i="7"/>
  <c r="Y1182" i="7"/>
  <c r="X1182" i="7"/>
  <c r="W1182" i="7"/>
  <c r="V1182" i="7"/>
  <c r="U1182" i="7"/>
  <c r="T1182" i="7"/>
  <c r="S1182" i="7"/>
  <c r="R1182" i="7"/>
  <c r="Q1182" i="7"/>
  <c r="P1182" i="7"/>
  <c r="O1182" i="7"/>
  <c r="N1182" i="7"/>
  <c r="M1182" i="7"/>
  <c r="L1182" i="7"/>
  <c r="K1182" i="7"/>
  <c r="J1182" i="7"/>
  <c r="I1182" i="7"/>
  <c r="H1182" i="7"/>
  <c r="G1182" i="7"/>
  <c r="F1182" i="7"/>
  <c r="E1182" i="7"/>
  <c r="AC1181" i="7"/>
  <c r="D1181" i="7" s="1"/>
  <c r="AE1180" i="7"/>
  <c r="AD1180" i="7"/>
  <c r="AB1180" i="7"/>
  <c r="AA1180" i="7"/>
  <c r="Z1180" i="7"/>
  <c r="Y1180" i="7"/>
  <c r="X1180" i="7"/>
  <c r="W1180" i="7"/>
  <c r="V1180" i="7"/>
  <c r="U1180" i="7"/>
  <c r="T1180" i="7"/>
  <c r="S1180" i="7"/>
  <c r="R1180" i="7"/>
  <c r="Q1180" i="7"/>
  <c r="P1180" i="7"/>
  <c r="O1180" i="7"/>
  <c r="N1180" i="7"/>
  <c r="M1180" i="7"/>
  <c r="L1180" i="7"/>
  <c r="K1180" i="7"/>
  <c r="J1180" i="7"/>
  <c r="I1180" i="7"/>
  <c r="H1180" i="7"/>
  <c r="G1180" i="7"/>
  <c r="F1180" i="7"/>
  <c r="E1180" i="7"/>
  <c r="AC1179" i="7"/>
  <c r="D1179" i="7" s="1"/>
  <c r="AE1178" i="7"/>
  <c r="AD1178" i="7"/>
  <c r="AB1178" i="7"/>
  <c r="AA1178" i="7"/>
  <c r="Z1178" i="7"/>
  <c r="Y1178" i="7"/>
  <c r="X1178" i="7"/>
  <c r="W1178" i="7"/>
  <c r="V1178" i="7"/>
  <c r="U1178" i="7"/>
  <c r="T1178" i="7"/>
  <c r="S1178" i="7"/>
  <c r="R1178" i="7"/>
  <c r="Q1178" i="7"/>
  <c r="P1178" i="7"/>
  <c r="O1178" i="7"/>
  <c r="N1178" i="7"/>
  <c r="M1178" i="7"/>
  <c r="L1178" i="7"/>
  <c r="K1178" i="7"/>
  <c r="J1178" i="7"/>
  <c r="I1178" i="7"/>
  <c r="H1178" i="7"/>
  <c r="G1178" i="7"/>
  <c r="F1178" i="7"/>
  <c r="E1178" i="7"/>
  <c r="AC1177" i="7"/>
  <c r="AC1176" i="7"/>
  <c r="D1176" i="7" s="1"/>
  <c r="AE1175" i="7"/>
  <c r="AD1175" i="7"/>
  <c r="AB1175" i="7"/>
  <c r="AA1175" i="7"/>
  <c r="Z1175" i="7"/>
  <c r="Y1175" i="7"/>
  <c r="X1175" i="7"/>
  <c r="W1175" i="7"/>
  <c r="V1175" i="7"/>
  <c r="U1175" i="7"/>
  <c r="T1175" i="7"/>
  <c r="S1175" i="7"/>
  <c r="R1175" i="7"/>
  <c r="Q1175" i="7"/>
  <c r="P1175" i="7"/>
  <c r="O1175" i="7"/>
  <c r="N1175" i="7"/>
  <c r="M1175" i="7"/>
  <c r="L1175" i="7"/>
  <c r="K1175" i="7"/>
  <c r="J1175" i="7"/>
  <c r="I1175" i="7"/>
  <c r="H1175" i="7"/>
  <c r="G1175" i="7"/>
  <c r="F1175" i="7"/>
  <c r="E1175" i="7"/>
  <c r="AC1174" i="7"/>
  <c r="D1174" i="7" s="1"/>
  <c r="AC1171" i="7"/>
  <c r="AE1170" i="7"/>
  <c r="AD1170" i="7"/>
  <c r="AB1170" i="7"/>
  <c r="AA1170" i="7"/>
  <c r="Z1170" i="7"/>
  <c r="Y1170" i="7"/>
  <c r="X1170" i="7"/>
  <c r="W1170" i="7"/>
  <c r="V1170" i="7"/>
  <c r="U1170" i="7"/>
  <c r="T1170" i="7"/>
  <c r="S1170" i="7"/>
  <c r="R1170" i="7"/>
  <c r="Q1170" i="7"/>
  <c r="P1170" i="7"/>
  <c r="O1170" i="7"/>
  <c r="N1170" i="7"/>
  <c r="M1170" i="7"/>
  <c r="L1170" i="7"/>
  <c r="K1170" i="7"/>
  <c r="J1170" i="7"/>
  <c r="I1170" i="7"/>
  <c r="H1170" i="7"/>
  <c r="G1170" i="7"/>
  <c r="F1170" i="7"/>
  <c r="E1170" i="7"/>
  <c r="AC1169" i="7"/>
  <c r="AE1168" i="7"/>
  <c r="AD1168" i="7"/>
  <c r="AB1168" i="7"/>
  <c r="AA1168" i="7"/>
  <c r="Z1168" i="7"/>
  <c r="Y1168" i="7"/>
  <c r="X1168" i="7"/>
  <c r="W1168" i="7"/>
  <c r="V1168" i="7"/>
  <c r="U1168" i="7"/>
  <c r="T1168" i="7"/>
  <c r="S1168" i="7"/>
  <c r="R1168" i="7"/>
  <c r="Q1168" i="7"/>
  <c r="P1168" i="7"/>
  <c r="O1168" i="7"/>
  <c r="N1168" i="7"/>
  <c r="M1168" i="7"/>
  <c r="L1168" i="7"/>
  <c r="K1168" i="7"/>
  <c r="J1168" i="7"/>
  <c r="I1168" i="7"/>
  <c r="H1168" i="7"/>
  <c r="G1168" i="7"/>
  <c r="F1168" i="7"/>
  <c r="E1168" i="7"/>
  <c r="AC1167" i="7"/>
  <c r="D1167" i="7" s="1"/>
  <c r="AE1166" i="7"/>
  <c r="AD1166" i="7"/>
  <c r="AB1166" i="7"/>
  <c r="AA1166" i="7"/>
  <c r="Z1166" i="7"/>
  <c r="Y1166" i="7"/>
  <c r="X1166" i="7"/>
  <c r="W1166" i="7"/>
  <c r="V1166" i="7"/>
  <c r="U1166" i="7"/>
  <c r="T1166" i="7"/>
  <c r="S1166" i="7"/>
  <c r="R1166" i="7"/>
  <c r="Q1166" i="7"/>
  <c r="P1166" i="7"/>
  <c r="O1166" i="7"/>
  <c r="N1166" i="7"/>
  <c r="M1166" i="7"/>
  <c r="L1166" i="7"/>
  <c r="K1166" i="7"/>
  <c r="J1166" i="7"/>
  <c r="I1166" i="7"/>
  <c r="H1166" i="7"/>
  <c r="G1166" i="7"/>
  <c r="F1166" i="7"/>
  <c r="E1166" i="7"/>
  <c r="AC1165" i="7"/>
  <c r="AC1163" i="7"/>
  <c r="D1163" i="7" s="1"/>
  <c r="AT1159" i="7"/>
  <c r="AC1159" i="7"/>
  <c r="AC1158" i="7"/>
  <c r="D1158" i="7" s="1"/>
  <c r="AC1157" i="7"/>
  <c r="AC1156" i="7"/>
  <c r="AE1155" i="7"/>
  <c r="AD1155" i="7"/>
  <c r="AB1155" i="7"/>
  <c r="AA1155" i="7"/>
  <c r="Z1155" i="7"/>
  <c r="Y1155" i="7"/>
  <c r="X1155" i="7"/>
  <c r="W1155" i="7"/>
  <c r="V1155" i="7"/>
  <c r="U1155" i="7"/>
  <c r="T1155" i="7"/>
  <c r="S1155" i="7"/>
  <c r="R1155" i="7"/>
  <c r="Q1155" i="7"/>
  <c r="P1155" i="7"/>
  <c r="O1155" i="7"/>
  <c r="N1155" i="7"/>
  <c r="M1155" i="7"/>
  <c r="L1155" i="7"/>
  <c r="K1155" i="7"/>
  <c r="J1155" i="7"/>
  <c r="I1155" i="7"/>
  <c r="H1155" i="7"/>
  <c r="G1155" i="7"/>
  <c r="F1155" i="7"/>
  <c r="E1155" i="7"/>
  <c r="AC1154" i="7"/>
  <c r="D1154" i="7" s="1"/>
  <c r="AE1153" i="7"/>
  <c r="AD1153" i="7"/>
  <c r="AB1153" i="7"/>
  <c r="AA1153" i="7"/>
  <c r="Z1153" i="7"/>
  <c r="Y1153" i="7"/>
  <c r="X1153" i="7"/>
  <c r="W1153" i="7"/>
  <c r="V1153" i="7"/>
  <c r="U1153" i="7"/>
  <c r="T1153" i="7"/>
  <c r="S1153" i="7"/>
  <c r="R1153" i="7"/>
  <c r="Q1153" i="7"/>
  <c r="P1153" i="7"/>
  <c r="O1153" i="7"/>
  <c r="N1153" i="7"/>
  <c r="M1153" i="7"/>
  <c r="L1153" i="7"/>
  <c r="K1153" i="7"/>
  <c r="J1153" i="7"/>
  <c r="I1153" i="7"/>
  <c r="H1153" i="7"/>
  <c r="G1153" i="7"/>
  <c r="F1153" i="7"/>
  <c r="E1153" i="7"/>
  <c r="AC1152" i="7"/>
  <c r="D1152" i="7" s="1"/>
  <c r="AE1151" i="7"/>
  <c r="AD1151" i="7"/>
  <c r="AB1151" i="7"/>
  <c r="AA1151" i="7"/>
  <c r="Z1151" i="7"/>
  <c r="Y1151" i="7"/>
  <c r="X1151" i="7"/>
  <c r="W1151" i="7"/>
  <c r="V1151" i="7"/>
  <c r="U1151" i="7"/>
  <c r="T1151" i="7"/>
  <c r="S1151" i="7"/>
  <c r="R1151" i="7"/>
  <c r="Q1151" i="7"/>
  <c r="P1151" i="7"/>
  <c r="O1151" i="7"/>
  <c r="N1151" i="7"/>
  <c r="M1151" i="7"/>
  <c r="L1151" i="7"/>
  <c r="K1151" i="7"/>
  <c r="J1151" i="7"/>
  <c r="I1151" i="7"/>
  <c r="H1151" i="7"/>
  <c r="G1151" i="7"/>
  <c r="F1151" i="7"/>
  <c r="E1151" i="7"/>
  <c r="AC1150" i="7"/>
  <c r="AC1149" i="7"/>
  <c r="AE1148" i="7"/>
  <c r="AD1148" i="7"/>
  <c r="AB1148" i="7"/>
  <c r="AA1148" i="7"/>
  <c r="Z1148" i="7"/>
  <c r="Y1148" i="7"/>
  <c r="X1148" i="7"/>
  <c r="W1148" i="7"/>
  <c r="V1148" i="7"/>
  <c r="U1148" i="7"/>
  <c r="T1148" i="7"/>
  <c r="S1148" i="7"/>
  <c r="R1148" i="7"/>
  <c r="Q1148" i="7"/>
  <c r="P1148" i="7"/>
  <c r="O1148" i="7"/>
  <c r="N1148" i="7"/>
  <c r="M1148" i="7"/>
  <c r="L1148" i="7"/>
  <c r="K1148" i="7"/>
  <c r="J1148" i="7"/>
  <c r="I1148" i="7"/>
  <c r="H1148" i="7"/>
  <c r="G1148" i="7"/>
  <c r="F1148" i="7"/>
  <c r="E1148" i="7"/>
  <c r="AC1147" i="7"/>
  <c r="D1147" i="7" s="1"/>
  <c r="AE1146" i="7"/>
  <c r="AD1146" i="7"/>
  <c r="AB1146" i="7"/>
  <c r="AA1146" i="7"/>
  <c r="Z1146" i="7"/>
  <c r="Y1146" i="7"/>
  <c r="X1146" i="7"/>
  <c r="W1146" i="7"/>
  <c r="V1146" i="7"/>
  <c r="U1146" i="7"/>
  <c r="T1146" i="7"/>
  <c r="S1146" i="7"/>
  <c r="R1146" i="7"/>
  <c r="Q1146" i="7"/>
  <c r="P1146" i="7"/>
  <c r="O1146" i="7"/>
  <c r="N1146" i="7"/>
  <c r="M1146" i="7"/>
  <c r="L1146" i="7"/>
  <c r="K1146" i="7"/>
  <c r="J1146" i="7"/>
  <c r="I1146" i="7"/>
  <c r="H1146" i="7"/>
  <c r="G1146" i="7"/>
  <c r="F1146" i="7"/>
  <c r="E1146" i="7"/>
  <c r="AC1145" i="7"/>
  <c r="D1145" i="7" s="1"/>
  <c r="AE1144" i="7"/>
  <c r="AD1144" i="7"/>
  <c r="AB1144" i="7"/>
  <c r="AA1144" i="7"/>
  <c r="Z1144" i="7"/>
  <c r="Y1144" i="7"/>
  <c r="X1144" i="7"/>
  <c r="W1144" i="7"/>
  <c r="V1144" i="7"/>
  <c r="U1144" i="7"/>
  <c r="T1144" i="7"/>
  <c r="S1144" i="7"/>
  <c r="R1144" i="7"/>
  <c r="Q1144" i="7"/>
  <c r="P1144" i="7"/>
  <c r="O1144" i="7"/>
  <c r="N1144" i="7"/>
  <c r="M1144" i="7"/>
  <c r="L1144" i="7"/>
  <c r="K1144" i="7"/>
  <c r="J1144" i="7"/>
  <c r="I1144" i="7"/>
  <c r="H1144" i="7"/>
  <c r="G1144" i="7"/>
  <c r="F1144" i="7"/>
  <c r="E1144" i="7"/>
  <c r="AC1143" i="7"/>
  <c r="AC1142" i="7"/>
  <c r="D1142" i="7" s="1"/>
  <c r="AE1141" i="7"/>
  <c r="AD1141" i="7"/>
  <c r="AB1141" i="7"/>
  <c r="AA1141" i="7"/>
  <c r="Z1141" i="7"/>
  <c r="Y1141" i="7"/>
  <c r="X1141" i="7"/>
  <c r="W1141" i="7"/>
  <c r="V1141" i="7"/>
  <c r="U1141" i="7"/>
  <c r="T1141" i="7"/>
  <c r="S1141" i="7"/>
  <c r="R1141" i="7"/>
  <c r="Q1141" i="7"/>
  <c r="P1141" i="7"/>
  <c r="O1141" i="7"/>
  <c r="N1141" i="7"/>
  <c r="M1141" i="7"/>
  <c r="L1141" i="7"/>
  <c r="K1141" i="7"/>
  <c r="J1141" i="7"/>
  <c r="I1141" i="7"/>
  <c r="H1141" i="7"/>
  <c r="G1141" i="7"/>
  <c r="F1141" i="7"/>
  <c r="E1141" i="7"/>
  <c r="AC1138" i="7"/>
  <c r="AC1135" i="7"/>
  <c r="AE1134" i="7"/>
  <c r="AD1134" i="7"/>
  <c r="AB1134" i="7"/>
  <c r="AA1134" i="7"/>
  <c r="Z1134" i="7"/>
  <c r="Y1134" i="7"/>
  <c r="X1134" i="7"/>
  <c r="W1134" i="7"/>
  <c r="V1134" i="7"/>
  <c r="U1134" i="7"/>
  <c r="T1134" i="7"/>
  <c r="S1134" i="7"/>
  <c r="R1134" i="7"/>
  <c r="Q1134" i="7"/>
  <c r="P1134" i="7"/>
  <c r="O1134" i="7"/>
  <c r="N1134" i="7"/>
  <c r="M1134" i="7"/>
  <c r="L1134" i="7"/>
  <c r="K1134" i="7"/>
  <c r="J1134" i="7"/>
  <c r="I1134" i="7"/>
  <c r="H1134" i="7"/>
  <c r="G1134" i="7"/>
  <c r="F1134" i="7"/>
  <c r="E1134" i="7"/>
  <c r="AC1133" i="7"/>
  <c r="AC1132" i="7"/>
  <c r="AC1131" i="7"/>
  <c r="AC1130" i="7"/>
  <c r="AC1129" i="7"/>
  <c r="AC1127" i="7"/>
  <c r="AC1126" i="7"/>
  <c r="AE1125" i="7"/>
  <c r="AD1125" i="7"/>
  <c r="AB1125" i="7"/>
  <c r="AA1125" i="7"/>
  <c r="Z1125" i="7"/>
  <c r="Y1125" i="7"/>
  <c r="X1125" i="7"/>
  <c r="W1125" i="7"/>
  <c r="V1125" i="7"/>
  <c r="U1125" i="7"/>
  <c r="T1125" i="7"/>
  <c r="S1125" i="7"/>
  <c r="R1125" i="7"/>
  <c r="Q1125" i="7"/>
  <c r="P1125" i="7"/>
  <c r="O1125" i="7"/>
  <c r="N1125" i="7"/>
  <c r="M1125" i="7"/>
  <c r="L1125" i="7"/>
  <c r="K1125" i="7"/>
  <c r="J1125" i="7"/>
  <c r="I1125" i="7"/>
  <c r="H1125" i="7"/>
  <c r="G1125" i="7"/>
  <c r="F1125" i="7"/>
  <c r="E1125" i="7"/>
  <c r="AC1124" i="7"/>
  <c r="AC1123" i="7"/>
  <c r="AE1122" i="7"/>
  <c r="AD1122" i="7"/>
  <c r="AB1122" i="7"/>
  <c r="AA1122" i="7"/>
  <c r="Z1122" i="7"/>
  <c r="Y1122" i="7"/>
  <c r="X1122" i="7"/>
  <c r="W1122" i="7"/>
  <c r="V1122" i="7"/>
  <c r="U1122" i="7"/>
  <c r="T1122" i="7"/>
  <c r="S1122" i="7"/>
  <c r="R1122" i="7"/>
  <c r="Q1122" i="7"/>
  <c r="P1122" i="7"/>
  <c r="O1122" i="7"/>
  <c r="N1122" i="7"/>
  <c r="M1122" i="7"/>
  <c r="L1122" i="7"/>
  <c r="K1122" i="7"/>
  <c r="J1122" i="7"/>
  <c r="I1122" i="7"/>
  <c r="H1122" i="7"/>
  <c r="G1122" i="7"/>
  <c r="F1122" i="7"/>
  <c r="E1122" i="7"/>
  <c r="AC1121" i="7"/>
  <c r="AC1120" i="7"/>
  <c r="N1119" i="7"/>
  <c r="AC1119" i="7" s="1"/>
  <c r="AC1117" i="7"/>
  <c r="AC1116" i="7"/>
  <c r="AT1115" i="7"/>
  <c r="AC1115" i="7"/>
  <c r="AC1113" i="7"/>
  <c r="AC1112" i="7"/>
  <c r="AC1111" i="7"/>
  <c r="D1111" i="7" s="1"/>
  <c r="AE1110" i="7"/>
  <c r="AD1110" i="7"/>
  <c r="AB1110" i="7"/>
  <c r="AA1110" i="7"/>
  <c r="Z1110" i="7"/>
  <c r="Y1110" i="7"/>
  <c r="X1110" i="7"/>
  <c r="W1110" i="7"/>
  <c r="V1110" i="7"/>
  <c r="U1110" i="7"/>
  <c r="T1110" i="7"/>
  <c r="S1110" i="7"/>
  <c r="R1110" i="7"/>
  <c r="Q1110" i="7"/>
  <c r="P1110" i="7"/>
  <c r="O1110" i="7"/>
  <c r="M1110" i="7"/>
  <c r="L1110" i="7"/>
  <c r="K1110" i="7"/>
  <c r="J1110" i="7"/>
  <c r="I1110" i="7"/>
  <c r="H1110" i="7"/>
  <c r="G1110" i="7"/>
  <c r="F1110" i="7"/>
  <c r="E1110" i="7"/>
  <c r="AC1108" i="7"/>
  <c r="AC1107" i="7"/>
  <c r="AC1106" i="7"/>
  <c r="AC1105" i="7"/>
  <c r="AC1104" i="7"/>
  <c r="AC1103" i="7"/>
  <c r="AC1102" i="7"/>
  <c r="AC1101" i="7"/>
  <c r="AC1100" i="7"/>
  <c r="AC1099" i="7"/>
  <c r="AC1098" i="7"/>
  <c r="AT1097" i="7"/>
  <c r="AC1096" i="7"/>
  <c r="AC1095" i="7"/>
  <c r="AC1094" i="7"/>
  <c r="AC1093" i="7"/>
  <c r="AC1092" i="7"/>
  <c r="AC1091" i="7"/>
  <c r="AC1090" i="7"/>
  <c r="AC1089" i="7"/>
  <c r="N1083" i="7"/>
  <c r="AC1087" i="7"/>
  <c r="AC1086" i="7"/>
  <c r="AC1084" i="7"/>
  <c r="AE1083" i="7"/>
  <c r="AD1083" i="7"/>
  <c r="AB1083" i="7"/>
  <c r="AA1083" i="7"/>
  <c r="Z1083" i="7"/>
  <c r="Y1083" i="7"/>
  <c r="X1083" i="7"/>
  <c r="W1083" i="7"/>
  <c r="V1083" i="7"/>
  <c r="U1083" i="7"/>
  <c r="T1083" i="7"/>
  <c r="S1083" i="7"/>
  <c r="R1083" i="7"/>
  <c r="Q1083" i="7"/>
  <c r="P1083" i="7"/>
  <c r="O1083" i="7"/>
  <c r="M1083" i="7"/>
  <c r="L1083" i="7"/>
  <c r="K1083" i="7"/>
  <c r="J1083" i="7"/>
  <c r="I1083" i="7"/>
  <c r="H1083" i="7"/>
  <c r="G1083" i="7"/>
  <c r="F1083" i="7"/>
  <c r="E1083" i="7"/>
  <c r="AC1082" i="7"/>
  <c r="AC1081" i="7"/>
  <c r="N1080" i="7"/>
  <c r="AC1080" i="7" s="1"/>
  <c r="AC1079" i="7"/>
  <c r="N1078" i="7"/>
  <c r="AC1078" i="7" s="1"/>
  <c r="AC1077" i="7"/>
  <c r="AC1076" i="7"/>
  <c r="AC1075" i="7"/>
  <c r="AC1074" i="7"/>
  <c r="AC1073" i="7"/>
  <c r="AC1072" i="7"/>
  <c r="AC1071" i="7"/>
  <c r="AC1070" i="7"/>
  <c r="AC1069" i="7"/>
  <c r="D1069" i="7" s="1"/>
  <c r="AE1068" i="7"/>
  <c r="AD1068" i="7"/>
  <c r="AB1068" i="7"/>
  <c r="AA1068" i="7"/>
  <c r="Z1068" i="7"/>
  <c r="Y1068" i="7"/>
  <c r="X1068" i="7"/>
  <c r="W1068" i="7"/>
  <c r="V1068" i="7"/>
  <c r="U1068" i="7"/>
  <c r="T1068" i="7"/>
  <c r="S1068" i="7"/>
  <c r="R1068" i="7"/>
  <c r="Q1068" i="7"/>
  <c r="P1068" i="7"/>
  <c r="O1068" i="7"/>
  <c r="M1068" i="7"/>
  <c r="L1068" i="7"/>
  <c r="K1068" i="7"/>
  <c r="J1068" i="7"/>
  <c r="I1068" i="7"/>
  <c r="H1068" i="7"/>
  <c r="G1068" i="7"/>
  <c r="F1068" i="7"/>
  <c r="E1068" i="7"/>
  <c r="D1006" i="7"/>
  <c r="B1006" i="7"/>
  <c r="AE1005" i="7"/>
  <c r="AD1005" i="7"/>
  <c r="AC1005" i="7"/>
  <c r="AB1005" i="7"/>
  <c r="AA1005" i="7"/>
  <c r="Z1005" i="7"/>
  <c r="Y1005" i="7"/>
  <c r="X1005" i="7"/>
  <c r="W1005" i="7"/>
  <c r="V1005" i="7"/>
  <c r="U1005" i="7"/>
  <c r="T1005" i="7"/>
  <c r="S1005" i="7"/>
  <c r="R1005" i="7"/>
  <c r="Q1005" i="7"/>
  <c r="P1005" i="7"/>
  <c r="O1005" i="7"/>
  <c r="M1005" i="7"/>
  <c r="L1005" i="7"/>
  <c r="K1005" i="7"/>
  <c r="J1005" i="7"/>
  <c r="I1005" i="7"/>
  <c r="H1005" i="7"/>
  <c r="G1005" i="7"/>
  <c r="F1005" i="7"/>
  <c r="E1005" i="7"/>
  <c r="AC1001" i="7"/>
  <c r="D1001" i="7" s="1"/>
  <c r="AE1000" i="7"/>
  <c r="AD1000" i="7"/>
  <c r="AB1000" i="7"/>
  <c r="AA1000" i="7"/>
  <c r="Z1000" i="7"/>
  <c r="Y1000" i="7"/>
  <c r="X1000" i="7"/>
  <c r="W1000" i="7"/>
  <c r="V1000" i="7"/>
  <c r="U1000" i="7"/>
  <c r="T1000" i="7"/>
  <c r="S1000" i="7"/>
  <c r="R1000" i="7"/>
  <c r="Q1000" i="7"/>
  <c r="P1000" i="7"/>
  <c r="O1000" i="7"/>
  <c r="M1000" i="7"/>
  <c r="L1000" i="7"/>
  <c r="K1000" i="7"/>
  <c r="J1000" i="7"/>
  <c r="I1000" i="7"/>
  <c r="H1000" i="7"/>
  <c r="G1000" i="7"/>
  <c r="F1000" i="7"/>
  <c r="E1000" i="7"/>
  <c r="AC996" i="7"/>
  <c r="AC990" i="7"/>
  <c r="D990" i="7" s="1"/>
  <c r="AC989" i="7"/>
  <c r="AC985" i="7"/>
  <c r="D985" i="7" s="1"/>
  <c r="AE984" i="7"/>
  <c r="AD984" i="7"/>
  <c r="AB984" i="7"/>
  <c r="AA984" i="7"/>
  <c r="Z984" i="7"/>
  <c r="Y984" i="7"/>
  <c r="X984" i="7"/>
  <c r="W984" i="7"/>
  <c r="V984" i="7"/>
  <c r="U984" i="7"/>
  <c r="T984" i="7"/>
  <c r="S984" i="7"/>
  <c r="R984" i="7"/>
  <c r="Q984" i="7"/>
  <c r="P984" i="7"/>
  <c r="O984" i="7"/>
  <c r="M984" i="7"/>
  <c r="L984" i="7"/>
  <c r="K984" i="7"/>
  <c r="J984" i="7"/>
  <c r="I984" i="7"/>
  <c r="H984" i="7"/>
  <c r="G984" i="7"/>
  <c r="F984" i="7"/>
  <c r="E984" i="7"/>
  <c r="AC979" i="7"/>
  <c r="AC977" i="7"/>
  <c r="AE976" i="7"/>
  <c r="AD976" i="7"/>
  <c r="AB976" i="7"/>
  <c r="AA976" i="7"/>
  <c r="Z976" i="7"/>
  <c r="Y976" i="7"/>
  <c r="X976" i="7"/>
  <c r="W976" i="7"/>
  <c r="V976" i="7"/>
  <c r="U976" i="7"/>
  <c r="T976" i="7"/>
  <c r="S976" i="7"/>
  <c r="R976" i="7"/>
  <c r="Q976" i="7"/>
  <c r="P976" i="7"/>
  <c r="O976" i="7"/>
  <c r="M976" i="7"/>
  <c r="L976" i="7"/>
  <c r="K976" i="7"/>
  <c r="J976" i="7"/>
  <c r="I976" i="7"/>
  <c r="H976" i="7"/>
  <c r="G976" i="7"/>
  <c r="F976" i="7"/>
  <c r="E976" i="7"/>
  <c r="AC973" i="7"/>
  <c r="D973" i="7" s="1"/>
  <c r="AE972" i="7"/>
  <c r="AD972" i="7"/>
  <c r="AB972" i="7"/>
  <c r="AA972" i="7"/>
  <c r="Z972" i="7"/>
  <c r="Y972" i="7"/>
  <c r="X972" i="7"/>
  <c r="W972" i="7"/>
  <c r="V972" i="7"/>
  <c r="U972" i="7"/>
  <c r="T972" i="7"/>
  <c r="S972" i="7"/>
  <c r="R972" i="7"/>
  <c r="Q972" i="7"/>
  <c r="P972" i="7"/>
  <c r="O972" i="7"/>
  <c r="M972" i="7"/>
  <c r="L972" i="7"/>
  <c r="K972" i="7"/>
  <c r="J972" i="7"/>
  <c r="I972" i="7"/>
  <c r="H972" i="7"/>
  <c r="G972" i="7"/>
  <c r="F972" i="7"/>
  <c r="E972" i="7"/>
  <c r="AC971" i="7"/>
  <c r="D971" i="7" s="1"/>
  <c r="AE970" i="7"/>
  <c r="AD970" i="7"/>
  <c r="AB970" i="7"/>
  <c r="AA970" i="7"/>
  <c r="Z970" i="7"/>
  <c r="Y970" i="7"/>
  <c r="X970" i="7"/>
  <c r="W970" i="7"/>
  <c r="V970" i="7"/>
  <c r="U970" i="7"/>
  <c r="T970" i="7"/>
  <c r="S970" i="7"/>
  <c r="R970" i="7"/>
  <c r="Q970" i="7"/>
  <c r="P970" i="7"/>
  <c r="O970" i="7"/>
  <c r="M970" i="7"/>
  <c r="L970" i="7"/>
  <c r="K970" i="7"/>
  <c r="J970" i="7"/>
  <c r="I970" i="7"/>
  <c r="H970" i="7"/>
  <c r="G970" i="7"/>
  <c r="F970" i="7"/>
  <c r="E970" i="7"/>
  <c r="AC967" i="7"/>
  <c r="AT962" i="7"/>
  <c r="AC962" i="7"/>
  <c r="D962" i="7" s="1"/>
  <c r="AC961" i="7"/>
  <c r="AC955" i="7"/>
  <c r="AC951" i="7"/>
  <c r="AC950" i="7" s="1"/>
  <c r="AC947" i="7"/>
  <c r="D947" i="7" s="1"/>
  <c r="AE946" i="7"/>
  <c r="AD946" i="7"/>
  <c r="AB946" i="7"/>
  <c r="AA946" i="7"/>
  <c r="Z946" i="7"/>
  <c r="Y946" i="7"/>
  <c r="X946" i="7"/>
  <c r="W946" i="7"/>
  <c r="V946" i="7"/>
  <c r="U946" i="7"/>
  <c r="T946" i="7"/>
  <c r="S946" i="7"/>
  <c r="R946" i="7"/>
  <c r="Q946" i="7"/>
  <c r="P946" i="7"/>
  <c r="O946" i="7"/>
  <c r="M946" i="7"/>
  <c r="L946" i="7"/>
  <c r="K946" i="7"/>
  <c r="J946" i="7"/>
  <c r="I946" i="7"/>
  <c r="H946" i="7"/>
  <c r="G946" i="7"/>
  <c r="F946" i="7"/>
  <c r="E946" i="7"/>
  <c r="AE944" i="7"/>
  <c r="AD944" i="7"/>
  <c r="AB944" i="7"/>
  <c r="AA944" i="7"/>
  <c r="Z944" i="7"/>
  <c r="Y944" i="7"/>
  <c r="X944" i="7"/>
  <c r="W944" i="7"/>
  <c r="V944" i="7"/>
  <c r="U944" i="7"/>
  <c r="T944" i="7"/>
  <c r="S944" i="7"/>
  <c r="R944" i="7"/>
  <c r="Q944" i="7"/>
  <c r="P944" i="7"/>
  <c r="O944" i="7"/>
  <c r="M944" i="7"/>
  <c r="L944" i="7"/>
  <c r="K944" i="7"/>
  <c r="J944" i="7"/>
  <c r="I944" i="7"/>
  <c r="H944" i="7"/>
  <c r="G944" i="7"/>
  <c r="F944" i="7"/>
  <c r="E944" i="7"/>
  <c r="AC942" i="7"/>
  <c r="AC938" i="7"/>
  <c r="D938" i="7" s="1"/>
  <c r="AC936" i="7"/>
  <c r="AC931" i="7"/>
  <c r="D931" i="7" s="1"/>
  <c r="AC930" i="7"/>
  <c r="D930" i="7" s="1"/>
  <c r="AC929" i="7"/>
  <c r="D929" i="7" s="1"/>
  <c r="AC928" i="7"/>
  <c r="D928" i="7" s="1"/>
  <c r="AE927" i="7"/>
  <c r="AD927" i="7"/>
  <c r="AB927" i="7"/>
  <c r="AA927" i="7"/>
  <c r="Z927" i="7"/>
  <c r="Y927" i="7"/>
  <c r="X927" i="7"/>
  <c r="W927" i="7"/>
  <c r="V927" i="7"/>
  <c r="U927" i="7"/>
  <c r="T927" i="7"/>
  <c r="S927" i="7"/>
  <c r="R927" i="7"/>
  <c r="Q927" i="7"/>
  <c r="P927" i="7"/>
  <c r="O927" i="7"/>
  <c r="M927" i="7"/>
  <c r="L927" i="7"/>
  <c r="K927" i="7"/>
  <c r="J927" i="7"/>
  <c r="I927" i="7"/>
  <c r="H927" i="7"/>
  <c r="G927" i="7"/>
  <c r="F927" i="7"/>
  <c r="E927" i="7"/>
  <c r="AC926" i="7"/>
  <c r="D926" i="7" s="1"/>
  <c r="AE925" i="7"/>
  <c r="AD925" i="7"/>
  <c r="AB925" i="7"/>
  <c r="AA925" i="7"/>
  <c r="Z925" i="7"/>
  <c r="Y925" i="7"/>
  <c r="X925" i="7"/>
  <c r="W925" i="7"/>
  <c r="V925" i="7"/>
  <c r="U925" i="7"/>
  <c r="T925" i="7"/>
  <c r="S925" i="7"/>
  <c r="R925" i="7"/>
  <c r="Q925" i="7"/>
  <c r="P925" i="7"/>
  <c r="O925" i="7"/>
  <c r="M925" i="7"/>
  <c r="L925" i="7"/>
  <c r="K925" i="7"/>
  <c r="J925" i="7"/>
  <c r="I925" i="7"/>
  <c r="H925" i="7"/>
  <c r="G925" i="7"/>
  <c r="F925" i="7"/>
  <c r="E925" i="7"/>
  <c r="AC917" i="7"/>
  <c r="D917" i="7" s="1"/>
  <c r="AC916" i="7"/>
  <c r="D916" i="7" s="1"/>
  <c r="AE915" i="7"/>
  <c r="AD915" i="7"/>
  <c r="AB915" i="7"/>
  <c r="AA915" i="7"/>
  <c r="Z915" i="7"/>
  <c r="Y915" i="7"/>
  <c r="X915" i="7"/>
  <c r="W915" i="7"/>
  <c r="V915" i="7"/>
  <c r="U915" i="7"/>
  <c r="T915" i="7"/>
  <c r="S915" i="7"/>
  <c r="R915" i="7"/>
  <c r="Q915" i="7"/>
  <c r="P915" i="7"/>
  <c r="O915" i="7"/>
  <c r="M915" i="7"/>
  <c r="L915" i="7"/>
  <c r="K915" i="7"/>
  <c r="J915" i="7"/>
  <c r="I915" i="7"/>
  <c r="H915" i="7"/>
  <c r="G915" i="7"/>
  <c r="F915" i="7"/>
  <c r="E915" i="7"/>
  <c r="AC911" i="7"/>
  <c r="AC906" i="7"/>
  <c r="AC904" i="7"/>
  <c r="D904" i="7" s="1"/>
  <c r="AE903" i="7"/>
  <c r="AD903" i="7"/>
  <c r="AB903" i="7"/>
  <c r="AA903" i="7"/>
  <c r="Z903" i="7"/>
  <c r="Y903" i="7"/>
  <c r="X903" i="7"/>
  <c r="W903" i="7"/>
  <c r="V903" i="7"/>
  <c r="U903" i="7"/>
  <c r="T903" i="7"/>
  <c r="S903" i="7"/>
  <c r="R903" i="7"/>
  <c r="Q903" i="7"/>
  <c r="P903" i="7"/>
  <c r="O903" i="7"/>
  <c r="M903" i="7"/>
  <c r="L903" i="7"/>
  <c r="K903" i="7"/>
  <c r="J903" i="7"/>
  <c r="I903" i="7"/>
  <c r="H903" i="7"/>
  <c r="G903" i="7"/>
  <c r="F903" i="7"/>
  <c r="E903" i="7"/>
  <c r="AC902" i="7"/>
  <c r="D902" i="7" s="1"/>
  <c r="AE901" i="7"/>
  <c r="AD901" i="7"/>
  <c r="AB901" i="7"/>
  <c r="AA901" i="7"/>
  <c r="Z901" i="7"/>
  <c r="Y901" i="7"/>
  <c r="X901" i="7"/>
  <c r="W901" i="7"/>
  <c r="V901" i="7"/>
  <c r="U901" i="7"/>
  <c r="T901" i="7"/>
  <c r="S901" i="7"/>
  <c r="R901" i="7"/>
  <c r="Q901" i="7"/>
  <c r="P901" i="7"/>
  <c r="O901" i="7"/>
  <c r="M901" i="7"/>
  <c r="L901" i="7"/>
  <c r="K901" i="7"/>
  <c r="J901" i="7"/>
  <c r="I901" i="7"/>
  <c r="H901" i="7"/>
  <c r="G901" i="7"/>
  <c r="F901" i="7"/>
  <c r="E901" i="7"/>
  <c r="AC900" i="7"/>
  <c r="D900" i="7" s="1"/>
  <c r="AE899" i="7"/>
  <c r="AD899" i="7"/>
  <c r="AB899" i="7"/>
  <c r="AA899" i="7"/>
  <c r="Z899" i="7"/>
  <c r="Y899" i="7"/>
  <c r="X899" i="7"/>
  <c r="W899" i="7"/>
  <c r="V899" i="7"/>
  <c r="U899" i="7"/>
  <c r="T899" i="7"/>
  <c r="S899" i="7"/>
  <c r="R899" i="7"/>
  <c r="Q899" i="7"/>
  <c r="P899" i="7"/>
  <c r="O899" i="7"/>
  <c r="M899" i="7"/>
  <c r="L899" i="7"/>
  <c r="K899" i="7"/>
  <c r="J899" i="7"/>
  <c r="I899" i="7"/>
  <c r="H899" i="7"/>
  <c r="G899" i="7"/>
  <c r="F899" i="7"/>
  <c r="E899" i="7"/>
  <c r="AC896" i="7"/>
  <c r="AC894" i="7"/>
  <c r="D894" i="7" s="1"/>
  <c r="AE893" i="7"/>
  <c r="AD893" i="7"/>
  <c r="AB893" i="7"/>
  <c r="AA893" i="7"/>
  <c r="Z893" i="7"/>
  <c r="Y893" i="7"/>
  <c r="X893" i="7"/>
  <c r="W893" i="7"/>
  <c r="V893" i="7"/>
  <c r="U893" i="7"/>
  <c r="T893" i="7"/>
  <c r="S893" i="7"/>
  <c r="R893" i="7"/>
  <c r="Q893" i="7"/>
  <c r="P893" i="7"/>
  <c r="O893" i="7"/>
  <c r="M893" i="7"/>
  <c r="L893" i="7"/>
  <c r="K893" i="7"/>
  <c r="J893" i="7"/>
  <c r="I893" i="7"/>
  <c r="H893" i="7"/>
  <c r="G893" i="7"/>
  <c r="F893" i="7"/>
  <c r="E893" i="7"/>
  <c r="AC890" i="7"/>
  <c r="AC883" i="7"/>
  <c r="D883" i="7" s="1"/>
  <c r="AC882" i="7"/>
  <c r="D882" i="7" s="1"/>
  <c r="AC881" i="7"/>
  <c r="D881" i="7" s="1"/>
  <c r="AE880" i="7"/>
  <c r="AD880" i="7"/>
  <c r="AB880" i="7"/>
  <c r="AA880" i="7"/>
  <c r="Z880" i="7"/>
  <c r="Y880" i="7"/>
  <c r="X880" i="7"/>
  <c r="W880" i="7"/>
  <c r="V880" i="7"/>
  <c r="U880" i="7"/>
  <c r="T880" i="7"/>
  <c r="S880" i="7"/>
  <c r="R880" i="7"/>
  <c r="Q880" i="7"/>
  <c r="P880" i="7"/>
  <c r="O880" i="7"/>
  <c r="M880" i="7"/>
  <c r="L880" i="7"/>
  <c r="K880" i="7"/>
  <c r="J880" i="7"/>
  <c r="I880" i="7"/>
  <c r="H880" i="7"/>
  <c r="G880" i="7"/>
  <c r="F880" i="7"/>
  <c r="E880" i="7"/>
  <c r="AC878" i="7"/>
  <c r="AC875" i="7"/>
  <c r="AC873" i="7"/>
  <c r="D873" i="7" s="1"/>
  <c r="AC872" i="7"/>
  <c r="D872" i="7" s="1"/>
  <c r="AE871" i="7"/>
  <c r="AD871" i="7"/>
  <c r="AB871" i="7"/>
  <c r="AA871" i="7"/>
  <c r="Z871" i="7"/>
  <c r="Y871" i="7"/>
  <c r="X871" i="7"/>
  <c r="W871" i="7"/>
  <c r="V871" i="7"/>
  <c r="U871" i="7"/>
  <c r="T871" i="7"/>
  <c r="S871" i="7"/>
  <c r="R871" i="7"/>
  <c r="Q871" i="7"/>
  <c r="P871" i="7"/>
  <c r="O871" i="7"/>
  <c r="M871" i="7"/>
  <c r="L871" i="7"/>
  <c r="K871" i="7"/>
  <c r="J871" i="7"/>
  <c r="I871" i="7"/>
  <c r="H871" i="7"/>
  <c r="G871" i="7"/>
  <c r="F871" i="7"/>
  <c r="E871" i="7"/>
  <c r="AC868" i="7"/>
  <c r="AC867" i="7" s="1"/>
  <c r="AC859" i="7"/>
  <c r="D859" i="7" s="1"/>
  <c r="AC858" i="7"/>
  <c r="D858" i="7" s="1"/>
  <c r="AC857" i="7"/>
  <c r="D857" i="7" s="1"/>
  <c r="AT856" i="7"/>
  <c r="AC856" i="7"/>
  <c r="D856" i="7" s="1"/>
  <c r="AC855" i="7"/>
  <c r="D855" i="7" s="1"/>
  <c r="D854" i="7"/>
  <c r="AC853" i="7"/>
  <c r="AE852" i="7"/>
  <c r="AD852" i="7"/>
  <c r="AB852" i="7"/>
  <c r="AA852" i="7"/>
  <c r="Z852" i="7"/>
  <c r="Y852" i="7"/>
  <c r="X852" i="7"/>
  <c r="W852" i="7"/>
  <c r="V852" i="7"/>
  <c r="U852" i="7"/>
  <c r="T852" i="7"/>
  <c r="S852" i="7"/>
  <c r="R852" i="7"/>
  <c r="Q852" i="7"/>
  <c r="P852" i="7"/>
  <c r="O852" i="7"/>
  <c r="M852" i="7"/>
  <c r="L852" i="7"/>
  <c r="K852" i="7"/>
  <c r="J852" i="7"/>
  <c r="I852" i="7"/>
  <c r="H852" i="7"/>
  <c r="G852" i="7"/>
  <c r="F852" i="7"/>
  <c r="E852" i="7"/>
  <c r="AD846" i="7"/>
  <c r="AD845" i="7" s="1"/>
  <c r="AC846" i="7"/>
  <c r="AC845" i="7" s="1"/>
  <c r="AC844" i="7"/>
  <c r="D844" i="7" s="1"/>
  <c r="AE843" i="7"/>
  <c r="AD843" i="7"/>
  <c r="AB843" i="7"/>
  <c r="AA843" i="7"/>
  <c r="Z843" i="7"/>
  <c r="Y843" i="7"/>
  <c r="X843" i="7"/>
  <c r="W843" i="7"/>
  <c r="V843" i="7"/>
  <c r="U843" i="7"/>
  <c r="T843" i="7"/>
  <c r="S843" i="7"/>
  <c r="R843" i="7"/>
  <c r="Q843" i="7"/>
  <c r="P843" i="7"/>
  <c r="O843" i="7"/>
  <c r="M843" i="7"/>
  <c r="L843" i="7"/>
  <c r="K843" i="7"/>
  <c r="J843" i="7"/>
  <c r="I843" i="7"/>
  <c r="H843" i="7"/>
  <c r="G843" i="7"/>
  <c r="F843" i="7"/>
  <c r="E843" i="7"/>
  <c r="AC842" i="7"/>
  <c r="D842" i="7" s="1"/>
  <c r="AE841" i="7"/>
  <c r="AD841" i="7"/>
  <c r="AB841" i="7"/>
  <c r="AA841" i="7"/>
  <c r="Z841" i="7"/>
  <c r="Y841" i="7"/>
  <c r="X841" i="7"/>
  <c r="W841" i="7"/>
  <c r="V841" i="7"/>
  <c r="U841" i="7"/>
  <c r="T841" i="7"/>
  <c r="S841" i="7"/>
  <c r="R841" i="7"/>
  <c r="Q841" i="7"/>
  <c r="P841" i="7"/>
  <c r="O841" i="7"/>
  <c r="M841" i="7"/>
  <c r="L841" i="7"/>
  <c r="K841" i="7"/>
  <c r="J841" i="7"/>
  <c r="I841" i="7"/>
  <c r="H841" i="7"/>
  <c r="G841" i="7"/>
  <c r="F841" i="7"/>
  <c r="E841" i="7"/>
  <c r="AC840" i="7"/>
  <c r="AE839" i="7"/>
  <c r="AD839" i="7"/>
  <c r="AB839" i="7"/>
  <c r="AA839" i="7"/>
  <c r="Z839" i="7"/>
  <c r="Y839" i="7"/>
  <c r="X839" i="7"/>
  <c r="W839" i="7"/>
  <c r="V839" i="7"/>
  <c r="U839" i="7"/>
  <c r="T839" i="7"/>
  <c r="S839" i="7"/>
  <c r="R839" i="7"/>
  <c r="Q839" i="7"/>
  <c r="P839" i="7"/>
  <c r="O839" i="7"/>
  <c r="M839" i="7"/>
  <c r="L839" i="7"/>
  <c r="K839" i="7"/>
  <c r="J839" i="7"/>
  <c r="I839" i="7"/>
  <c r="H839" i="7"/>
  <c r="G839" i="7"/>
  <c r="F839" i="7"/>
  <c r="E839" i="7"/>
  <c r="AC838" i="7"/>
  <c r="D838" i="7" s="1"/>
  <c r="AE837" i="7"/>
  <c r="AD837" i="7"/>
  <c r="AB837" i="7"/>
  <c r="AA837" i="7"/>
  <c r="Z837" i="7"/>
  <c r="Y837" i="7"/>
  <c r="X837" i="7"/>
  <c r="W837" i="7"/>
  <c r="V837" i="7"/>
  <c r="U837" i="7"/>
  <c r="T837" i="7"/>
  <c r="S837" i="7"/>
  <c r="R837" i="7"/>
  <c r="Q837" i="7"/>
  <c r="P837" i="7"/>
  <c r="O837" i="7"/>
  <c r="M837" i="7"/>
  <c r="L837" i="7"/>
  <c r="K837" i="7"/>
  <c r="J837" i="7"/>
  <c r="I837" i="7"/>
  <c r="H837" i="7"/>
  <c r="G837" i="7"/>
  <c r="F837" i="7"/>
  <c r="E837" i="7"/>
  <c r="AC836" i="7"/>
  <c r="AE835" i="7"/>
  <c r="AD835" i="7"/>
  <c r="AB835" i="7"/>
  <c r="AA835" i="7"/>
  <c r="Z835" i="7"/>
  <c r="Y835" i="7"/>
  <c r="X835" i="7"/>
  <c r="W835" i="7"/>
  <c r="V835" i="7"/>
  <c r="U835" i="7"/>
  <c r="T835" i="7"/>
  <c r="S835" i="7"/>
  <c r="R835" i="7"/>
  <c r="Q835" i="7"/>
  <c r="P835" i="7"/>
  <c r="O835" i="7"/>
  <c r="M835" i="7"/>
  <c r="L835" i="7"/>
  <c r="K835" i="7"/>
  <c r="J835" i="7"/>
  <c r="I835" i="7"/>
  <c r="H835" i="7"/>
  <c r="G835" i="7"/>
  <c r="F835" i="7"/>
  <c r="E835" i="7"/>
  <c r="AC829" i="7"/>
  <c r="AC820" i="7"/>
  <c r="D820" i="7" s="1"/>
  <c r="AC819" i="7"/>
  <c r="D819" i="7" s="1"/>
  <c r="AT818" i="7"/>
  <c r="AC818" i="7"/>
  <c r="D818" i="7" s="1"/>
  <c r="AE817" i="7"/>
  <c r="AD817" i="7"/>
  <c r="AB817" i="7"/>
  <c r="AA817" i="7"/>
  <c r="Z817" i="7"/>
  <c r="Y817" i="7"/>
  <c r="X817" i="7"/>
  <c r="W817" i="7"/>
  <c r="V817" i="7"/>
  <c r="U817" i="7"/>
  <c r="T817" i="7"/>
  <c r="S817" i="7"/>
  <c r="R817" i="7"/>
  <c r="Q817" i="7"/>
  <c r="P817" i="7"/>
  <c r="O817" i="7"/>
  <c r="M817" i="7"/>
  <c r="L817" i="7"/>
  <c r="K817" i="7"/>
  <c r="J817" i="7"/>
  <c r="I817" i="7"/>
  <c r="H817" i="7"/>
  <c r="G817" i="7"/>
  <c r="F817" i="7"/>
  <c r="E817" i="7"/>
  <c r="AC807" i="7"/>
  <c r="D807" i="7" s="1"/>
  <c r="AC806" i="7"/>
  <c r="D806" i="7" s="1"/>
  <c r="AC805" i="7"/>
  <c r="D805" i="7" s="1"/>
  <c r="AC804" i="7"/>
  <c r="D804" i="7" s="1"/>
  <c r="AT803" i="7"/>
  <c r="AC803" i="7"/>
  <c r="AE802" i="7"/>
  <c r="AD802" i="7"/>
  <c r="AB802" i="7"/>
  <c r="AA802" i="7"/>
  <c r="Z802" i="7"/>
  <c r="Y802" i="7"/>
  <c r="X802" i="7"/>
  <c r="W802" i="7"/>
  <c r="V802" i="7"/>
  <c r="U802" i="7"/>
  <c r="T802" i="7"/>
  <c r="S802" i="7"/>
  <c r="Q802" i="7"/>
  <c r="P802" i="7"/>
  <c r="O802" i="7"/>
  <c r="M802" i="7"/>
  <c r="L802" i="7"/>
  <c r="K802" i="7"/>
  <c r="J802" i="7"/>
  <c r="I802" i="7"/>
  <c r="H802" i="7"/>
  <c r="G802" i="7"/>
  <c r="F802" i="7"/>
  <c r="E802" i="7"/>
  <c r="AC801" i="7"/>
  <c r="D801" i="7" s="1"/>
  <c r="AE800" i="7"/>
  <c r="AD800" i="7"/>
  <c r="AB800" i="7"/>
  <c r="AA800" i="7"/>
  <c r="Z800" i="7"/>
  <c r="Y800" i="7"/>
  <c r="X800" i="7"/>
  <c r="W800" i="7"/>
  <c r="V800" i="7"/>
  <c r="U800" i="7"/>
  <c r="T800" i="7"/>
  <c r="S800" i="7"/>
  <c r="R800" i="7"/>
  <c r="Q800" i="7"/>
  <c r="P800" i="7"/>
  <c r="O800" i="7"/>
  <c r="M800" i="7"/>
  <c r="L800" i="7"/>
  <c r="K800" i="7"/>
  <c r="J800" i="7"/>
  <c r="I800" i="7"/>
  <c r="H800" i="7"/>
  <c r="G800" i="7"/>
  <c r="F800" i="7"/>
  <c r="E800" i="7"/>
  <c r="AC799" i="7"/>
  <c r="D799" i="7" s="1"/>
  <c r="AE798" i="7"/>
  <c r="AD798" i="7"/>
  <c r="AB798" i="7"/>
  <c r="AA798" i="7"/>
  <c r="Z798" i="7"/>
  <c r="Y798" i="7"/>
  <c r="X798" i="7"/>
  <c r="W798" i="7"/>
  <c r="V798" i="7"/>
  <c r="U798" i="7"/>
  <c r="T798" i="7"/>
  <c r="S798" i="7"/>
  <c r="R798" i="7"/>
  <c r="Q798" i="7"/>
  <c r="P798" i="7"/>
  <c r="O798" i="7"/>
  <c r="M798" i="7"/>
  <c r="L798" i="7"/>
  <c r="K798" i="7"/>
  <c r="J798" i="7"/>
  <c r="I798" i="7"/>
  <c r="H798" i="7"/>
  <c r="G798" i="7"/>
  <c r="F798" i="7"/>
  <c r="E798" i="7"/>
  <c r="AC795" i="7"/>
  <c r="D795" i="7" s="1"/>
  <c r="AE794" i="7"/>
  <c r="AD794" i="7"/>
  <c r="AB794" i="7"/>
  <c r="AA794" i="7"/>
  <c r="Z794" i="7"/>
  <c r="Y794" i="7"/>
  <c r="X794" i="7"/>
  <c r="W794" i="7"/>
  <c r="V794" i="7"/>
  <c r="U794" i="7"/>
  <c r="T794" i="7"/>
  <c r="S794" i="7"/>
  <c r="R794" i="7"/>
  <c r="Q794" i="7"/>
  <c r="P794" i="7"/>
  <c r="O794" i="7"/>
  <c r="M794" i="7"/>
  <c r="L794" i="7"/>
  <c r="K794" i="7"/>
  <c r="J794" i="7"/>
  <c r="I794" i="7"/>
  <c r="H794" i="7"/>
  <c r="G794" i="7"/>
  <c r="F794" i="7"/>
  <c r="E794" i="7"/>
  <c r="AC793" i="7"/>
  <c r="AC792" i="7" s="1"/>
  <c r="D791" i="7"/>
  <c r="AC788" i="7"/>
  <c r="D788" i="7" s="1"/>
  <c r="AE787" i="7"/>
  <c r="AD787" i="7"/>
  <c r="AB787" i="7"/>
  <c r="AA787" i="7"/>
  <c r="Z787" i="7"/>
  <c r="Y787" i="7"/>
  <c r="X787" i="7"/>
  <c r="W787" i="7"/>
  <c r="V787" i="7"/>
  <c r="U787" i="7"/>
  <c r="T787" i="7"/>
  <c r="S787" i="7"/>
  <c r="R787" i="7"/>
  <c r="Q787" i="7"/>
  <c r="P787" i="7"/>
  <c r="O787" i="7"/>
  <c r="M787" i="7"/>
  <c r="L787" i="7"/>
  <c r="K787" i="7"/>
  <c r="J787" i="7"/>
  <c r="I787" i="7"/>
  <c r="H787" i="7"/>
  <c r="G787" i="7"/>
  <c r="F787" i="7"/>
  <c r="E787" i="7"/>
  <c r="AC782" i="7"/>
  <c r="D782" i="7" s="1"/>
  <c r="AC781" i="7"/>
  <c r="D781" i="7" s="1"/>
  <c r="AC780" i="7"/>
  <c r="D780" i="7" s="1"/>
  <c r="AE779" i="7"/>
  <c r="AD779" i="7"/>
  <c r="AB779" i="7"/>
  <c r="AA779" i="7"/>
  <c r="Z779" i="7"/>
  <c r="Y779" i="7"/>
  <c r="X779" i="7"/>
  <c r="W779" i="7"/>
  <c r="V779" i="7"/>
  <c r="U779" i="7"/>
  <c r="T779" i="7"/>
  <c r="S779" i="7"/>
  <c r="R779" i="7"/>
  <c r="Q779" i="7"/>
  <c r="P779" i="7"/>
  <c r="O779" i="7"/>
  <c r="M779" i="7"/>
  <c r="L779" i="7"/>
  <c r="K779" i="7"/>
  <c r="J779" i="7"/>
  <c r="I779" i="7"/>
  <c r="H779" i="7"/>
  <c r="G779" i="7"/>
  <c r="F779" i="7"/>
  <c r="E779" i="7"/>
  <c r="AC772" i="7"/>
  <c r="D772" i="7" s="1"/>
  <c r="AE771" i="7"/>
  <c r="AD771" i="7"/>
  <c r="AB771" i="7"/>
  <c r="AA771" i="7"/>
  <c r="Z771" i="7"/>
  <c r="Y771" i="7"/>
  <c r="X771" i="7"/>
  <c r="W771" i="7"/>
  <c r="V771" i="7"/>
  <c r="U771" i="7"/>
  <c r="T771" i="7"/>
  <c r="S771" i="7"/>
  <c r="R771" i="7"/>
  <c r="Q771" i="7"/>
  <c r="P771" i="7"/>
  <c r="O771" i="7"/>
  <c r="M771" i="7"/>
  <c r="L771" i="7"/>
  <c r="K771" i="7"/>
  <c r="J771" i="7"/>
  <c r="I771" i="7"/>
  <c r="H771" i="7"/>
  <c r="G771" i="7"/>
  <c r="F771" i="7"/>
  <c r="E771" i="7"/>
  <c r="AC762" i="7"/>
  <c r="D762" i="7" s="1"/>
  <c r="AC761" i="7"/>
  <c r="D761" i="7" s="1"/>
  <c r="AC760" i="7"/>
  <c r="D760" i="7" s="1"/>
  <c r="AC759" i="7"/>
  <c r="D759" i="7" s="1"/>
  <c r="AC757" i="7"/>
  <c r="D757" i="7" s="1"/>
  <c r="AC756" i="7"/>
  <c r="D756" i="7" s="1"/>
  <c r="D755" i="7"/>
  <c r="AC754" i="7"/>
  <c r="D754" i="7" s="1"/>
  <c r="AC753" i="7"/>
  <c r="D753" i="7" s="1"/>
  <c r="AC752" i="7"/>
  <c r="D752" i="7" s="1"/>
  <c r="AT751" i="7"/>
  <c r="AC751" i="7"/>
  <c r="D751" i="7" s="1"/>
  <c r="AC750" i="7"/>
  <c r="D750" i="7" s="1"/>
  <c r="AT749" i="7"/>
  <c r="AC749" i="7"/>
  <c r="D749" i="7" s="1"/>
  <c r="AC748" i="7"/>
  <c r="D748" i="7" s="1"/>
  <c r="AC747" i="7"/>
  <c r="D747" i="7" s="1"/>
  <c r="AC746" i="7"/>
  <c r="AC739" i="7"/>
  <c r="D739" i="7" s="1"/>
  <c r="D738" i="7"/>
  <c r="AE737" i="7"/>
  <c r="AD737" i="7"/>
  <c r="AB737" i="7"/>
  <c r="AA737" i="7"/>
  <c r="Z737" i="7"/>
  <c r="Y737" i="7"/>
  <c r="X737" i="7"/>
  <c r="W737" i="7"/>
  <c r="V737" i="7"/>
  <c r="U737" i="7"/>
  <c r="T737" i="7"/>
  <c r="S737" i="7"/>
  <c r="R737" i="7"/>
  <c r="Q737" i="7"/>
  <c r="P737" i="7"/>
  <c r="O737" i="7"/>
  <c r="M737" i="7"/>
  <c r="L737" i="7"/>
  <c r="K737" i="7"/>
  <c r="J737" i="7"/>
  <c r="I737" i="7"/>
  <c r="H737" i="7"/>
  <c r="G737" i="7"/>
  <c r="F737" i="7"/>
  <c r="E737" i="7"/>
  <c r="AC723" i="7"/>
  <c r="D723" i="7" s="1"/>
  <c r="AC722" i="7"/>
  <c r="D722" i="7" s="1"/>
  <c r="D235" i="7"/>
  <c r="AC721" i="7"/>
  <c r="D721" i="7" s="1"/>
  <c r="D720" i="7"/>
  <c r="D234" i="7"/>
  <c r="AC719" i="7"/>
  <c r="AE718" i="7"/>
  <c r="AD718" i="7"/>
  <c r="AB718" i="7"/>
  <c r="AA718" i="7"/>
  <c r="Z718" i="7"/>
  <c r="Y718" i="7"/>
  <c r="X718" i="7"/>
  <c r="W718" i="7"/>
  <c r="V718" i="7"/>
  <c r="U718" i="7"/>
  <c r="T718" i="7"/>
  <c r="S718" i="7"/>
  <c r="R718" i="7"/>
  <c r="Q718" i="7"/>
  <c r="P718" i="7"/>
  <c r="O718" i="7"/>
  <c r="M718" i="7"/>
  <c r="L718" i="7"/>
  <c r="K718" i="7"/>
  <c r="J718" i="7"/>
  <c r="I718" i="7"/>
  <c r="H718" i="7"/>
  <c r="G718" i="7"/>
  <c r="F718" i="7"/>
  <c r="E718" i="7"/>
  <c r="AC709" i="7"/>
  <c r="D709" i="7" s="1"/>
  <c r="AC708" i="7"/>
  <c r="D708" i="7" s="1"/>
  <c r="AC707" i="7"/>
  <c r="D707" i="7" s="1"/>
  <c r="AC706" i="7"/>
  <c r="D706" i="7" s="1"/>
  <c r="AC705" i="7"/>
  <c r="D705" i="7" s="1"/>
  <c r="AC704" i="7"/>
  <c r="D704" i="7" s="1"/>
  <c r="AC703" i="7"/>
  <c r="D703" i="7" s="1"/>
  <c r="AC701" i="7"/>
  <c r="D701" i="7" s="1"/>
  <c r="D700" i="7"/>
  <c r="D699" i="7"/>
  <c r="D698" i="7"/>
  <c r="AC697" i="7"/>
  <c r="D697" i="7" s="1"/>
  <c r="AC696" i="7"/>
  <c r="D696" i="7" s="1"/>
  <c r="AC695" i="7"/>
  <c r="D695" i="7" s="1"/>
  <c r="AC694" i="7"/>
  <c r="D694" i="7" s="1"/>
  <c r="AC693" i="7"/>
  <c r="D693" i="7" s="1"/>
  <c r="AC692" i="7"/>
  <c r="D692" i="7" s="1"/>
  <c r="AC691" i="7"/>
  <c r="D691" i="7" s="1"/>
  <c r="AC690" i="7"/>
  <c r="D690" i="7" s="1"/>
  <c r="AC689" i="7"/>
  <c r="D689" i="7" s="1"/>
  <c r="AC688" i="7"/>
  <c r="D688" i="7" s="1"/>
  <c r="AC687" i="7"/>
  <c r="D687" i="7" s="1"/>
  <c r="AC686" i="7"/>
  <c r="D686" i="7" s="1"/>
  <c r="AC685" i="7"/>
  <c r="D685" i="7" s="1"/>
  <c r="AC684" i="7"/>
  <c r="D684" i="7" s="1"/>
  <c r="AC683" i="7"/>
  <c r="D683" i="7" s="1"/>
  <c r="AC682" i="7"/>
  <c r="D682" i="7" s="1"/>
  <c r="AC681" i="7"/>
  <c r="D681" i="7" s="1"/>
  <c r="AC680" i="7"/>
  <c r="D680" i="7" s="1"/>
  <c r="AC679" i="7"/>
  <c r="D679" i="7" s="1"/>
  <c r="AE678" i="7"/>
  <c r="AD678" i="7"/>
  <c r="AB678" i="7"/>
  <c r="AA678" i="7"/>
  <c r="Z678" i="7"/>
  <c r="Y678" i="7"/>
  <c r="X678" i="7"/>
  <c r="W678" i="7"/>
  <c r="V678" i="7"/>
  <c r="U678" i="7"/>
  <c r="T678" i="7"/>
  <c r="S678" i="7"/>
  <c r="R678" i="7"/>
  <c r="Q678" i="7"/>
  <c r="P678" i="7"/>
  <c r="O678" i="7"/>
  <c r="M678" i="7"/>
  <c r="L678" i="7"/>
  <c r="K678" i="7"/>
  <c r="J678" i="7"/>
  <c r="I678" i="7"/>
  <c r="H678" i="7"/>
  <c r="G678" i="7"/>
  <c r="F678" i="7"/>
  <c r="E678" i="7"/>
  <c r="AD647" i="7"/>
  <c r="AC662" i="7"/>
  <c r="D662" i="7" s="1"/>
  <c r="AC661" i="7"/>
  <c r="D661" i="7" s="1"/>
  <c r="AC660" i="7"/>
  <c r="D660" i="7" s="1"/>
  <c r="AC659" i="7"/>
  <c r="D659" i="7" s="1"/>
  <c r="AC658" i="7"/>
  <c r="D658" i="7" s="1"/>
  <c r="AC657" i="7"/>
  <c r="D657" i="7" s="1"/>
  <c r="AC656" i="7"/>
  <c r="D656" i="7" s="1"/>
  <c r="E655" i="7"/>
  <c r="E647" i="7" s="1"/>
  <c r="AC654" i="7"/>
  <c r="D654" i="7" s="1"/>
  <c r="AC653" i="7"/>
  <c r="D653" i="7" s="1"/>
  <c r="AC652" i="7"/>
  <c r="D652" i="7" s="1"/>
  <c r="AC651" i="7"/>
  <c r="D651" i="7" s="1"/>
  <c r="AC650" i="7"/>
  <c r="D650" i="7" s="1"/>
  <c r="AC649" i="7"/>
  <c r="D649" i="7" s="1"/>
  <c r="AC648" i="7"/>
  <c r="D648" i="7" s="1"/>
  <c r="AE647" i="7"/>
  <c r="AB647" i="7"/>
  <c r="AA647" i="7"/>
  <c r="Z647" i="7"/>
  <c r="Y647" i="7"/>
  <c r="X647" i="7"/>
  <c r="W647" i="7"/>
  <c r="V647" i="7"/>
  <c r="U647" i="7"/>
  <c r="T647" i="7"/>
  <c r="S647" i="7"/>
  <c r="R647" i="7"/>
  <c r="Q647" i="7"/>
  <c r="P647" i="7"/>
  <c r="O647" i="7"/>
  <c r="M647" i="7"/>
  <c r="L647" i="7"/>
  <c r="K647" i="7"/>
  <c r="J647" i="7"/>
  <c r="I647" i="7"/>
  <c r="H647" i="7"/>
  <c r="G647" i="7"/>
  <c r="F647" i="7"/>
  <c r="D608" i="7"/>
  <c r="D607" i="7"/>
  <c r="D606" i="7"/>
  <c r="D605" i="7"/>
  <c r="CD604" i="7"/>
  <c r="D604" i="7"/>
  <c r="CD117" i="7"/>
  <c r="D117" i="7"/>
  <c r="CD603" i="7"/>
  <c r="D603" i="7"/>
  <c r="D602" i="7"/>
  <c r="D601" i="7"/>
  <c r="D600" i="7"/>
  <c r="D599" i="7"/>
  <c r="D598" i="7"/>
  <c r="D597" i="7"/>
  <c r="D596" i="7"/>
  <c r="D595" i="7"/>
  <c r="D594" i="7"/>
  <c r="D593" i="7"/>
  <c r="D592" i="7"/>
  <c r="D591" i="7"/>
  <c r="D590" i="7"/>
  <c r="D589" i="7"/>
  <c r="D588" i="7"/>
  <c r="D587" i="7"/>
  <c r="D586" i="7"/>
  <c r="D585" i="7"/>
  <c r="D584" i="7"/>
  <c r="D583" i="7"/>
  <c r="D582" i="7"/>
  <c r="D581" i="7"/>
  <c r="D580" i="7"/>
  <c r="D579" i="7"/>
  <c r="D116" i="7"/>
  <c r="D115" i="7"/>
  <c r="D578" i="7"/>
  <c r="D577" i="7"/>
  <c r="D576" i="7"/>
  <c r="D574" i="7"/>
  <c r="D573" i="7"/>
  <c r="D114" i="7"/>
  <c r="D572" i="7"/>
  <c r="D571" i="7"/>
  <c r="D570" i="7"/>
  <c r="D569" i="7"/>
  <c r="D567" i="7"/>
  <c r="D568" i="7"/>
  <c r="D566" i="7"/>
  <c r="D565" i="7"/>
  <c r="D564" i="7"/>
  <c r="D563" i="7"/>
  <c r="D562" i="7"/>
  <c r="D113" i="7"/>
  <c r="D561" i="7"/>
  <c r="D112" i="7"/>
  <c r="D111" i="7"/>
  <c r="D560" i="7"/>
  <c r="D559" i="7"/>
  <c r="D558" i="7"/>
  <c r="B558" i="7"/>
  <c r="CD554" i="7"/>
  <c r="AC554" i="7"/>
  <c r="AC553" i="7" s="1"/>
  <c r="AC552" i="7"/>
  <c r="D552" i="7" s="1"/>
  <c r="AC551" i="7"/>
  <c r="D551" i="7" s="1"/>
  <c r="AE550" i="7"/>
  <c r="AD550" i="7"/>
  <c r="AB550" i="7"/>
  <c r="AA550" i="7"/>
  <c r="Z550" i="7"/>
  <c r="Y550" i="7"/>
  <c r="X550" i="7"/>
  <c r="W550" i="7"/>
  <c r="V550" i="7"/>
  <c r="U550" i="7"/>
  <c r="T550" i="7"/>
  <c r="S550" i="7"/>
  <c r="R550" i="7"/>
  <c r="Q550" i="7"/>
  <c r="O550" i="7"/>
  <c r="M550" i="7"/>
  <c r="L550" i="7"/>
  <c r="K550" i="7"/>
  <c r="J550" i="7"/>
  <c r="I550" i="7"/>
  <c r="H550" i="7"/>
  <c r="G550" i="7"/>
  <c r="F550" i="7"/>
  <c r="E550" i="7"/>
  <c r="AC547" i="7"/>
  <c r="D547" i="7" s="1"/>
  <c r="CD546" i="7"/>
  <c r="D546" i="7"/>
  <c r="AE545" i="7"/>
  <c r="AD545" i="7"/>
  <c r="AB545" i="7"/>
  <c r="AA545" i="7"/>
  <c r="Z545" i="7"/>
  <c r="Y545" i="7"/>
  <c r="X545" i="7"/>
  <c r="W545" i="7"/>
  <c r="V545" i="7"/>
  <c r="U545" i="7"/>
  <c r="T545" i="7"/>
  <c r="S545" i="7"/>
  <c r="R545" i="7"/>
  <c r="Q545" i="7"/>
  <c r="P545" i="7"/>
  <c r="O545" i="7"/>
  <c r="M545" i="7"/>
  <c r="L545" i="7"/>
  <c r="K545" i="7"/>
  <c r="J545" i="7"/>
  <c r="I545" i="7"/>
  <c r="H545" i="7"/>
  <c r="G545" i="7"/>
  <c r="F545" i="7"/>
  <c r="E545" i="7"/>
  <c r="AC541" i="7"/>
  <c r="D541" i="7" s="1"/>
  <c r="AC539" i="7"/>
  <c r="D539" i="7" s="1"/>
  <c r="AC538" i="7"/>
  <c r="D538" i="7" s="1"/>
  <c r="AC537" i="7"/>
  <c r="D537" i="7" s="1"/>
  <c r="AC540" i="7"/>
  <c r="D540" i="7" s="1"/>
  <c r="CD536" i="7"/>
  <c r="AC536" i="7"/>
  <c r="D536" i="7" s="1"/>
  <c r="AE535" i="7"/>
  <c r="AD535" i="7"/>
  <c r="AB535" i="7"/>
  <c r="AA535" i="7"/>
  <c r="Z535" i="7"/>
  <c r="Y535" i="7"/>
  <c r="X535" i="7"/>
  <c r="W535" i="7"/>
  <c r="V535" i="7"/>
  <c r="U535" i="7"/>
  <c r="T535" i="7"/>
  <c r="S535" i="7"/>
  <c r="R535" i="7"/>
  <c r="Q535" i="7"/>
  <c r="P535" i="7"/>
  <c r="O535" i="7"/>
  <c r="M535" i="7"/>
  <c r="L535" i="7"/>
  <c r="K535" i="7"/>
  <c r="J535" i="7"/>
  <c r="I535" i="7"/>
  <c r="H535" i="7"/>
  <c r="F535" i="7"/>
  <c r="E535" i="7"/>
  <c r="CD534" i="7"/>
  <c r="AC533" i="7"/>
  <c r="AE533" i="7"/>
  <c r="AD533" i="7"/>
  <c r="AB533" i="7"/>
  <c r="AA533" i="7"/>
  <c r="Z533" i="7"/>
  <c r="Y533" i="7"/>
  <c r="X533" i="7"/>
  <c r="W533" i="7"/>
  <c r="V533" i="7"/>
  <c r="U533" i="7"/>
  <c r="T533" i="7"/>
  <c r="S533" i="7"/>
  <c r="R533" i="7"/>
  <c r="Q533" i="7"/>
  <c r="P533" i="7"/>
  <c r="O533" i="7"/>
  <c r="M533" i="7"/>
  <c r="L533" i="7"/>
  <c r="K533" i="7"/>
  <c r="J533" i="7"/>
  <c r="I533" i="7"/>
  <c r="H533" i="7"/>
  <c r="G533" i="7"/>
  <c r="F533" i="7"/>
  <c r="E533" i="7"/>
  <c r="R530" i="7"/>
  <c r="AE530" i="7"/>
  <c r="AD530" i="7"/>
  <c r="AB530" i="7"/>
  <c r="AA530" i="7"/>
  <c r="Z530" i="7"/>
  <c r="Y530" i="7"/>
  <c r="X530" i="7"/>
  <c r="W530" i="7"/>
  <c r="V530" i="7"/>
  <c r="U530" i="7"/>
  <c r="T530" i="7"/>
  <c r="S530" i="7"/>
  <c r="Q530" i="7"/>
  <c r="P530" i="7"/>
  <c r="O530" i="7"/>
  <c r="M530" i="7"/>
  <c r="L530" i="7"/>
  <c r="K530" i="7"/>
  <c r="J530" i="7"/>
  <c r="I530" i="7"/>
  <c r="H530" i="7"/>
  <c r="G530" i="7"/>
  <c r="F530" i="7"/>
  <c r="E530" i="7"/>
  <c r="CD529" i="7"/>
  <c r="D529" i="7"/>
  <c r="AE528" i="7"/>
  <c r="AD528" i="7"/>
  <c r="AB528" i="7"/>
  <c r="AA528" i="7"/>
  <c r="Z528" i="7"/>
  <c r="Y528" i="7"/>
  <c r="X528" i="7"/>
  <c r="W528" i="7"/>
  <c r="V528" i="7"/>
  <c r="U528" i="7"/>
  <c r="T528" i="7"/>
  <c r="S528" i="7"/>
  <c r="R528" i="7"/>
  <c r="Q528" i="7"/>
  <c r="P528" i="7"/>
  <c r="O528" i="7"/>
  <c r="M528" i="7"/>
  <c r="L528" i="7"/>
  <c r="K528" i="7"/>
  <c r="J528" i="7"/>
  <c r="I528" i="7"/>
  <c r="H528" i="7"/>
  <c r="G528" i="7"/>
  <c r="F528" i="7"/>
  <c r="E528" i="7"/>
  <c r="AC527" i="7"/>
  <c r="D527" i="7" s="1"/>
  <c r="CD526" i="7"/>
  <c r="D526" i="7"/>
  <c r="CD525" i="7"/>
  <c r="AC525" i="7"/>
  <c r="D525" i="7" s="1"/>
  <c r="AC524" i="7"/>
  <c r="CD523" i="7"/>
  <c r="AC523" i="7"/>
  <c r="D523" i="7" s="1"/>
  <c r="AE522" i="7"/>
  <c r="AD522" i="7"/>
  <c r="AB522" i="7"/>
  <c r="AA522" i="7"/>
  <c r="Z522" i="7"/>
  <c r="Y522" i="7"/>
  <c r="X522" i="7"/>
  <c r="W522" i="7"/>
  <c r="V522" i="7"/>
  <c r="U522" i="7"/>
  <c r="T522" i="7"/>
  <c r="S522" i="7"/>
  <c r="R522" i="7"/>
  <c r="Q522" i="7"/>
  <c r="P522" i="7"/>
  <c r="O522" i="7"/>
  <c r="M522" i="7"/>
  <c r="L522" i="7"/>
  <c r="K522" i="7"/>
  <c r="J522" i="7"/>
  <c r="I522" i="7"/>
  <c r="H522" i="7"/>
  <c r="G522" i="7"/>
  <c r="F522" i="7"/>
  <c r="E522" i="7"/>
  <c r="AC520" i="7"/>
  <c r="AC519" i="7" s="1"/>
  <c r="AE517" i="7"/>
  <c r="AD517" i="7"/>
  <c r="AB517" i="7"/>
  <c r="AA517" i="7"/>
  <c r="Z517" i="7"/>
  <c r="Y517" i="7"/>
  <c r="X517" i="7"/>
  <c r="W517" i="7"/>
  <c r="V517" i="7"/>
  <c r="U517" i="7"/>
  <c r="T517" i="7"/>
  <c r="S517" i="7"/>
  <c r="R517" i="7"/>
  <c r="Q517" i="7"/>
  <c r="P517" i="7"/>
  <c r="O517" i="7"/>
  <c r="M517" i="7"/>
  <c r="L517" i="7"/>
  <c r="K517" i="7"/>
  <c r="J517" i="7"/>
  <c r="I517" i="7"/>
  <c r="H517" i="7"/>
  <c r="G517" i="7"/>
  <c r="F517" i="7"/>
  <c r="E517" i="7"/>
  <c r="AC516" i="7"/>
  <c r="D516" i="7" s="1"/>
  <c r="D515" i="7"/>
  <c r="AE514" i="7"/>
  <c r="AD514" i="7"/>
  <c r="AB514" i="7"/>
  <c r="AA514" i="7"/>
  <c r="Z514" i="7"/>
  <c r="Y514" i="7"/>
  <c r="X514" i="7"/>
  <c r="W514" i="7"/>
  <c r="V514" i="7"/>
  <c r="U514" i="7"/>
  <c r="T514" i="7"/>
  <c r="S514" i="7"/>
  <c r="R514" i="7"/>
  <c r="Q514" i="7"/>
  <c r="P514" i="7"/>
  <c r="O514" i="7"/>
  <c r="M514" i="7"/>
  <c r="L514" i="7"/>
  <c r="K514" i="7"/>
  <c r="J514" i="7"/>
  <c r="I514" i="7"/>
  <c r="H514" i="7"/>
  <c r="G514" i="7"/>
  <c r="F514" i="7"/>
  <c r="E514" i="7"/>
  <c r="D512" i="7"/>
  <c r="CD510" i="7"/>
  <c r="AD509" i="7"/>
  <c r="AE509" i="7"/>
  <c r="AB509" i="7"/>
  <c r="AA509" i="7"/>
  <c r="Z509" i="7"/>
  <c r="Y509" i="7"/>
  <c r="X509" i="7"/>
  <c r="W509" i="7"/>
  <c r="V509" i="7"/>
  <c r="U509" i="7"/>
  <c r="T509" i="7"/>
  <c r="S509" i="7"/>
  <c r="R509" i="7"/>
  <c r="Q509" i="7"/>
  <c r="P509" i="7"/>
  <c r="O509" i="7"/>
  <c r="M509" i="7"/>
  <c r="L509" i="7"/>
  <c r="K509" i="7"/>
  <c r="J509" i="7"/>
  <c r="I509" i="7"/>
  <c r="H509" i="7"/>
  <c r="G509" i="7"/>
  <c r="F509" i="7"/>
  <c r="E509" i="7"/>
  <c r="CD508" i="7"/>
  <c r="AC508" i="7"/>
  <c r="D508" i="7" s="1"/>
  <c r="AC507" i="7"/>
  <c r="D507" i="7" s="1"/>
  <c r="AC506" i="7"/>
  <c r="D506" i="7" s="1"/>
  <c r="D505" i="7"/>
  <c r="D504" i="7"/>
  <c r="AE503" i="7"/>
  <c r="AD503" i="7"/>
  <c r="AB503" i="7"/>
  <c r="AA503" i="7"/>
  <c r="Z503" i="7"/>
  <c r="Y503" i="7"/>
  <c r="X503" i="7"/>
  <c r="W503" i="7"/>
  <c r="V503" i="7"/>
  <c r="U503" i="7"/>
  <c r="T503" i="7"/>
  <c r="S503" i="7"/>
  <c r="R503" i="7"/>
  <c r="Q503" i="7"/>
  <c r="P503" i="7"/>
  <c r="O503" i="7"/>
  <c r="M503" i="7"/>
  <c r="L503" i="7"/>
  <c r="K503" i="7"/>
  <c r="J503" i="7"/>
  <c r="I503" i="7"/>
  <c r="H503" i="7"/>
  <c r="G503" i="7"/>
  <c r="F503" i="7"/>
  <c r="E503" i="7"/>
  <c r="R497" i="7"/>
  <c r="R496" i="7" s="1"/>
  <c r="AE496" i="7"/>
  <c r="AD496" i="7"/>
  <c r="AB496" i="7"/>
  <c r="AA496" i="7"/>
  <c r="Z496" i="7"/>
  <c r="Y496" i="7"/>
  <c r="X496" i="7"/>
  <c r="W496" i="7"/>
  <c r="V496" i="7"/>
  <c r="U496" i="7"/>
  <c r="T496" i="7"/>
  <c r="S496" i="7"/>
  <c r="Q496" i="7"/>
  <c r="P496" i="7"/>
  <c r="O496" i="7"/>
  <c r="M496" i="7"/>
  <c r="L496" i="7"/>
  <c r="K496" i="7"/>
  <c r="J496" i="7"/>
  <c r="I496" i="7"/>
  <c r="H496" i="7"/>
  <c r="G496" i="7"/>
  <c r="F496" i="7"/>
  <c r="E496" i="7"/>
  <c r="CD495" i="7"/>
  <c r="AE494" i="7"/>
  <c r="AD494" i="7"/>
  <c r="AB494" i="7"/>
  <c r="AA494" i="7"/>
  <c r="Z494" i="7"/>
  <c r="Y494" i="7"/>
  <c r="X494" i="7"/>
  <c r="W494" i="7"/>
  <c r="V494" i="7"/>
  <c r="U494" i="7"/>
  <c r="T494" i="7"/>
  <c r="S494" i="7"/>
  <c r="R494" i="7"/>
  <c r="Q494" i="7"/>
  <c r="P494" i="7"/>
  <c r="O494" i="7"/>
  <c r="M494" i="7"/>
  <c r="L494" i="7"/>
  <c r="K494" i="7"/>
  <c r="J494" i="7"/>
  <c r="I494" i="7"/>
  <c r="H494" i="7"/>
  <c r="G494" i="7"/>
  <c r="F494" i="7"/>
  <c r="E494" i="7"/>
  <c r="AC493" i="7"/>
  <c r="D493" i="7" s="1"/>
  <c r="AC492" i="7"/>
  <c r="D492" i="7" s="1"/>
  <c r="CD491" i="7"/>
  <c r="CD490" i="7"/>
  <c r="AC490" i="7"/>
  <c r="D490" i="7" s="1"/>
  <c r="CD489" i="7"/>
  <c r="AC489" i="7"/>
  <c r="D489" i="7" s="1"/>
  <c r="AT488" i="7"/>
  <c r="AC488" i="7"/>
  <c r="D488" i="7" s="1"/>
  <c r="AC487" i="7"/>
  <c r="D487" i="7" s="1"/>
  <c r="CD486" i="7"/>
  <c r="AE485" i="7"/>
  <c r="AD485" i="7"/>
  <c r="AB485" i="7"/>
  <c r="AA485" i="7"/>
  <c r="Z485" i="7"/>
  <c r="Y485" i="7"/>
  <c r="X485" i="7"/>
  <c r="W485" i="7"/>
  <c r="V485" i="7"/>
  <c r="U485" i="7"/>
  <c r="T485" i="7"/>
  <c r="S485" i="7"/>
  <c r="R485" i="7"/>
  <c r="Q485" i="7"/>
  <c r="P485" i="7"/>
  <c r="O485" i="7"/>
  <c r="M485" i="7"/>
  <c r="L485" i="7"/>
  <c r="K485" i="7"/>
  <c r="J485" i="7"/>
  <c r="I485" i="7"/>
  <c r="H485" i="7"/>
  <c r="F485" i="7"/>
  <c r="E485" i="7"/>
  <c r="CD484" i="7"/>
  <c r="AC484" i="7"/>
  <c r="D484" i="7" s="1"/>
  <c r="AC483" i="7"/>
  <c r="D483" i="7" s="1"/>
  <c r="AC482" i="7"/>
  <c r="D482" i="7" s="1"/>
  <c r="CD481" i="7"/>
  <c r="AC481" i="7"/>
  <c r="D481" i="7" s="1"/>
  <c r="CD480" i="7"/>
  <c r="AC480" i="7"/>
  <c r="D480" i="7" s="1"/>
  <c r="AC479" i="7"/>
  <c r="D479" i="7" s="1"/>
  <c r="AC478" i="7"/>
  <c r="D478" i="7" s="1"/>
  <c r="AC477" i="7"/>
  <c r="D477" i="7" s="1"/>
  <c r="CD476" i="7"/>
  <c r="D476" i="7"/>
  <c r="CD474" i="7"/>
  <c r="D474" i="7"/>
  <c r="AE473" i="7"/>
  <c r="AD473" i="7"/>
  <c r="AB473" i="7"/>
  <c r="AA473" i="7"/>
  <c r="Z473" i="7"/>
  <c r="Y473" i="7"/>
  <c r="X473" i="7"/>
  <c r="W473" i="7"/>
  <c r="V473" i="7"/>
  <c r="U473" i="7"/>
  <c r="T473" i="7"/>
  <c r="S473" i="7"/>
  <c r="R473" i="7"/>
  <c r="Q473" i="7"/>
  <c r="P473" i="7"/>
  <c r="O473" i="7"/>
  <c r="M473" i="7"/>
  <c r="L473" i="7"/>
  <c r="K473" i="7"/>
  <c r="J473" i="7"/>
  <c r="I473" i="7"/>
  <c r="H473" i="7"/>
  <c r="G473" i="7"/>
  <c r="F473" i="7"/>
  <c r="E473" i="7"/>
  <c r="AC472" i="7"/>
  <c r="D472" i="7" s="1"/>
  <c r="CD471" i="7"/>
  <c r="AC471" i="7"/>
  <c r="D471" i="7" s="1"/>
  <c r="AD467" i="7"/>
  <c r="AC470" i="7"/>
  <c r="CD469" i="7"/>
  <c r="D469" i="7"/>
  <c r="AC468" i="7"/>
  <c r="D468" i="7" s="1"/>
  <c r="AE467" i="7"/>
  <c r="AB467" i="7"/>
  <c r="AA467" i="7"/>
  <c r="Z467" i="7"/>
  <c r="Y467" i="7"/>
  <c r="X467" i="7"/>
  <c r="W467" i="7"/>
  <c r="V467" i="7"/>
  <c r="U467" i="7"/>
  <c r="T467" i="7"/>
  <c r="S467" i="7"/>
  <c r="Q467" i="7"/>
  <c r="P467" i="7"/>
  <c r="O467" i="7"/>
  <c r="M467" i="7"/>
  <c r="L467" i="7"/>
  <c r="K467" i="7"/>
  <c r="J467" i="7"/>
  <c r="I467" i="7"/>
  <c r="H467" i="7"/>
  <c r="G467" i="7"/>
  <c r="F467" i="7"/>
  <c r="E467" i="7"/>
  <c r="AC466" i="7"/>
  <c r="D466" i="7" s="1"/>
  <c r="AE465" i="7"/>
  <c r="AD465" i="7"/>
  <c r="AB465" i="7"/>
  <c r="AA465" i="7"/>
  <c r="Z465" i="7"/>
  <c r="Y465" i="7"/>
  <c r="X465" i="7"/>
  <c r="W465" i="7"/>
  <c r="V465" i="7"/>
  <c r="U465" i="7"/>
  <c r="T465" i="7"/>
  <c r="S465" i="7"/>
  <c r="R465" i="7"/>
  <c r="Q465" i="7"/>
  <c r="P465" i="7"/>
  <c r="O465" i="7"/>
  <c r="M465" i="7"/>
  <c r="L465" i="7"/>
  <c r="K465" i="7"/>
  <c r="J465" i="7"/>
  <c r="I465" i="7"/>
  <c r="H465" i="7"/>
  <c r="G465" i="7"/>
  <c r="F465" i="7"/>
  <c r="E465" i="7"/>
  <c r="AD463" i="7"/>
  <c r="AC464" i="7"/>
  <c r="AE463" i="7"/>
  <c r="AB463" i="7"/>
  <c r="AA463" i="7"/>
  <c r="Z463" i="7"/>
  <c r="Y463" i="7"/>
  <c r="X463" i="7"/>
  <c r="W463" i="7"/>
  <c r="V463" i="7"/>
  <c r="U463" i="7"/>
  <c r="T463" i="7"/>
  <c r="S463" i="7"/>
  <c r="R463" i="7"/>
  <c r="Q463" i="7"/>
  <c r="P463" i="7"/>
  <c r="O463" i="7"/>
  <c r="M463" i="7"/>
  <c r="L463" i="7"/>
  <c r="K463" i="7"/>
  <c r="J463" i="7"/>
  <c r="I463" i="7"/>
  <c r="H463" i="7"/>
  <c r="G463" i="7"/>
  <c r="F463" i="7"/>
  <c r="E463" i="7"/>
  <c r="AE461" i="7"/>
  <c r="AD461" i="7"/>
  <c r="AB461" i="7"/>
  <c r="AA461" i="7"/>
  <c r="Z461" i="7"/>
  <c r="Y461" i="7"/>
  <c r="X461" i="7"/>
  <c r="W461" i="7"/>
  <c r="V461" i="7"/>
  <c r="U461" i="7"/>
  <c r="T461" i="7"/>
  <c r="S461" i="7"/>
  <c r="R461" i="7"/>
  <c r="Q461" i="7"/>
  <c r="P461" i="7"/>
  <c r="O461" i="7"/>
  <c r="M461" i="7"/>
  <c r="L461" i="7"/>
  <c r="K461" i="7"/>
  <c r="J461" i="7"/>
  <c r="I461" i="7"/>
  <c r="H461" i="7"/>
  <c r="G461" i="7"/>
  <c r="F461" i="7"/>
  <c r="E461" i="7"/>
  <c r="CD460" i="7"/>
  <c r="D460" i="7"/>
  <c r="AE459" i="7"/>
  <c r="AD459" i="7"/>
  <c r="AB459" i="7"/>
  <c r="AA459" i="7"/>
  <c r="Z459" i="7"/>
  <c r="Y459" i="7"/>
  <c r="X459" i="7"/>
  <c r="W459" i="7"/>
  <c r="V459" i="7"/>
  <c r="U459" i="7"/>
  <c r="T459" i="7"/>
  <c r="S459" i="7"/>
  <c r="R459" i="7"/>
  <c r="Q459" i="7"/>
  <c r="P459" i="7"/>
  <c r="O459" i="7"/>
  <c r="M459" i="7"/>
  <c r="L459" i="7"/>
  <c r="K459" i="7"/>
  <c r="J459" i="7"/>
  <c r="I459" i="7"/>
  <c r="H459" i="7"/>
  <c r="G459" i="7"/>
  <c r="F459" i="7"/>
  <c r="E459" i="7"/>
  <c r="CD458" i="7"/>
  <c r="AE457" i="7"/>
  <c r="AD457" i="7"/>
  <c r="AB457" i="7"/>
  <c r="AA457" i="7"/>
  <c r="Z457" i="7"/>
  <c r="Y457" i="7"/>
  <c r="X457" i="7"/>
  <c r="W457" i="7"/>
  <c r="V457" i="7"/>
  <c r="U457" i="7"/>
  <c r="T457" i="7"/>
  <c r="S457" i="7"/>
  <c r="R457" i="7"/>
  <c r="Q457" i="7"/>
  <c r="P457" i="7"/>
  <c r="O457" i="7"/>
  <c r="M457" i="7"/>
  <c r="L457" i="7"/>
  <c r="K457" i="7"/>
  <c r="J457" i="7"/>
  <c r="I457" i="7"/>
  <c r="H457" i="7"/>
  <c r="G457" i="7"/>
  <c r="F457" i="7"/>
  <c r="E457" i="7"/>
  <c r="CD456" i="7"/>
  <c r="D456" i="7"/>
  <c r="CD912" i="7"/>
  <c r="CD451" i="7"/>
  <c r="AC451" i="7"/>
  <c r="D451" i="7" s="1"/>
  <c r="CD450" i="7"/>
  <c r="AC450" i="7"/>
  <c r="D450" i="7" s="1"/>
  <c r="CD449" i="7"/>
  <c r="AC449" i="7"/>
  <c r="D449" i="7" s="1"/>
  <c r="D448" i="7"/>
  <c r="AC447" i="7"/>
  <c r="D447" i="7" s="1"/>
  <c r="AE444" i="7"/>
  <c r="AD444" i="7"/>
  <c r="AB444" i="7"/>
  <c r="AA444" i="7"/>
  <c r="Z444" i="7"/>
  <c r="Y444" i="7"/>
  <c r="X444" i="7"/>
  <c r="W444" i="7"/>
  <c r="V444" i="7"/>
  <c r="U444" i="7"/>
  <c r="T444" i="7"/>
  <c r="S444" i="7"/>
  <c r="R444" i="7"/>
  <c r="Q444" i="7"/>
  <c r="P444" i="7"/>
  <c r="O444" i="7"/>
  <c r="M444" i="7"/>
  <c r="L444" i="7"/>
  <c r="K444" i="7"/>
  <c r="J444" i="7"/>
  <c r="I444" i="7"/>
  <c r="H444" i="7"/>
  <c r="G444" i="7"/>
  <c r="F444" i="7"/>
  <c r="E444" i="7"/>
  <c r="D443" i="7"/>
  <c r="CD442" i="7"/>
  <c r="AC441" i="7"/>
  <c r="AE441" i="7"/>
  <c r="AD441" i="7"/>
  <c r="AB441" i="7"/>
  <c r="AA441" i="7"/>
  <c r="Z441" i="7"/>
  <c r="Y441" i="7"/>
  <c r="X441" i="7"/>
  <c r="W441" i="7"/>
  <c r="V441" i="7"/>
  <c r="U441" i="7"/>
  <c r="T441" i="7"/>
  <c r="S441" i="7"/>
  <c r="R441" i="7"/>
  <c r="Q441" i="7"/>
  <c r="P441" i="7"/>
  <c r="O441" i="7"/>
  <c r="M441" i="7"/>
  <c r="L441" i="7"/>
  <c r="K441" i="7"/>
  <c r="J441" i="7"/>
  <c r="I441" i="7"/>
  <c r="H441" i="7"/>
  <c r="G441" i="7"/>
  <c r="F441" i="7"/>
  <c r="E441" i="7"/>
  <c r="CD440" i="7"/>
  <c r="AC440" i="7"/>
  <c r="D440" i="7" s="1"/>
  <c r="AC439" i="7"/>
  <c r="D439" i="7" s="1"/>
  <c r="CD438" i="7"/>
  <c r="D438" i="7"/>
  <c r="CD437" i="7"/>
  <c r="D437" i="7"/>
  <c r="D436" i="7"/>
  <c r="AE435" i="7"/>
  <c r="AD435" i="7"/>
  <c r="AB435" i="7"/>
  <c r="AA435" i="7"/>
  <c r="Z435" i="7"/>
  <c r="Y435" i="7"/>
  <c r="X435" i="7"/>
  <c r="W435" i="7"/>
  <c r="V435" i="7"/>
  <c r="U435" i="7"/>
  <c r="T435" i="7"/>
  <c r="S435" i="7"/>
  <c r="R435" i="7"/>
  <c r="Q435" i="7"/>
  <c r="P435" i="7"/>
  <c r="O435" i="7"/>
  <c r="M435" i="7"/>
  <c r="L435" i="7"/>
  <c r="K435" i="7"/>
  <c r="J435" i="7"/>
  <c r="I435" i="7"/>
  <c r="H435" i="7"/>
  <c r="G435" i="7"/>
  <c r="F435" i="7"/>
  <c r="E435" i="7"/>
  <c r="AC434" i="7"/>
  <c r="D434" i="7" s="1"/>
  <c r="AC433" i="7"/>
  <c r="D433" i="7" s="1"/>
  <c r="AC432" i="7"/>
  <c r="D432" i="7" s="1"/>
  <c r="AC431" i="7"/>
  <c r="AC430" i="7"/>
  <c r="D430" i="7" s="1"/>
  <c r="AC429" i="7"/>
  <c r="D429" i="7" s="1"/>
  <c r="AE428" i="7"/>
  <c r="AD428" i="7"/>
  <c r="AB428" i="7"/>
  <c r="AA428" i="7"/>
  <c r="Z428" i="7"/>
  <c r="Y428" i="7"/>
  <c r="X428" i="7"/>
  <c r="W428" i="7"/>
  <c r="V428" i="7"/>
  <c r="U428" i="7"/>
  <c r="T428" i="7"/>
  <c r="S428" i="7"/>
  <c r="R428" i="7"/>
  <c r="Q428" i="7"/>
  <c r="P428" i="7"/>
  <c r="O428" i="7"/>
  <c r="M428" i="7"/>
  <c r="L428" i="7"/>
  <c r="K428" i="7"/>
  <c r="J428" i="7"/>
  <c r="I428" i="7"/>
  <c r="H428" i="7"/>
  <c r="F428" i="7"/>
  <c r="E428" i="7"/>
  <c r="AC427" i="7"/>
  <c r="D427" i="7" s="1"/>
  <c r="AC426" i="7"/>
  <c r="D426" i="7" s="1"/>
  <c r="AC425" i="7"/>
  <c r="AE422" i="7"/>
  <c r="AD422" i="7"/>
  <c r="AB422" i="7"/>
  <c r="AA422" i="7"/>
  <c r="Z422" i="7"/>
  <c r="Y422" i="7"/>
  <c r="X422" i="7"/>
  <c r="W422" i="7"/>
  <c r="V422" i="7"/>
  <c r="U422" i="7"/>
  <c r="T422" i="7"/>
  <c r="S422" i="7"/>
  <c r="R422" i="7"/>
  <c r="Q422" i="7"/>
  <c r="P422" i="7"/>
  <c r="O422" i="7"/>
  <c r="M422" i="7"/>
  <c r="L422" i="7"/>
  <c r="K422" i="7"/>
  <c r="J422" i="7"/>
  <c r="I422" i="7"/>
  <c r="H422" i="7"/>
  <c r="G422" i="7"/>
  <c r="F422" i="7"/>
  <c r="E422" i="7"/>
  <c r="U418" i="7"/>
  <c r="CD421" i="7"/>
  <c r="D421" i="7"/>
  <c r="CD420" i="7"/>
  <c r="CD419" i="7"/>
  <c r="AE418" i="7"/>
  <c r="AD418" i="7"/>
  <c r="AB418" i="7"/>
  <c r="AA418" i="7"/>
  <c r="Z418" i="7"/>
  <c r="Y418" i="7"/>
  <c r="X418" i="7"/>
  <c r="W418" i="7"/>
  <c r="V418" i="7"/>
  <c r="T418" i="7"/>
  <c r="S418" i="7"/>
  <c r="R418" i="7"/>
  <c r="Q418" i="7"/>
  <c r="P418" i="7"/>
  <c r="O418" i="7"/>
  <c r="M418" i="7"/>
  <c r="L418" i="7"/>
  <c r="K418" i="7"/>
  <c r="J418" i="7"/>
  <c r="I418" i="7"/>
  <c r="H418" i="7"/>
  <c r="G418" i="7"/>
  <c r="F418" i="7"/>
  <c r="E418" i="7"/>
  <c r="AC415" i="7"/>
  <c r="AC414" i="7" s="1"/>
  <c r="D413" i="7"/>
  <c r="AE412" i="7"/>
  <c r="AD412" i="7"/>
  <c r="AB412" i="7"/>
  <c r="AA412" i="7"/>
  <c r="Z412" i="7"/>
  <c r="Y412" i="7"/>
  <c r="X412" i="7"/>
  <c r="W412" i="7"/>
  <c r="V412" i="7"/>
  <c r="U412" i="7"/>
  <c r="T412" i="7"/>
  <c r="S412" i="7"/>
  <c r="R412" i="7"/>
  <c r="Q412" i="7"/>
  <c r="P412" i="7"/>
  <c r="O412" i="7"/>
  <c r="M412" i="7"/>
  <c r="L412" i="7"/>
  <c r="K412" i="7"/>
  <c r="J412" i="7"/>
  <c r="I412" i="7"/>
  <c r="H412" i="7"/>
  <c r="G412" i="7"/>
  <c r="F412" i="7"/>
  <c r="E412" i="7"/>
  <c r="AC407" i="7"/>
  <c r="D407" i="7" s="1"/>
  <c r="D406" i="7"/>
  <c r="D405" i="7"/>
  <c r="AE404" i="7"/>
  <c r="AD404" i="7"/>
  <c r="AB404" i="7"/>
  <c r="AA404" i="7"/>
  <c r="Z404" i="7"/>
  <c r="Y404" i="7"/>
  <c r="X404" i="7"/>
  <c r="W404" i="7"/>
  <c r="V404" i="7"/>
  <c r="U404" i="7"/>
  <c r="T404" i="7"/>
  <c r="S404" i="7"/>
  <c r="R404" i="7"/>
  <c r="Q404" i="7"/>
  <c r="P404" i="7"/>
  <c r="O404" i="7"/>
  <c r="M404" i="7"/>
  <c r="L404" i="7"/>
  <c r="K404" i="7"/>
  <c r="J404" i="7"/>
  <c r="I404" i="7"/>
  <c r="H404" i="7"/>
  <c r="G404" i="7"/>
  <c r="F404" i="7"/>
  <c r="E404" i="7"/>
  <c r="AE402" i="7"/>
  <c r="AD402" i="7"/>
  <c r="AB402" i="7"/>
  <c r="AA402" i="7"/>
  <c r="Z402" i="7"/>
  <c r="Y402" i="7"/>
  <c r="X402" i="7"/>
  <c r="W402" i="7"/>
  <c r="V402" i="7"/>
  <c r="U402" i="7"/>
  <c r="T402" i="7"/>
  <c r="S402" i="7"/>
  <c r="R402" i="7"/>
  <c r="Q402" i="7"/>
  <c r="P402" i="7"/>
  <c r="O402" i="7"/>
  <c r="M402" i="7"/>
  <c r="L402" i="7"/>
  <c r="K402" i="7"/>
  <c r="J402" i="7"/>
  <c r="I402" i="7"/>
  <c r="H402" i="7"/>
  <c r="G402" i="7"/>
  <c r="F402" i="7"/>
  <c r="E402" i="7"/>
  <c r="AC401" i="7"/>
  <c r="D401" i="7" s="1"/>
  <c r="D400" i="7"/>
  <c r="D399" i="7"/>
  <c r="AC398" i="7"/>
  <c r="AE397" i="7"/>
  <c r="AD397" i="7"/>
  <c r="AB397" i="7"/>
  <c r="AA397" i="7"/>
  <c r="Z397" i="7"/>
  <c r="Y397" i="7"/>
  <c r="X397" i="7"/>
  <c r="W397" i="7"/>
  <c r="V397" i="7"/>
  <c r="U397" i="7"/>
  <c r="T397" i="7"/>
  <c r="S397" i="7"/>
  <c r="R397" i="7"/>
  <c r="Q397" i="7"/>
  <c r="P397" i="7"/>
  <c r="O397" i="7"/>
  <c r="M397" i="7"/>
  <c r="L397" i="7"/>
  <c r="K397" i="7"/>
  <c r="J397" i="7"/>
  <c r="I397" i="7"/>
  <c r="H397" i="7"/>
  <c r="G397" i="7"/>
  <c r="F397" i="7"/>
  <c r="E397" i="7"/>
  <c r="CD396" i="7"/>
  <c r="AC396" i="7"/>
  <c r="D396" i="7" s="1"/>
  <c r="AE395" i="7"/>
  <c r="AD395" i="7"/>
  <c r="AB395" i="7"/>
  <c r="AA395" i="7"/>
  <c r="Z395" i="7"/>
  <c r="Y395" i="7"/>
  <c r="X395" i="7"/>
  <c r="W395" i="7"/>
  <c r="V395" i="7"/>
  <c r="U395" i="7"/>
  <c r="T395" i="7"/>
  <c r="S395" i="7"/>
  <c r="R395" i="7"/>
  <c r="Q395" i="7"/>
  <c r="P395" i="7"/>
  <c r="O395" i="7"/>
  <c r="M395" i="7"/>
  <c r="L395" i="7"/>
  <c r="K395" i="7"/>
  <c r="J395" i="7"/>
  <c r="I395" i="7"/>
  <c r="H395" i="7"/>
  <c r="G395" i="7"/>
  <c r="F395" i="7"/>
  <c r="E395" i="7"/>
  <c r="AC394" i="7"/>
  <c r="D394" i="7" s="1"/>
  <c r="AC393" i="7"/>
  <c r="AE392" i="7"/>
  <c r="AD392" i="7"/>
  <c r="AB392" i="7"/>
  <c r="AA392" i="7"/>
  <c r="Z392" i="7"/>
  <c r="Y392" i="7"/>
  <c r="X392" i="7"/>
  <c r="W392" i="7"/>
  <c r="V392" i="7"/>
  <c r="U392" i="7"/>
  <c r="T392" i="7"/>
  <c r="S392" i="7"/>
  <c r="R392" i="7"/>
  <c r="Q392" i="7"/>
  <c r="P392" i="7"/>
  <c r="O392" i="7"/>
  <c r="M392" i="7"/>
  <c r="L392" i="7"/>
  <c r="K392" i="7"/>
  <c r="J392" i="7"/>
  <c r="I392" i="7"/>
  <c r="H392" i="7"/>
  <c r="G392" i="7"/>
  <c r="F392" i="7"/>
  <c r="E392" i="7"/>
  <c r="AC391" i="7"/>
  <c r="D391" i="7" s="1"/>
  <c r="AC390" i="7"/>
  <c r="D390" i="7" s="1"/>
  <c r="R387" i="7"/>
  <c r="CD388" i="7"/>
  <c r="AE387" i="7"/>
  <c r="AD387" i="7"/>
  <c r="AB387" i="7"/>
  <c r="AA387" i="7"/>
  <c r="Z387" i="7"/>
  <c r="Y387" i="7"/>
  <c r="X387" i="7"/>
  <c r="W387" i="7"/>
  <c r="V387" i="7"/>
  <c r="U387" i="7"/>
  <c r="T387" i="7"/>
  <c r="S387" i="7"/>
  <c r="Q387" i="7"/>
  <c r="P387" i="7"/>
  <c r="O387" i="7"/>
  <c r="M387" i="7"/>
  <c r="L387" i="7"/>
  <c r="K387" i="7"/>
  <c r="J387" i="7"/>
  <c r="I387" i="7"/>
  <c r="H387" i="7"/>
  <c r="G387" i="7"/>
  <c r="F387" i="7"/>
  <c r="E387" i="7"/>
  <c r="AC386" i="7"/>
  <c r="AE385" i="7"/>
  <c r="AD385" i="7"/>
  <c r="AB385" i="7"/>
  <c r="AA385" i="7"/>
  <c r="Z385" i="7"/>
  <c r="Y385" i="7"/>
  <c r="X385" i="7"/>
  <c r="W385" i="7"/>
  <c r="V385" i="7"/>
  <c r="U385" i="7"/>
  <c r="T385" i="7"/>
  <c r="S385" i="7"/>
  <c r="R385" i="7"/>
  <c r="Q385" i="7"/>
  <c r="P385" i="7"/>
  <c r="O385" i="7"/>
  <c r="M385" i="7"/>
  <c r="L385" i="7"/>
  <c r="K385" i="7"/>
  <c r="J385" i="7"/>
  <c r="I385" i="7"/>
  <c r="H385" i="7"/>
  <c r="G385" i="7"/>
  <c r="F385" i="7"/>
  <c r="E385" i="7"/>
  <c r="CD384" i="7"/>
  <c r="AE383" i="7"/>
  <c r="AD383" i="7"/>
  <c r="AB383" i="7"/>
  <c r="AA383" i="7"/>
  <c r="Z383" i="7"/>
  <c r="Y383" i="7"/>
  <c r="X383" i="7"/>
  <c r="W383" i="7"/>
  <c r="V383" i="7"/>
  <c r="U383" i="7"/>
  <c r="T383" i="7"/>
  <c r="S383" i="7"/>
  <c r="R383" i="7"/>
  <c r="Q383" i="7"/>
  <c r="P383" i="7"/>
  <c r="O383" i="7"/>
  <c r="M383" i="7"/>
  <c r="L383" i="7"/>
  <c r="K383" i="7"/>
  <c r="J383" i="7"/>
  <c r="I383" i="7"/>
  <c r="H383" i="7"/>
  <c r="G383" i="7"/>
  <c r="F383" i="7"/>
  <c r="E383" i="7"/>
  <c r="AC382" i="7"/>
  <c r="D382" i="7" s="1"/>
  <c r="CD381" i="7"/>
  <c r="AC381" i="7"/>
  <c r="D381" i="7" s="1"/>
  <c r="AE380" i="7"/>
  <c r="AD380" i="7"/>
  <c r="AB380" i="7"/>
  <c r="AA380" i="7"/>
  <c r="Z380" i="7"/>
  <c r="Y380" i="7"/>
  <c r="X380" i="7"/>
  <c r="W380" i="7"/>
  <c r="V380" i="7"/>
  <c r="U380" i="7"/>
  <c r="T380" i="7"/>
  <c r="S380" i="7"/>
  <c r="R380" i="7"/>
  <c r="Q380" i="7"/>
  <c r="P380" i="7"/>
  <c r="O380" i="7"/>
  <c r="M380" i="7"/>
  <c r="L380" i="7"/>
  <c r="K380" i="7"/>
  <c r="J380" i="7"/>
  <c r="I380" i="7"/>
  <c r="H380" i="7"/>
  <c r="G380" i="7"/>
  <c r="F380" i="7"/>
  <c r="E380" i="7"/>
  <c r="CD379" i="7"/>
  <c r="D379" i="7"/>
  <c r="CD378" i="7"/>
  <c r="AC378" i="7"/>
  <c r="D378" i="7" s="1"/>
  <c r="CD377" i="7"/>
  <c r="AC377" i="7"/>
  <c r="D377" i="7" s="1"/>
  <c r="AC376" i="7"/>
  <c r="D376" i="7" s="1"/>
  <c r="CD375" i="7"/>
  <c r="D375" i="7"/>
  <c r="CD374" i="7"/>
  <c r="AC374" i="7"/>
  <c r="D374" i="7" s="1"/>
  <c r="CD373" i="7"/>
  <c r="D373" i="7"/>
  <c r="AC372" i="7"/>
  <c r="D372" i="7" s="1"/>
  <c r="CD370" i="7"/>
  <c r="D370" i="7"/>
  <c r="CD369" i="7"/>
  <c r="D369" i="7"/>
  <c r="AC368" i="7"/>
  <c r="D368" i="7" s="1"/>
  <c r="AC367" i="7"/>
  <c r="AC366" i="7"/>
  <c r="D366" i="7" s="1"/>
  <c r="AE365" i="7"/>
  <c r="AD365" i="7"/>
  <c r="AB365" i="7"/>
  <c r="AA365" i="7"/>
  <c r="Z365" i="7"/>
  <c r="Y365" i="7"/>
  <c r="X365" i="7"/>
  <c r="W365" i="7"/>
  <c r="V365" i="7"/>
  <c r="U365" i="7"/>
  <c r="T365" i="7"/>
  <c r="S365" i="7"/>
  <c r="R365" i="7"/>
  <c r="Q365" i="7"/>
  <c r="P365" i="7"/>
  <c r="O365" i="7"/>
  <c r="M365" i="7"/>
  <c r="L365" i="7"/>
  <c r="K365" i="7"/>
  <c r="J365" i="7"/>
  <c r="I365" i="7"/>
  <c r="H365" i="7"/>
  <c r="F365" i="7"/>
  <c r="E365" i="7"/>
  <c r="AC364" i="7"/>
  <c r="D364" i="7" s="1"/>
  <c r="AE363" i="7"/>
  <c r="AD363" i="7"/>
  <c r="AB363" i="7"/>
  <c r="AA363" i="7"/>
  <c r="Z363" i="7"/>
  <c r="Y363" i="7"/>
  <c r="X363" i="7"/>
  <c r="W363" i="7"/>
  <c r="V363" i="7"/>
  <c r="U363" i="7"/>
  <c r="T363" i="7"/>
  <c r="S363" i="7"/>
  <c r="R363" i="7"/>
  <c r="Q363" i="7"/>
  <c r="P363" i="7"/>
  <c r="O363" i="7"/>
  <c r="M363" i="7"/>
  <c r="L363" i="7"/>
  <c r="K363" i="7"/>
  <c r="J363" i="7"/>
  <c r="I363" i="7"/>
  <c r="H363" i="7"/>
  <c r="G363" i="7"/>
  <c r="F363" i="7"/>
  <c r="E363" i="7"/>
  <c r="AC362" i="7"/>
  <c r="D362" i="7" s="1"/>
  <c r="AE360" i="7"/>
  <c r="AD360" i="7"/>
  <c r="AB360" i="7"/>
  <c r="AA360" i="7"/>
  <c r="Z360" i="7"/>
  <c r="Y360" i="7"/>
  <c r="X360" i="7"/>
  <c r="W360" i="7"/>
  <c r="V360" i="7"/>
  <c r="U360" i="7"/>
  <c r="T360" i="7"/>
  <c r="S360" i="7"/>
  <c r="R360" i="7"/>
  <c r="Q360" i="7"/>
  <c r="P360" i="7"/>
  <c r="O360" i="7"/>
  <c r="M360" i="7"/>
  <c r="L360" i="7"/>
  <c r="K360" i="7"/>
  <c r="J360" i="7"/>
  <c r="I360" i="7"/>
  <c r="H360" i="7"/>
  <c r="G360" i="7"/>
  <c r="F360" i="7"/>
  <c r="E360" i="7"/>
  <c r="D359" i="7"/>
  <c r="D358" i="7"/>
  <c r="AC357" i="7"/>
  <c r="D357" i="7" s="1"/>
  <c r="AE356" i="7"/>
  <c r="AD356" i="7"/>
  <c r="AB356" i="7"/>
  <c r="AA356" i="7"/>
  <c r="Z356" i="7"/>
  <c r="Y356" i="7"/>
  <c r="X356" i="7"/>
  <c r="W356" i="7"/>
  <c r="V356" i="7"/>
  <c r="U356" i="7"/>
  <c r="T356" i="7"/>
  <c r="S356" i="7"/>
  <c r="R356" i="7"/>
  <c r="Q356" i="7"/>
  <c r="P356" i="7"/>
  <c r="O356" i="7"/>
  <c r="M356" i="7"/>
  <c r="L356" i="7"/>
  <c r="K356" i="7"/>
  <c r="J356" i="7"/>
  <c r="I356" i="7"/>
  <c r="H356" i="7"/>
  <c r="G356" i="7"/>
  <c r="F356" i="7"/>
  <c r="E356" i="7"/>
  <c r="AC355" i="7"/>
  <c r="D355" i="7" s="1"/>
  <c r="CD354" i="7"/>
  <c r="D354" i="7"/>
  <c r="AE353" i="7"/>
  <c r="AD353" i="7"/>
  <c r="AB353" i="7"/>
  <c r="AA353" i="7"/>
  <c r="Z353" i="7"/>
  <c r="Y353" i="7"/>
  <c r="X353" i="7"/>
  <c r="W353" i="7"/>
  <c r="V353" i="7"/>
  <c r="U353" i="7"/>
  <c r="T353" i="7"/>
  <c r="S353" i="7"/>
  <c r="R353" i="7"/>
  <c r="Q353" i="7"/>
  <c r="P353" i="7"/>
  <c r="O353" i="7"/>
  <c r="M353" i="7"/>
  <c r="L353" i="7"/>
  <c r="K353" i="7"/>
  <c r="J353" i="7"/>
  <c r="I353" i="7"/>
  <c r="H353" i="7"/>
  <c r="G353" i="7"/>
  <c r="F353" i="7"/>
  <c r="E353" i="7"/>
  <c r="AC830" i="7"/>
  <c r="D830" i="7" s="1"/>
  <c r="D352" i="7"/>
  <c r="AC351" i="7"/>
  <c r="CD349" i="7"/>
  <c r="AC349" i="7"/>
  <c r="D349" i="7" s="1"/>
  <c r="CD348" i="7"/>
  <c r="AC348" i="7"/>
  <c r="D348" i="7" s="1"/>
  <c r="AC347" i="7"/>
  <c r="D347" i="7" s="1"/>
  <c r="AC346" i="7"/>
  <c r="D346" i="7" s="1"/>
  <c r="AE344" i="7"/>
  <c r="AD344" i="7"/>
  <c r="AB344" i="7"/>
  <c r="AA344" i="7"/>
  <c r="Z344" i="7"/>
  <c r="Y344" i="7"/>
  <c r="X344" i="7"/>
  <c r="W344" i="7"/>
  <c r="V344" i="7"/>
  <c r="U344" i="7"/>
  <c r="T344" i="7"/>
  <c r="S344" i="7"/>
  <c r="R344" i="7"/>
  <c r="Q344" i="7"/>
  <c r="P344" i="7"/>
  <c r="O344" i="7"/>
  <c r="M344" i="7"/>
  <c r="L344" i="7"/>
  <c r="K344" i="7"/>
  <c r="J344" i="7"/>
  <c r="I344" i="7"/>
  <c r="H344" i="7"/>
  <c r="G344" i="7"/>
  <c r="F344" i="7"/>
  <c r="E344" i="7"/>
  <c r="CD341" i="7"/>
  <c r="AC341" i="7"/>
  <c r="D341" i="7" s="1"/>
  <c r="CD340" i="7"/>
  <c r="AC340" i="7"/>
  <c r="D340" i="7" s="1"/>
  <c r="CD339" i="7"/>
  <c r="D339" i="7"/>
  <c r="CD338" i="7"/>
  <c r="D338" i="7"/>
  <c r="CD337" i="7"/>
  <c r="AC337" i="7"/>
  <c r="D337" i="7" s="1"/>
  <c r="AC336" i="7"/>
  <c r="D336" i="7" s="1"/>
  <c r="AC333" i="7"/>
  <c r="D333" i="7" s="1"/>
  <c r="AC332" i="7"/>
  <c r="D332" i="7" s="1"/>
  <c r="AC331" i="7"/>
  <c r="D331" i="7" s="1"/>
  <c r="AC330" i="7"/>
  <c r="D330" i="7" s="1"/>
  <c r="AC329" i="7"/>
  <c r="D329" i="7" s="1"/>
  <c r="AC328" i="7"/>
  <c r="D328" i="7" s="1"/>
  <c r="AE327" i="7"/>
  <c r="AD327" i="7"/>
  <c r="AB327" i="7"/>
  <c r="AA327" i="7"/>
  <c r="Z327" i="7"/>
  <c r="Y327" i="7"/>
  <c r="X327" i="7"/>
  <c r="W327" i="7"/>
  <c r="V327" i="7"/>
  <c r="U327" i="7"/>
  <c r="T327" i="7"/>
  <c r="S327" i="7"/>
  <c r="Q327" i="7"/>
  <c r="P327" i="7"/>
  <c r="O327" i="7"/>
  <c r="M327" i="7"/>
  <c r="L327" i="7"/>
  <c r="K327" i="7"/>
  <c r="J327" i="7"/>
  <c r="I327" i="7"/>
  <c r="H327" i="7"/>
  <c r="G327" i="7"/>
  <c r="F327" i="7"/>
  <c r="E327" i="7"/>
  <c r="CD326" i="7"/>
  <c r="AC326" i="7"/>
  <c r="D326" i="7" s="1"/>
  <c r="CD325" i="7"/>
  <c r="D325" i="7"/>
  <c r="CD324" i="7"/>
  <c r="AC324" i="7"/>
  <c r="D324" i="7" s="1"/>
  <c r="AC323" i="7"/>
  <c r="D323" i="7" s="1"/>
  <c r="AC322" i="7"/>
  <c r="D322" i="7" s="1"/>
  <c r="D321" i="7"/>
  <c r="CD320" i="7"/>
  <c r="AC320" i="7"/>
  <c r="D320" i="7" s="1"/>
  <c r="CD809" i="7"/>
  <c r="AC809" i="7"/>
  <c r="D809" i="7" s="1"/>
  <c r="R311" i="7"/>
  <c r="AC319" i="7"/>
  <c r="D319" i="7" s="1"/>
  <c r="D317" i="7"/>
  <c r="CD316" i="7"/>
  <c r="AC316" i="7"/>
  <c r="D316" i="7" s="1"/>
  <c r="CD315" i="7"/>
  <c r="AC315" i="7"/>
  <c r="D315" i="7" s="1"/>
  <c r="AC314" i="7"/>
  <c r="D314" i="7" s="1"/>
  <c r="D313" i="7"/>
  <c r="AC312" i="7"/>
  <c r="D312" i="7" s="1"/>
  <c r="AE311" i="7"/>
  <c r="AD311" i="7"/>
  <c r="AB311" i="7"/>
  <c r="AA311" i="7"/>
  <c r="Z311" i="7"/>
  <c r="Y311" i="7"/>
  <c r="X311" i="7"/>
  <c r="W311" i="7"/>
  <c r="V311" i="7"/>
  <c r="U311" i="7"/>
  <c r="T311" i="7"/>
  <c r="S311" i="7"/>
  <c r="Q311" i="7"/>
  <c r="P311" i="7"/>
  <c r="O311" i="7"/>
  <c r="M311" i="7"/>
  <c r="L311" i="7"/>
  <c r="K311" i="7"/>
  <c r="J311" i="7"/>
  <c r="I311" i="7"/>
  <c r="H311" i="7"/>
  <c r="G311" i="7"/>
  <c r="F311" i="7"/>
  <c r="E311" i="7"/>
  <c r="AE309" i="7"/>
  <c r="AD309" i="7"/>
  <c r="AB309" i="7"/>
  <c r="AA309" i="7"/>
  <c r="Z309" i="7"/>
  <c r="Y309" i="7"/>
  <c r="X309" i="7"/>
  <c r="W309" i="7"/>
  <c r="V309" i="7"/>
  <c r="U309" i="7"/>
  <c r="T309" i="7"/>
  <c r="S309" i="7"/>
  <c r="R309" i="7"/>
  <c r="Q309" i="7"/>
  <c r="P309" i="7"/>
  <c r="O309" i="7"/>
  <c r="M309" i="7"/>
  <c r="L309" i="7"/>
  <c r="K309" i="7"/>
  <c r="J309" i="7"/>
  <c r="I309" i="7"/>
  <c r="H309" i="7"/>
  <c r="G309" i="7"/>
  <c r="F309" i="7"/>
  <c r="E309" i="7"/>
  <c r="AC308" i="7"/>
  <c r="D308" i="7" s="1"/>
  <c r="AC307" i="7"/>
  <c r="D307" i="7" s="1"/>
  <c r="AC306" i="7"/>
  <c r="D306" i="7" s="1"/>
  <c r="I303" i="7"/>
  <c r="D304" i="7"/>
  <c r="AE303" i="7"/>
  <c r="AD303" i="7"/>
  <c r="AB303" i="7"/>
  <c r="AA303" i="7"/>
  <c r="Z303" i="7"/>
  <c r="Y303" i="7"/>
  <c r="X303" i="7"/>
  <c r="W303" i="7"/>
  <c r="V303" i="7"/>
  <c r="U303" i="7"/>
  <c r="T303" i="7"/>
  <c r="S303" i="7"/>
  <c r="R303" i="7"/>
  <c r="Q303" i="7"/>
  <c r="P303" i="7"/>
  <c r="O303" i="7"/>
  <c r="M303" i="7"/>
  <c r="L303" i="7"/>
  <c r="K303" i="7"/>
  <c r="J303" i="7"/>
  <c r="H303" i="7"/>
  <c r="G303" i="7"/>
  <c r="F303" i="7"/>
  <c r="E303" i="7"/>
  <c r="AC302" i="7"/>
  <c r="D302" i="7" s="1"/>
  <c r="AC301" i="7"/>
  <c r="D301" i="7" s="1"/>
  <c r="D300" i="7"/>
  <c r="D299" i="7"/>
  <c r="AC298" i="7"/>
  <c r="AE297" i="7"/>
  <c r="AD297" i="7"/>
  <c r="AB297" i="7"/>
  <c r="AA297" i="7"/>
  <c r="Z297" i="7"/>
  <c r="Y297" i="7"/>
  <c r="X297" i="7"/>
  <c r="W297" i="7"/>
  <c r="V297" i="7"/>
  <c r="U297" i="7"/>
  <c r="T297" i="7"/>
  <c r="S297" i="7"/>
  <c r="R297" i="7"/>
  <c r="Q297" i="7"/>
  <c r="P297" i="7"/>
  <c r="O297" i="7"/>
  <c r="M297" i="7"/>
  <c r="L297" i="7"/>
  <c r="K297" i="7"/>
  <c r="J297" i="7"/>
  <c r="I297" i="7"/>
  <c r="H297" i="7"/>
  <c r="G297" i="7"/>
  <c r="F297" i="7"/>
  <c r="E297" i="7"/>
  <c r="CD295" i="7"/>
  <c r="D295" i="7"/>
  <c r="AE294" i="7"/>
  <c r="AD294" i="7"/>
  <c r="AB294" i="7"/>
  <c r="AA294" i="7"/>
  <c r="Z294" i="7"/>
  <c r="Y294" i="7"/>
  <c r="X294" i="7"/>
  <c r="W294" i="7"/>
  <c r="V294" i="7"/>
  <c r="U294" i="7"/>
  <c r="T294" i="7"/>
  <c r="S294" i="7"/>
  <c r="R294" i="7"/>
  <c r="Q294" i="7"/>
  <c r="P294" i="7"/>
  <c r="O294" i="7"/>
  <c r="M294" i="7"/>
  <c r="L294" i="7"/>
  <c r="K294" i="7"/>
  <c r="J294" i="7"/>
  <c r="I294" i="7"/>
  <c r="H294" i="7"/>
  <c r="G294" i="7"/>
  <c r="F294" i="7"/>
  <c r="E294" i="7"/>
  <c r="AE292" i="7"/>
  <c r="AD292" i="7"/>
  <c r="AB292" i="7"/>
  <c r="AA292" i="7"/>
  <c r="Z292" i="7"/>
  <c r="Y292" i="7"/>
  <c r="X292" i="7"/>
  <c r="W292" i="7"/>
  <c r="U292" i="7"/>
  <c r="T292" i="7"/>
  <c r="S292" i="7"/>
  <c r="R292" i="7"/>
  <c r="Q292" i="7"/>
  <c r="P292" i="7"/>
  <c r="O292" i="7"/>
  <c r="M292" i="7"/>
  <c r="L292" i="7"/>
  <c r="K292" i="7"/>
  <c r="J292" i="7"/>
  <c r="I292" i="7"/>
  <c r="H292" i="7"/>
  <c r="G292" i="7"/>
  <c r="F292" i="7"/>
  <c r="E292" i="7"/>
  <c r="CD291" i="7"/>
  <c r="CD290" i="7"/>
  <c r="D290" i="7"/>
  <c r="D289" i="7"/>
  <c r="D288" i="7"/>
  <c r="AE287" i="7"/>
  <c r="AD287" i="7"/>
  <c r="AB287" i="7"/>
  <c r="AA287" i="7"/>
  <c r="Z287" i="7"/>
  <c r="Y287" i="7"/>
  <c r="X287" i="7"/>
  <c r="W287" i="7"/>
  <c r="V287" i="7"/>
  <c r="U287" i="7"/>
  <c r="T287" i="7"/>
  <c r="S287" i="7"/>
  <c r="R287" i="7"/>
  <c r="Q287" i="7"/>
  <c r="P287" i="7"/>
  <c r="O287" i="7"/>
  <c r="M287" i="7"/>
  <c r="L287" i="7"/>
  <c r="K287" i="7"/>
  <c r="J287" i="7"/>
  <c r="I287" i="7"/>
  <c r="H287" i="7"/>
  <c r="F287" i="7"/>
  <c r="E287" i="7"/>
  <c r="CD285" i="7"/>
  <c r="D285" i="7"/>
  <c r="D284" i="7"/>
  <c r="D283" i="7"/>
  <c r="D282" i="7"/>
  <c r="AC281" i="7"/>
  <c r="AE280" i="7"/>
  <c r="AD280" i="7"/>
  <c r="AB280" i="7"/>
  <c r="AA280" i="7"/>
  <c r="Z280" i="7"/>
  <c r="Y280" i="7"/>
  <c r="X280" i="7"/>
  <c r="W280" i="7"/>
  <c r="V280" i="7"/>
  <c r="U280" i="7"/>
  <c r="T280" i="7"/>
  <c r="S280" i="7"/>
  <c r="Q280" i="7"/>
  <c r="P280" i="7"/>
  <c r="O280" i="7"/>
  <c r="M280" i="7"/>
  <c r="L280" i="7"/>
  <c r="K280" i="7"/>
  <c r="J280" i="7"/>
  <c r="I280" i="7"/>
  <c r="H280" i="7"/>
  <c r="G280" i="7"/>
  <c r="F280" i="7"/>
  <c r="E280" i="7"/>
  <c r="CD279" i="7"/>
  <c r="D279" i="7"/>
  <c r="CD278" i="7"/>
  <c r="D278" i="7"/>
  <c r="CD277" i="7"/>
  <c r="D277" i="7"/>
  <c r="AC774" i="7"/>
  <c r="D774" i="7" s="1"/>
  <c r="D275" i="7"/>
  <c r="AE274" i="7"/>
  <c r="AD274" i="7"/>
  <c r="AB274" i="7"/>
  <c r="AA274" i="7"/>
  <c r="Z274" i="7"/>
  <c r="Y274" i="7"/>
  <c r="X274" i="7"/>
  <c r="W274" i="7"/>
  <c r="V274" i="7"/>
  <c r="U274" i="7"/>
  <c r="T274" i="7"/>
  <c r="S274" i="7"/>
  <c r="R274" i="7"/>
  <c r="Q274" i="7"/>
  <c r="P274" i="7"/>
  <c r="O274" i="7"/>
  <c r="M274" i="7"/>
  <c r="L274" i="7"/>
  <c r="K274" i="7"/>
  <c r="J274" i="7"/>
  <c r="I274" i="7"/>
  <c r="H274" i="7"/>
  <c r="G274" i="7"/>
  <c r="F274" i="7"/>
  <c r="E274" i="7"/>
  <c r="AC271" i="7"/>
  <c r="D271" i="7" s="1"/>
  <c r="D270" i="7"/>
  <c r="CD269" i="7"/>
  <c r="D269" i="7"/>
  <c r="CD268" i="7"/>
  <c r="D268" i="7"/>
  <c r="AC267" i="7"/>
  <c r="D267" i="7" s="1"/>
  <c r="CD266" i="7"/>
  <c r="D266" i="7"/>
  <c r="CD265" i="7"/>
  <c r="D265" i="7"/>
  <c r="D264" i="7"/>
  <c r="D263" i="7"/>
  <c r="AC262" i="7"/>
  <c r="D262" i="7" s="1"/>
  <c r="CD261" i="7"/>
  <c r="AC261" i="7"/>
  <c r="D261" i="7" s="1"/>
  <c r="CD259" i="7"/>
  <c r="D259" i="7"/>
  <c r="AC258" i="7"/>
  <c r="D258" i="7" s="1"/>
  <c r="D257" i="7"/>
  <c r="AC256" i="7"/>
  <c r="D256" i="7" s="1"/>
  <c r="D255" i="7"/>
  <c r="CD254" i="7"/>
  <c r="D254" i="7"/>
  <c r="CD253" i="7"/>
  <c r="D253" i="7"/>
  <c r="CD252" i="7"/>
  <c r="D252" i="7"/>
  <c r="AT251" i="7"/>
  <c r="D251" i="7"/>
  <c r="AC249" i="7"/>
  <c r="D249" i="7" s="1"/>
  <c r="D248" i="7"/>
  <c r="AE247" i="7"/>
  <c r="AD247" i="7"/>
  <c r="AB247" i="7"/>
  <c r="AA247" i="7"/>
  <c r="Z247" i="7"/>
  <c r="Y247" i="7"/>
  <c r="X247" i="7"/>
  <c r="W247" i="7"/>
  <c r="V247" i="7"/>
  <c r="U247" i="7"/>
  <c r="T247" i="7"/>
  <c r="S247" i="7"/>
  <c r="R247" i="7"/>
  <c r="Q247" i="7"/>
  <c r="P247" i="7"/>
  <c r="O247" i="7"/>
  <c r="M247" i="7"/>
  <c r="L247" i="7"/>
  <c r="K247" i="7"/>
  <c r="J247" i="7"/>
  <c r="I247" i="7"/>
  <c r="H247" i="7"/>
  <c r="G247" i="7"/>
  <c r="F247" i="7"/>
  <c r="E247" i="7"/>
  <c r="AC244" i="7"/>
  <c r="D244" i="7" s="1"/>
  <c r="D243" i="7"/>
  <c r="CD242" i="7"/>
  <c r="AE241" i="7"/>
  <c r="AD241" i="7"/>
  <c r="AB241" i="7"/>
  <c r="AA241" i="7"/>
  <c r="Z241" i="7"/>
  <c r="Y241" i="7"/>
  <c r="X241" i="7"/>
  <c r="W241" i="7"/>
  <c r="V241" i="7"/>
  <c r="U241" i="7"/>
  <c r="T241" i="7"/>
  <c r="S241" i="7"/>
  <c r="R241" i="7"/>
  <c r="Q241" i="7"/>
  <c r="P241" i="7"/>
  <c r="O241" i="7"/>
  <c r="M241" i="7"/>
  <c r="K241" i="7"/>
  <c r="J241" i="7"/>
  <c r="I241" i="7"/>
  <c r="H241" i="7"/>
  <c r="F241" i="7"/>
  <c r="E241" i="7"/>
  <c r="D232" i="7"/>
  <c r="D231" i="7"/>
  <c r="D230" i="7"/>
  <c r="D229" i="7"/>
  <c r="D228" i="7"/>
  <c r="D227" i="7"/>
  <c r="D226" i="7"/>
  <c r="D225" i="7"/>
  <c r="AC224" i="7"/>
  <c r="D224" i="7" s="1"/>
  <c r="D223" i="7"/>
  <c r="AC222" i="7"/>
  <c r="D222" i="7" s="1"/>
  <c r="D221" i="7"/>
  <c r="D220" i="7"/>
  <c r="D219" i="7"/>
  <c r="CD218" i="7"/>
  <c r="D218" i="7"/>
  <c r="CD217" i="7"/>
  <c r="AC217" i="7"/>
  <c r="D217" i="7" s="1"/>
  <c r="D216" i="7"/>
  <c r="D215" i="7"/>
  <c r="AC214" i="7"/>
  <c r="D214" i="7" s="1"/>
  <c r="CD213" i="7"/>
  <c r="AC213" i="7"/>
  <c r="D213" i="7" s="1"/>
  <c r="D212" i="7"/>
  <c r="AC211" i="7"/>
  <c r="D211" i="7" s="1"/>
  <c r="D210" i="7"/>
  <c r="D209" i="7"/>
  <c r="D208" i="7"/>
  <c r="D207" i="7"/>
  <c r="AC206" i="7"/>
  <c r="D206" i="7" s="1"/>
  <c r="AC204" i="7"/>
  <c r="D204" i="7" s="1"/>
  <c r="AE203" i="7"/>
  <c r="AD203" i="7"/>
  <c r="AB203" i="7"/>
  <c r="AA203" i="7"/>
  <c r="Z203" i="7"/>
  <c r="Y203" i="7"/>
  <c r="X203" i="7"/>
  <c r="W203" i="7"/>
  <c r="V203" i="7"/>
  <c r="U203" i="7"/>
  <c r="T203" i="7"/>
  <c r="S203" i="7"/>
  <c r="Q203" i="7"/>
  <c r="P203" i="7"/>
  <c r="O203" i="7"/>
  <c r="M203" i="7"/>
  <c r="L203" i="7"/>
  <c r="K203" i="7"/>
  <c r="J203" i="7"/>
  <c r="I203" i="7"/>
  <c r="H203" i="7"/>
  <c r="F203" i="7"/>
  <c r="E203" i="7"/>
  <c r="T157" i="7"/>
  <c r="AC193" i="7"/>
  <c r="D193" i="7" s="1"/>
  <c r="AC192" i="7"/>
  <c r="D192" i="7" s="1"/>
  <c r="CD191" i="7"/>
  <c r="D191" i="7"/>
  <c r="AC190" i="7"/>
  <c r="D190" i="7" s="1"/>
  <c r="D189" i="7"/>
  <c r="AC188" i="7"/>
  <c r="D188" i="7" s="1"/>
  <c r="AC187" i="7"/>
  <c r="D187" i="7" s="1"/>
  <c r="AC186" i="7"/>
  <c r="D186" i="7" s="1"/>
  <c r="AC185" i="7"/>
  <c r="D185" i="7" s="1"/>
  <c r="D184" i="7"/>
  <c r="D183" i="7"/>
  <c r="D182" i="7"/>
  <c r="D181" i="7"/>
  <c r="D180" i="7"/>
  <c r="D179" i="7"/>
  <c r="AC178" i="7"/>
  <c r="D178" i="7" s="1"/>
  <c r="D177" i="7"/>
  <c r="D176" i="7"/>
  <c r="AC712" i="7"/>
  <c r="D712" i="7" s="1"/>
  <c r="CD175" i="7"/>
  <c r="D175" i="7"/>
  <c r="AC174" i="7"/>
  <c r="D174" i="7" s="1"/>
  <c r="AC173" i="7"/>
  <c r="D173" i="7" s="1"/>
  <c r="CD172" i="7"/>
  <c r="D172" i="7"/>
  <c r="D171" i="7"/>
  <c r="AC170" i="7"/>
  <c r="D170" i="7" s="1"/>
  <c r="CD169" i="7"/>
  <c r="D169" i="7"/>
  <c r="CD168" i="7"/>
  <c r="D168" i="7"/>
  <c r="D167" i="7"/>
  <c r="D166" i="7"/>
  <c r="D165" i="7"/>
  <c r="CD164" i="7"/>
  <c r="D164" i="7"/>
  <c r="AT163" i="7"/>
  <c r="D163" i="7"/>
  <c r="D162" i="7"/>
  <c r="D161" i="7"/>
  <c r="CD160" i="7"/>
  <c r="D160" i="7"/>
  <c r="D159" i="7"/>
  <c r="CD158" i="7"/>
  <c r="D158" i="7"/>
  <c r="AE157" i="7"/>
  <c r="AD157" i="7"/>
  <c r="AB157" i="7"/>
  <c r="AA157" i="7"/>
  <c r="Z157" i="7"/>
  <c r="Y157" i="7"/>
  <c r="X157" i="7"/>
  <c r="W157" i="7"/>
  <c r="V157" i="7"/>
  <c r="U157" i="7"/>
  <c r="S157" i="7"/>
  <c r="R157" i="7"/>
  <c r="Q157" i="7"/>
  <c r="P157" i="7"/>
  <c r="O157" i="7"/>
  <c r="M157" i="7"/>
  <c r="L157" i="7"/>
  <c r="K157" i="7"/>
  <c r="J157" i="7"/>
  <c r="I157" i="7"/>
  <c r="H157" i="7"/>
  <c r="G157" i="7"/>
  <c r="F157" i="7"/>
  <c r="E157" i="7"/>
  <c r="AD126" i="7"/>
  <c r="AC156" i="7"/>
  <c r="AC155" i="7"/>
  <c r="D155" i="7" s="1"/>
  <c r="AC154" i="7"/>
  <c r="D154" i="7" s="1"/>
  <c r="CD153" i="7"/>
  <c r="D153" i="7"/>
  <c r="CD152" i="7"/>
  <c r="D152" i="7"/>
  <c r="D151" i="7"/>
  <c r="AC150" i="7"/>
  <c r="D150" i="7" s="1"/>
  <c r="AC149" i="7"/>
  <c r="D149" i="7" s="1"/>
  <c r="D148" i="7"/>
  <c r="AC669" i="7"/>
  <c r="D669" i="7" s="1"/>
  <c r="D147" i="7"/>
  <c r="D146" i="7"/>
  <c r="AC145" i="7"/>
  <c r="D145" i="7" s="1"/>
  <c r="AC144" i="7"/>
  <c r="D144" i="7" s="1"/>
  <c r="D143" i="7"/>
  <c r="AC142" i="7"/>
  <c r="D142" i="7" s="1"/>
  <c r="AC141" i="7"/>
  <c r="D141" i="7" s="1"/>
  <c r="D140" i="7"/>
  <c r="AC139" i="7"/>
  <c r="D139" i="7" s="1"/>
  <c r="CD138" i="7"/>
  <c r="AC138" i="7"/>
  <c r="D138" i="7" s="1"/>
  <c r="D137" i="7"/>
  <c r="CD136" i="7"/>
  <c r="AC136" i="7"/>
  <c r="D136" i="7" s="1"/>
  <c r="CD135" i="7"/>
  <c r="D135" i="7"/>
  <c r="CD134" i="7"/>
  <c r="D134" i="7"/>
  <c r="CD133" i="7"/>
  <c r="AC133" i="7"/>
  <c r="D133" i="7" s="1"/>
  <c r="CD132" i="7"/>
  <c r="D132" i="7"/>
  <c r="CD131" i="7"/>
  <c r="AC131" i="7"/>
  <c r="D131" i="7" s="1"/>
  <c r="AC130" i="7"/>
  <c r="D130" i="7" s="1"/>
  <c r="AC129" i="7"/>
  <c r="D129" i="7" s="1"/>
  <c r="D128" i="7"/>
  <c r="CD127" i="7"/>
  <c r="D127" i="7"/>
  <c r="AE126" i="7"/>
  <c r="AB126" i="7"/>
  <c r="AA126" i="7"/>
  <c r="Z126" i="7"/>
  <c r="Y126" i="7"/>
  <c r="X126" i="7"/>
  <c r="W126" i="7"/>
  <c r="V126" i="7"/>
  <c r="U126" i="7"/>
  <c r="T126" i="7"/>
  <c r="S126" i="7"/>
  <c r="R126" i="7"/>
  <c r="Q126" i="7"/>
  <c r="P126" i="7"/>
  <c r="O126" i="7"/>
  <c r="M126" i="7"/>
  <c r="L126" i="7"/>
  <c r="K126" i="7"/>
  <c r="J126" i="7"/>
  <c r="I126" i="7"/>
  <c r="H126" i="7"/>
  <c r="G126" i="7"/>
  <c r="F126" i="7"/>
  <c r="E126" i="7"/>
  <c r="D109" i="7"/>
  <c r="D108" i="7"/>
  <c r="D107" i="7"/>
  <c r="D106" i="7"/>
  <c r="D105" i="7"/>
  <c r="CD103" i="7"/>
  <c r="D103" i="7"/>
  <c r="D102" i="7"/>
  <c r="CD101" i="7"/>
  <c r="D101" i="7"/>
  <c r="CD100" i="7"/>
  <c r="D100" i="7"/>
  <c r="CD99" i="7"/>
  <c r="D99" i="7"/>
  <c r="CD98" i="7"/>
  <c r="D98" i="7"/>
  <c r="CD97" i="7"/>
  <c r="D97" i="7"/>
  <c r="CD96" i="7"/>
  <c r="D96" i="7"/>
  <c r="D95" i="7"/>
  <c r="D94" i="7"/>
  <c r="D93" i="7"/>
  <c r="D92" i="7"/>
  <c r="CD91" i="7"/>
  <c r="D91" i="7"/>
  <c r="D90" i="7"/>
  <c r="D89" i="7"/>
  <c r="D88" i="7"/>
  <c r="D87" i="7"/>
  <c r="CD86" i="7"/>
  <c r="D86" i="7"/>
  <c r="D85" i="7"/>
  <c r="D84" i="7"/>
  <c r="D83" i="7"/>
  <c r="CD82" i="7"/>
  <c r="D82" i="7"/>
  <c r="CD81" i="7"/>
  <c r="D81" i="7"/>
  <c r="CD80" i="7"/>
  <c r="D80" i="7"/>
  <c r="CD79" i="7"/>
  <c r="D79" i="7"/>
  <c r="D78" i="7"/>
  <c r="CD77" i="7"/>
  <c r="D77" i="7"/>
  <c r="D76" i="7"/>
  <c r="CD75" i="7"/>
  <c r="D75" i="7"/>
  <c r="CD74" i="7"/>
  <c r="D74" i="7"/>
  <c r="D73" i="7"/>
  <c r="D72" i="7"/>
  <c r="CD71" i="7"/>
  <c r="D71" i="7"/>
  <c r="CD70" i="7"/>
  <c r="D70" i="7"/>
  <c r="D69" i="7"/>
  <c r="D68" i="7"/>
  <c r="D67" i="7"/>
  <c r="CD66" i="7"/>
  <c r="D66" i="7"/>
  <c r="CD65" i="7"/>
  <c r="D65" i="7"/>
  <c r="D64" i="7"/>
  <c r="CD63" i="7"/>
  <c r="D63" i="7"/>
  <c r="CD62" i="7"/>
  <c r="D62" i="7"/>
  <c r="CD60" i="7"/>
  <c r="D60" i="7"/>
  <c r="D59" i="7"/>
  <c r="CD58" i="7"/>
  <c r="D58" i="7"/>
  <c r="CD57" i="7"/>
  <c r="D57" i="7"/>
  <c r="D56" i="7"/>
  <c r="CD55" i="7"/>
  <c r="D55" i="7"/>
  <c r="D54" i="7"/>
  <c r="D53" i="7"/>
  <c r="D52" i="7"/>
  <c r="CD51" i="7"/>
  <c r="D51" i="7"/>
  <c r="D50" i="7"/>
  <c r="D49" i="7"/>
  <c r="D48" i="7"/>
  <c r="CD47" i="7"/>
  <c r="D47" i="7"/>
  <c r="D46" i="7"/>
  <c r="D45" i="7"/>
  <c r="D44" i="7"/>
  <c r="D43" i="7"/>
  <c r="D42" i="7"/>
  <c r="D41" i="7"/>
  <c r="D614" i="7"/>
  <c r="D39" i="7"/>
  <c r="D38" i="7"/>
  <c r="D37" i="7"/>
  <c r="D613" i="7"/>
  <c r="D612" i="7"/>
  <c r="D36" i="7"/>
  <c r="AT35" i="7"/>
  <c r="D35" i="7"/>
  <c r="CD34" i="7"/>
  <c r="D34" i="7"/>
  <c r="CD33" i="7"/>
  <c r="D33" i="7"/>
  <c r="D611" i="7"/>
  <c r="D32" i="7"/>
  <c r="CD31" i="7"/>
  <c r="D31" i="7"/>
  <c r="D30" i="7"/>
  <c r="D28" i="7"/>
  <c r="CD27" i="7"/>
  <c r="D27" i="7"/>
  <c r="D26" i="7"/>
  <c r="D25" i="7"/>
  <c r="D610" i="7"/>
  <c r="D24" i="7"/>
  <c r="D23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I556" i="7" l="1"/>
  <c r="M556" i="7"/>
  <c r="V556" i="7"/>
  <c r="Z556" i="7"/>
  <c r="AE556" i="7"/>
  <c r="F556" i="7"/>
  <c r="J556" i="7"/>
  <c r="O556" i="7"/>
  <c r="S556" i="7"/>
  <c r="W556" i="7"/>
  <c r="AA556" i="7"/>
  <c r="G556" i="7"/>
  <c r="K556" i="7"/>
  <c r="P556" i="7"/>
  <c r="T556" i="7"/>
  <c r="X556" i="7"/>
  <c r="AB556" i="7"/>
  <c r="H556" i="7"/>
  <c r="L556" i="7"/>
  <c r="Q556" i="7"/>
  <c r="U556" i="7"/>
  <c r="Y556" i="7"/>
  <c r="E556" i="7"/>
  <c r="AD556" i="7"/>
  <c r="AC995" i="7"/>
  <c r="D996" i="7"/>
  <c r="D890" i="7"/>
  <c r="AC889" i="7"/>
  <c r="D875" i="7"/>
  <c r="AC874" i="7"/>
  <c r="AC1242" i="7"/>
  <c r="D1073" i="7"/>
  <c r="D1077" i="7"/>
  <c r="D1081" i="7"/>
  <c r="D1089" i="7"/>
  <c r="D1093" i="7"/>
  <c r="D1100" i="7"/>
  <c r="D1104" i="7"/>
  <c r="D1108" i="7"/>
  <c r="D1112" i="7"/>
  <c r="D1119" i="7"/>
  <c r="D1129" i="7"/>
  <c r="D1133" i="7"/>
  <c r="AC1137" i="7"/>
  <c r="D1138" i="7"/>
  <c r="D1143" i="7"/>
  <c r="D1157" i="7"/>
  <c r="D1183" i="7"/>
  <c r="D1188" i="7"/>
  <c r="AC1211" i="7"/>
  <c r="D1212" i="7"/>
  <c r="D1221" i="7"/>
  <c r="D1224" i="7"/>
  <c r="D1238" i="7"/>
  <c r="D1241" i="7"/>
  <c r="D1245" i="7"/>
  <c r="D1248" i="7"/>
  <c r="D1251" i="7"/>
  <c r="D1260" i="7"/>
  <c r="D1266" i="7"/>
  <c r="D1273" i="7"/>
  <c r="D1276" i="7"/>
  <c r="D1279" i="7"/>
  <c r="D1070" i="7"/>
  <c r="D1074" i="7"/>
  <c r="D1078" i="7"/>
  <c r="D1082" i="7"/>
  <c r="D1086" i="7"/>
  <c r="D1090" i="7"/>
  <c r="D1094" i="7"/>
  <c r="D1101" i="7"/>
  <c r="D1105" i="7"/>
  <c r="D1113" i="7"/>
  <c r="D1116" i="7"/>
  <c r="D1120" i="7"/>
  <c r="D1123" i="7"/>
  <c r="D1126" i="7"/>
  <c r="D1130" i="7"/>
  <c r="D1149" i="7"/>
  <c r="D1165" i="7"/>
  <c r="D1185" i="7"/>
  <c r="D1189" i="7"/>
  <c r="D1192" i="7"/>
  <c r="D1204" i="7"/>
  <c r="D1222" i="7"/>
  <c r="D1236" i="7"/>
  <c r="D1249" i="7"/>
  <c r="D1253" i="7"/>
  <c r="D1267" i="7"/>
  <c r="D1277" i="7"/>
  <c r="D1071" i="7"/>
  <c r="D1075" i="7"/>
  <c r="D1079" i="7"/>
  <c r="D1087" i="7"/>
  <c r="D1091" i="7"/>
  <c r="D1095" i="7"/>
  <c r="D1098" i="7"/>
  <c r="D1102" i="7"/>
  <c r="D1106" i="7"/>
  <c r="D1117" i="7"/>
  <c r="D1121" i="7"/>
  <c r="D1124" i="7"/>
  <c r="D1127" i="7"/>
  <c r="D1131" i="7"/>
  <c r="D1150" i="7"/>
  <c r="D1159" i="7"/>
  <c r="D1171" i="7"/>
  <c r="D1190" i="7"/>
  <c r="D1193" i="7"/>
  <c r="D1196" i="7"/>
  <c r="AC1201" i="7"/>
  <c r="D1202" i="7"/>
  <c r="D1205" i="7"/>
  <c r="D1208" i="7"/>
  <c r="D1216" i="7"/>
  <c r="D1231" i="7"/>
  <c r="D1234" i="7"/>
  <c r="D1256" i="7"/>
  <c r="D1072" i="7"/>
  <c r="D1076" i="7"/>
  <c r="D1080" i="7"/>
  <c r="D1084" i="7"/>
  <c r="D1092" i="7"/>
  <c r="D1096" i="7"/>
  <c r="D1099" i="7"/>
  <c r="D1103" i="7"/>
  <c r="D1107" i="7"/>
  <c r="D1115" i="7"/>
  <c r="D1132" i="7"/>
  <c r="D1135" i="7"/>
  <c r="D1156" i="7"/>
  <c r="AC1168" i="7"/>
  <c r="D1169" i="7"/>
  <c r="D1177" i="7"/>
  <c r="D1187" i="7"/>
  <c r="D1197" i="7"/>
  <c r="D1200" i="7"/>
  <c r="D1206" i="7"/>
  <c r="D1214" i="7"/>
  <c r="D1226" i="7"/>
  <c r="D1232" i="7"/>
  <c r="D1243" i="7"/>
  <c r="D1262" i="7"/>
  <c r="D1275" i="7"/>
  <c r="AC1162" i="7"/>
  <c r="D511" i="7"/>
  <c r="J11" i="9"/>
  <c r="J10" i="9" s="1"/>
  <c r="I11" i="9"/>
  <c r="I10" i="9" s="1"/>
  <c r="L11" i="9"/>
  <c r="L10" i="9" s="1"/>
  <c r="K12" i="9"/>
  <c r="Q12" i="8"/>
  <c r="Q11" i="8" s="1"/>
  <c r="U12" i="8"/>
  <c r="U11" i="8" s="1"/>
  <c r="Y12" i="8"/>
  <c r="Y11" i="8" s="1"/>
  <c r="AC12" i="8"/>
  <c r="AC11" i="8" s="1"/>
  <c r="I12" i="8"/>
  <c r="I11" i="8" s="1"/>
  <c r="M12" i="8"/>
  <c r="M11" i="8" s="1"/>
  <c r="R12" i="8"/>
  <c r="R11" i="8" s="1"/>
  <c r="V12" i="8"/>
  <c r="V11" i="8" s="1"/>
  <c r="Z12" i="8"/>
  <c r="Z11" i="8" s="1"/>
  <c r="AD12" i="8"/>
  <c r="AD11" i="8" s="1"/>
  <c r="J12" i="8"/>
  <c r="J11" i="8" s="1"/>
  <c r="N12" i="8"/>
  <c r="N11" i="8" s="1"/>
  <c r="S12" i="8"/>
  <c r="S11" i="8" s="1"/>
  <c r="W12" i="8"/>
  <c r="W11" i="8" s="1"/>
  <c r="AA12" i="8"/>
  <c r="AA11" i="8" s="1"/>
  <c r="AF12" i="8"/>
  <c r="AF11" i="8" s="1"/>
  <c r="G12" i="8"/>
  <c r="G11" i="8" s="1"/>
  <c r="K12" i="8"/>
  <c r="K11" i="8" s="1"/>
  <c r="O12" i="8"/>
  <c r="O11" i="8" s="1"/>
  <c r="T12" i="8"/>
  <c r="T11" i="8" s="1"/>
  <c r="X12" i="8"/>
  <c r="X11" i="8" s="1"/>
  <c r="AB12" i="8"/>
  <c r="AB11" i="8" s="1"/>
  <c r="AG12" i="8"/>
  <c r="AG11" i="8" s="1"/>
  <c r="H12" i="8"/>
  <c r="H11" i="8" s="1"/>
  <c r="L12" i="8"/>
  <c r="L11" i="8" s="1"/>
  <c r="F14" i="8"/>
  <c r="F13" i="8" s="1"/>
  <c r="D942" i="7"/>
  <c r="AC941" i="7"/>
  <c r="D878" i="7"/>
  <c r="AC877" i="7"/>
  <c r="D955" i="7"/>
  <c r="AC954" i="7"/>
  <c r="D1270" i="7"/>
  <c r="AC912" i="7"/>
  <c r="D912" i="7" s="1"/>
  <c r="D911" i="7"/>
  <c r="D936" i="7"/>
  <c r="AC935" i="7"/>
  <c r="D557" i="7"/>
  <c r="AC988" i="7"/>
  <c r="AC424" i="7"/>
  <c r="D425" i="7"/>
  <c r="AC350" i="7"/>
  <c r="D351" i="7"/>
  <c r="AC828" i="7"/>
  <c r="R802" i="7"/>
  <c r="R556" i="7" s="1"/>
  <c r="D896" i="7"/>
  <c r="AC895" i="7"/>
  <c r="D906" i="7"/>
  <c r="AC905" i="7"/>
  <c r="T20" i="7"/>
  <c r="X20" i="7"/>
  <c r="AC980" i="7"/>
  <c r="D980" i="7" s="1"/>
  <c r="D979" i="7"/>
  <c r="F33" i="8"/>
  <c r="D528" i="7"/>
  <c r="D412" i="7"/>
  <c r="D798" i="7"/>
  <c r="D800" i="7"/>
  <c r="D837" i="7"/>
  <c r="D841" i="7"/>
  <c r="D843" i="7"/>
  <c r="D925" i="7"/>
  <c r="D970" i="7"/>
  <c r="D972" i="7"/>
  <c r="D363" i="7"/>
  <c r="D459" i="7"/>
  <c r="D946" i="7"/>
  <c r="D1000" i="7"/>
  <c r="D465" i="7"/>
  <c r="D455" i="7"/>
  <c r="D395" i="7"/>
  <c r="D893" i="7"/>
  <c r="D899" i="7"/>
  <c r="D901" i="7"/>
  <c r="D903" i="7"/>
  <c r="D984" i="7"/>
  <c r="C10" i="5"/>
  <c r="AC1172" i="7"/>
  <c r="D10" i="5"/>
  <c r="F15" i="8"/>
  <c r="C14" i="4"/>
  <c r="C16" i="4" s="1"/>
  <c r="AC921" i="7"/>
  <c r="D967" i="7"/>
  <c r="AC966" i="7"/>
  <c r="F30" i="8"/>
  <c r="F36" i="8"/>
  <c r="F44" i="8"/>
  <c r="P54" i="8"/>
  <c r="F56" i="8"/>
  <c r="F54" i="8" s="1"/>
  <c r="D961" i="7"/>
  <c r="AC960" i="7"/>
  <c r="D746" i="7"/>
  <c r="AC758" i="7"/>
  <c r="D758" i="7" s="1"/>
  <c r="G365" i="7"/>
  <c r="P550" i="7"/>
  <c r="R280" i="7"/>
  <c r="R327" i="7"/>
  <c r="K29" i="9"/>
  <c r="G241" i="7"/>
  <c r="D291" i="7"/>
  <c r="D470" i="7"/>
  <c r="G535" i="7"/>
  <c r="U1184" i="7"/>
  <c r="U1004" i="7" s="1"/>
  <c r="AC1269" i="7"/>
  <c r="R203" i="7"/>
  <c r="D286" i="7"/>
  <c r="AC655" i="7"/>
  <c r="D655" i="7" s="1"/>
  <c r="K14" i="9"/>
  <c r="G485" i="7"/>
  <c r="AE48" i="8"/>
  <c r="D486" i="7"/>
  <c r="N1272" i="7"/>
  <c r="AC361" i="7"/>
  <c r="D361" i="7" s="1"/>
  <c r="G428" i="7"/>
  <c r="R467" i="7"/>
  <c r="AC495" i="7"/>
  <c r="D495" i="7" s="1"/>
  <c r="N1110" i="7"/>
  <c r="D156" i="7"/>
  <c r="AE50" i="8"/>
  <c r="AE52" i="8"/>
  <c r="AE62" i="8"/>
  <c r="AE60" i="8"/>
  <c r="AE54" i="8"/>
  <c r="AE58" i="8"/>
  <c r="C8" i="4"/>
  <c r="G203" i="7"/>
  <c r="D310" i="7"/>
  <c r="D388" i="7"/>
  <c r="AC389" i="7"/>
  <c r="D389" i="7" s="1"/>
  <c r="AC462" i="7"/>
  <c r="D462" i="7" s="1"/>
  <c r="AC475" i="7"/>
  <c r="D475" i="7" s="1"/>
  <c r="AC491" i="7"/>
  <c r="D491" i="7" s="1"/>
  <c r="AC517" i="7"/>
  <c r="AC945" i="7"/>
  <c r="D945" i="7" s="1"/>
  <c r="N1184" i="7"/>
  <c r="L241" i="7"/>
  <c r="G287" i="7"/>
  <c r="D293" i="7"/>
  <c r="AC305" i="7"/>
  <c r="D305" i="7" s="1"/>
  <c r="AC318" i="7"/>
  <c r="D318" i="7" s="1"/>
  <c r="D419" i="7"/>
  <c r="D423" i="7"/>
  <c r="D464" i="7"/>
  <c r="AC497" i="7"/>
  <c r="D497" i="7" s="1"/>
  <c r="D531" i="7"/>
  <c r="AC532" i="7"/>
  <c r="D532" i="7" s="1"/>
  <c r="D846" i="7"/>
  <c r="N1068" i="7"/>
  <c r="AC1278" i="7"/>
  <c r="C7" i="4"/>
  <c r="C21" i="4"/>
  <c r="C22" i="4"/>
  <c r="AC899" i="7"/>
  <c r="AC1182" i="7"/>
  <c r="AC970" i="7"/>
  <c r="AC465" i="7"/>
  <c r="AC1225" i="7"/>
  <c r="D793" i="7"/>
  <c r="AC1237" i="7"/>
  <c r="AC800" i="7"/>
  <c r="AC1170" i="7"/>
  <c r="AC380" i="7"/>
  <c r="AC1215" i="7"/>
  <c r="AC353" i="7"/>
  <c r="AC1191" i="7"/>
  <c r="K35" i="9"/>
  <c r="K43" i="9"/>
  <c r="AE13" i="8"/>
  <c r="AE36" i="8"/>
  <c r="AE28" i="8"/>
  <c r="AE42" i="8"/>
  <c r="AE15" i="8"/>
  <c r="AE26" i="8"/>
  <c r="AE40" i="8"/>
  <c r="AE30" i="8"/>
  <c r="AE44" i="8"/>
  <c r="AE33" i="8"/>
  <c r="AC463" i="7"/>
  <c r="AC522" i="7"/>
  <c r="AC841" i="7"/>
  <c r="AC972" i="7"/>
  <c r="AC1213" i="7"/>
  <c r="AC1223" i="7"/>
  <c r="AC1233" i="7"/>
  <c r="AC550" i="7"/>
  <c r="D871" i="7"/>
  <c r="X1004" i="7"/>
  <c r="D524" i="7"/>
  <c r="AC843" i="7"/>
  <c r="AC1235" i="7"/>
  <c r="AC1259" i="7"/>
  <c r="AC946" i="7"/>
  <c r="D21" i="7"/>
  <c r="AC528" i="7"/>
  <c r="AC925" i="7"/>
  <c r="AD1004" i="7"/>
  <c r="AE24" i="8"/>
  <c r="D550" i="7"/>
  <c r="AC535" i="7"/>
  <c r="AC1270" i="7"/>
  <c r="AC1207" i="7"/>
  <c r="AC356" i="7"/>
  <c r="AC503" i="7"/>
  <c r="AC779" i="7"/>
  <c r="AC837" i="7"/>
  <c r="H1004" i="7"/>
  <c r="AC1125" i="7"/>
  <c r="AC1134" i="7"/>
  <c r="D535" i="7"/>
  <c r="AC1148" i="7"/>
  <c r="AC294" i="7"/>
  <c r="D442" i="7"/>
  <c r="AC901" i="7"/>
  <c r="AC984" i="7"/>
  <c r="AC1000" i="7"/>
  <c r="AC1203" i="7"/>
  <c r="D384" i="7"/>
  <c r="AC383" i="7"/>
  <c r="D458" i="7"/>
  <c r="AC457" i="7"/>
  <c r="D554" i="7"/>
  <c r="D520" i="7"/>
  <c r="D737" i="7"/>
  <c r="D868" i="7"/>
  <c r="L1004" i="7"/>
  <c r="T1004" i="7"/>
  <c r="D353" i="7"/>
  <c r="D386" i="7"/>
  <c r="AC385" i="7"/>
  <c r="D510" i="7"/>
  <c r="AC509" i="7"/>
  <c r="AC678" i="7"/>
  <c r="AC737" i="7"/>
  <c r="D771" i="7"/>
  <c r="AC771" i="7"/>
  <c r="AC880" i="7"/>
  <c r="F1004" i="7"/>
  <c r="V1004" i="7"/>
  <c r="D446" i="7"/>
  <c r="AC444" i="7"/>
  <c r="D951" i="7"/>
  <c r="AC1194" i="7"/>
  <c r="AC1257" i="7"/>
  <c r="AC1261" i="7"/>
  <c r="D404" i="7"/>
  <c r="P1004" i="7"/>
  <c r="AB1004" i="7"/>
  <c r="AC1274" i="7"/>
  <c r="AC545" i="7"/>
  <c r="D719" i="7"/>
  <c r="AC718" i="7"/>
  <c r="D779" i="7"/>
  <c r="D787" i="7"/>
  <c r="AC1155" i="7"/>
  <c r="D380" i="7"/>
  <c r="AC459" i="7"/>
  <c r="AC787" i="7"/>
  <c r="D794" i="7"/>
  <c r="D803" i="7"/>
  <c r="D840" i="7"/>
  <c r="AC839" i="7"/>
  <c r="E1004" i="7"/>
  <c r="I1004" i="7"/>
  <c r="M1004" i="7"/>
  <c r="Q1004" i="7"/>
  <c r="Y1004" i="7"/>
  <c r="J1004" i="7"/>
  <c r="R1004" i="7"/>
  <c r="Z1004" i="7"/>
  <c r="AC1122" i="7"/>
  <c r="AC1153" i="7"/>
  <c r="AC1180" i="7"/>
  <c r="AC1246" i="7"/>
  <c r="D327" i="7"/>
  <c r="D853" i="7"/>
  <c r="AC852" i="7"/>
  <c r="AC976" i="7"/>
  <c r="D977" i="7"/>
  <c r="AC1146" i="7"/>
  <c r="AC1250" i="7"/>
  <c r="D927" i="7"/>
  <c r="AC817" i="7"/>
  <c r="D880" i="7"/>
  <c r="G1004" i="7"/>
  <c r="K1004" i="7"/>
  <c r="O1004" i="7"/>
  <c r="S1004" i="7"/>
  <c r="W1004" i="7"/>
  <c r="AA1004" i="7"/>
  <c r="AE1004" i="7"/>
  <c r="AC1184" i="7"/>
  <c r="D276" i="7"/>
  <c r="AC274" i="7"/>
  <c r="AC344" i="7"/>
  <c r="D250" i="7"/>
  <c r="AC247" i="7"/>
  <c r="D281" i="7"/>
  <c r="D398" i="7"/>
  <c r="AC397" i="7"/>
  <c r="D242" i="7"/>
  <c r="AC241" i="7"/>
  <c r="AC297" i="7"/>
  <c r="D298" i="7"/>
  <c r="D356" i="7"/>
  <c r="AC365" i="7"/>
  <c r="D367" i="7"/>
  <c r="AC392" i="7"/>
  <c r="D393" i="7"/>
  <c r="D420" i="7"/>
  <c r="D205" i="7"/>
  <c r="AC203" i="7"/>
  <c r="D294" i="7"/>
  <c r="AC327" i="7"/>
  <c r="D403" i="7"/>
  <c r="AC402" i="7"/>
  <c r="AC363" i="7"/>
  <c r="AC395" i="7"/>
  <c r="AC435" i="7"/>
  <c r="D514" i="7"/>
  <c r="D678" i="7"/>
  <c r="AC126" i="7"/>
  <c r="D415" i="7"/>
  <c r="D431" i="7"/>
  <c r="AC428" i="7"/>
  <c r="D435" i="7"/>
  <c r="D503" i="7"/>
  <c r="AC404" i="7"/>
  <c r="AC412" i="7"/>
  <c r="D534" i="7"/>
  <c r="AC467" i="7"/>
  <c r="AC514" i="7"/>
  <c r="AC794" i="7"/>
  <c r="AC798" i="7"/>
  <c r="D829" i="7"/>
  <c r="D836" i="7"/>
  <c r="AC835" i="7"/>
  <c r="D989" i="7"/>
  <c r="D1005" i="7"/>
  <c r="AC1110" i="7"/>
  <c r="AC1229" i="7"/>
  <c r="AC871" i="7"/>
  <c r="AC893" i="7"/>
  <c r="AC903" i="7"/>
  <c r="AC927" i="7"/>
  <c r="AC1209" i="7"/>
  <c r="AC1219" i="7"/>
  <c r="AC1068" i="7"/>
  <c r="AC1144" i="7"/>
  <c r="AC1178" i="7"/>
  <c r="AC1239" i="7"/>
  <c r="AC1166" i="7"/>
  <c r="AC1198" i="7"/>
  <c r="AC1217" i="7"/>
  <c r="AC1227" i="7"/>
  <c r="AC1141" i="7"/>
  <c r="AC1151" i="7"/>
  <c r="AC1175" i="7"/>
  <c r="AC1254" i="7"/>
  <c r="AC1264" i="7"/>
  <c r="AC1272" i="7"/>
  <c r="D792" i="7" l="1"/>
  <c r="D889" i="7"/>
  <c r="D1237" i="7"/>
  <c r="D1235" i="7"/>
  <c r="D1223" i="7"/>
  <c r="D1272" i="7"/>
  <c r="D1182" i="7"/>
  <c r="D1122" i="7"/>
  <c r="D1250" i="7"/>
  <c r="D874" i="7"/>
  <c r="D1242" i="7"/>
  <c r="D1137" i="7"/>
  <c r="D1225" i="7"/>
  <c r="D1233" i="7"/>
  <c r="D1259" i="7"/>
  <c r="D1170" i="7"/>
  <c r="D1215" i="7"/>
  <c r="D1213" i="7"/>
  <c r="D1148" i="7"/>
  <c r="D1278" i="7"/>
  <c r="D1203" i="7"/>
  <c r="D1191" i="7"/>
  <c r="D1134" i="7"/>
  <c r="D1274" i="7"/>
  <c r="D1125" i="7"/>
  <c r="D1184" i="7"/>
  <c r="D1207" i="7"/>
  <c r="D1269" i="7"/>
  <c r="D1162" i="7"/>
  <c r="D414" i="7"/>
  <c r="D519" i="7"/>
  <c r="D553" i="7"/>
  <c r="K11" i="9"/>
  <c r="K10" i="9" s="1"/>
  <c r="AE12" i="8"/>
  <c r="AE11" i="8" s="1"/>
  <c r="P12" i="8"/>
  <c r="P11" i="8" s="1"/>
  <c r="F12" i="8"/>
  <c r="F11" i="8" s="1"/>
  <c r="D995" i="7"/>
  <c r="D950" i="7"/>
  <c r="D941" i="7"/>
  <c r="D877" i="7"/>
  <c r="D867" i="7"/>
  <c r="N1004" i="7"/>
  <c r="D954" i="7"/>
  <c r="D424" i="7"/>
  <c r="D910" i="7"/>
  <c r="AC910" i="7"/>
  <c r="D935" i="7"/>
  <c r="D988" i="7"/>
  <c r="AC802" i="7"/>
  <c r="D350" i="7"/>
  <c r="L20" i="7"/>
  <c r="L19" i="7" s="1"/>
  <c r="AD20" i="7"/>
  <c r="AD19" i="7" s="1"/>
  <c r="Y20" i="7"/>
  <c r="Y19" i="7" s="1"/>
  <c r="I20" i="7"/>
  <c r="I19" i="7" s="1"/>
  <c r="AE20" i="7"/>
  <c r="AE19" i="7" s="1"/>
  <c r="W20" i="7"/>
  <c r="W19" i="7" s="1"/>
  <c r="AB20" i="7"/>
  <c r="AB19" i="7" s="1"/>
  <c r="U20" i="7"/>
  <c r="U19" i="7" s="1"/>
  <c r="E20" i="7"/>
  <c r="E19" i="7" s="1"/>
  <c r="O20" i="7"/>
  <c r="O19" i="7" s="1"/>
  <c r="Z20" i="7"/>
  <c r="Z19" i="7" s="1"/>
  <c r="J20" i="7"/>
  <c r="J19" i="7" s="1"/>
  <c r="S20" i="7"/>
  <c r="S19" i="7" s="1"/>
  <c r="H20" i="7"/>
  <c r="H19" i="7" s="1"/>
  <c r="M20" i="7"/>
  <c r="M19" i="7" s="1"/>
  <c r="Q20" i="7"/>
  <c r="Q19" i="7" s="1"/>
  <c r="AA20" i="7"/>
  <c r="AA19" i="7" s="1"/>
  <c r="K20" i="7"/>
  <c r="K19" i="7" s="1"/>
  <c r="V20" i="7"/>
  <c r="V19" i="7" s="1"/>
  <c r="F20" i="7"/>
  <c r="F19" i="7" s="1"/>
  <c r="D817" i="7"/>
  <c r="D828" i="7"/>
  <c r="P20" i="7"/>
  <c r="P19" i="7" s="1"/>
  <c r="G20" i="7"/>
  <c r="G19" i="7" s="1"/>
  <c r="D895" i="7"/>
  <c r="D905" i="7"/>
  <c r="R20" i="7"/>
  <c r="R19" i="7" s="1"/>
  <c r="AC978" i="7"/>
  <c r="D978" i="7"/>
  <c r="D845" i="7"/>
  <c r="CB843" i="7"/>
  <c r="CB511" i="7"/>
  <c r="D1141" i="7"/>
  <c r="D297" i="7"/>
  <c r="D274" i="7"/>
  <c r="D1146" i="7"/>
  <c r="D1257" i="7"/>
  <c r="D496" i="7"/>
  <c r="D1151" i="7"/>
  <c r="D1227" i="7"/>
  <c r="D1198" i="7"/>
  <c r="D1239" i="7"/>
  <c r="D1110" i="7"/>
  <c r="D428" i="7"/>
  <c r="D802" i="7"/>
  <c r="D1155" i="7"/>
  <c r="D718" i="7"/>
  <c r="D509" i="7"/>
  <c r="D522" i="7"/>
  <c r="D422" i="7"/>
  <c r="D292" i="7"/>
  <c r="D157" i="7"/>
  <c r="D461" i="7"/>
  <c r="D126" i="7"/>
  <c r="D360" i="7"/>
  <c r="D467" i="7"/>
  <c r="D1175" i="7"/>
  <c r="D1166" i="7"/>
  <c r="D1153" i="7"/>
  <c r="D1264" i="7"/>
  <c r="D1211" i="7"/>
  <c r="D1178" i="7"/>
  <c r="D1068" i="7"/>
  <c r="D1209" i="7"/>
  <c r="D1229" i="7"/>
  <c r="D835" i="7"/>
  <c r="D533" i="7"/>
  <c r="D392" i="7"/>
  <c r="D241" i="7"/>
  <c r="D1180" i="7"/>
  <c r="D545" i="7"/>
  <c r="D1261" i="7"/>
  <c r="D1194" i="7"/>
  <c r="D383" i="7"/>
  <c r="D1083" i="7"/>
  <c r="D921" i="7"/>
  <c r="CB841" i="7"/>
  <c r="CB528" i="7"/>
  <c r="D1217" i="7"/>
  <c r="D402" i="7"/>
  <c r="D247" i="7"/>
  <c r="D1201" i="7"/>
  <c r="D1219" i="7"/>
  <c r="D852" i="7"/>
  <c r="D839" i="7"/>
  <c r="D385" i="7"/>
  <c r="D944" i="7"/>
  <c r="D473" i="7"/>
  <c r="D287" i="7"/>
  <c r="D1254" i="7"/>
  <c r="D1168" i="7"/>
  <c r="D1144" i="7"/>
  <c r="D203" i="7"/>
  <c r="D365" i="7"/>
  <c r="D397" i="7"/>
  <c r="D344" i="7"/>
  <c r="D976" i="7"/>
  <c r="D1246" i="7"/>
  <c r="D444" i="7"/>
  <c r="D457" i="7"/>
  <c r="D441" i="7"/>
  <c r="D463" i="7"/>
  <c r="D303" i="7"/>
  <c r="D915" i="7"/>
  <c r="D309" i="7"/>
  <c r="D494" i="7"/>
  <c r="D960" i="7"/>
  <c r="D966" i="7"/>
  <c r="D1172" i="7"/>
  <c r="CB380" i="7"/>
  <c r="CB1184" i="7"/>
  <c r="CB514" i="7"/>
  <c r="CB294" i="7"/>
  <c r="CB356" i="7"/>
  <c r="CB737" i="7"/>
  <c r="CB535" i="7"/>
  <c r="CB550" i="7"/>
  <c r="CB353" i="7"/>
  <c r="CB678" i="7"/>
  <c r="CB327" i="7"/>
  <c r="CB435" i="7"/>
  <c r="C23" i="4"/>
  <c r="AC745" i="7"/>
  <c r="D745" i="7"/>
  <c r="D280" i="7"/>
  <c r="AC280" i="7"/>
  <c r="D647" i="7"/>
  <c r="AC647" i="7"/>
  <c r="AC1268" i="7"/>
  <c r="AC1083" i="7"/>
  <c r="AC287" i="7"/>
  <c r="AC360" i="7"/>
  <c r="D485" i="7"/>
  <c r="AC494" i="7"/>
  <c r="D311" i="7"/>
  <c r="AC157" i="7"/>
  <c r="D418" i="7"/>
  <c r="AC309" i="7"/>
  <c r="AC915" i="7"/>
  <c r="AC303" i="7"/>
  <c r="AC496" i="7"/>
  <c r="AC944" i="7"/>
  <c r="AC311" i="7"/>
  <c r="AC473" i="7"/>
  <c r="D387" i="7"/>
  <c r="D518" i="7"/>
  <c r="D530" i="7"/>
  <c r="AC461" i="7"/>
  <c r="AC422" i="7"/>
  <c r="AC530" i="7"/>
  <c r="AC292" i="7"/>
  <c r="AC387" i="7"/>
  <c r="AC418" i="7"/>
  <c r="AC485" i="7"/>
  <c r="T19" i="7"/>
  <c r="X19" i="7"/>
  <c r="CB503" i="7"/>
  <c r="CE503" i="7"/>
  <c r="CD862" i="7" s="1"/>
  <c r="CD296" i="7" l="1"/>
  <c r="CD371" i="7"/>
  <c r="CD29" i="7"/>
  <c r="CD61" i="7"/>
  <c r="CD22" i="7"/>
  <c r="CD104" i="7"/>
  <c r="AC556" i="7"/>
  <c r="D556" i="7"/>
  <c r="CD239" i="7"/>
  <c r="CD240" i="7"/>
  <c r="CD334" i="7"/>
  <c r="CD343" i="7"/>
  <c r="CD933" i="7"/>
  <c r="CD892" i="7"/>
  <c r="CD891" i="7"/>
  <c r="CD876" i="7"/>
  <c r="CD238" i="7"/>
  <c r="D1268" i="7"/>
  <c r="CD1139" i="7"/>
  <c r="CD848" i="7"/>
  <c r="CD785" i="7"/>
  <c r="CD784" i="7"/>
  <c r="CD965" i="7"/>
  <c r="CD814" i="7"/>
  <c r="CD888" i="7"/>
  <c r="CD959" i="7"/>
  <c r="CD866" i="7"/>
  <c r="CD743" i="7"/>
  <c r="CD744" i="7"/>
  <c r="CD815" i="7"/>
  <c r="CD1161" i="7"/>
  <c r="CD1140" i="7"/>
  <c r="CD783" i="7"/>
  <c r="CD416" i="7"/>
  <c r="CD454" i="7"/>
  <c r="CD453" i="7"/>
  <c r="CD417" i="7"/>
  <c r="CD342" i="7"/>
  <c r="CD521" i="7"/>
  <c r="CD513" i="7"/>
  <c r="CD548" i="7"/>
  <c r="CD196" i="7"/>
  <c r="CD640" i="7"/>
  <c r="CD544" i="7"/>
  <c r="CD542" i="7"/>
  <c r="CD543" i="7"/>
  <c r="CD1164" i="7"/>
  <c r="CD870" i="7"/>
  <c r="CD869" i="7"/>
  <c r="CD1003" i="7"/>
  <c r="CD1002" i="7"/>
  <c r="CD993" i="7"/>
  <c r="CD983" i="7"/>
  <c r="CD975" i="7"/>
  <c r="CD974" i="7"/>
  <c r="CD994" i="7"/>
  <c r="CD982" i="7"/>
  <c r="CD953" i="7"/>
  <c r="CD939" i="7"/>
  <c r="CD919" i="7"/>
  <c r="CD948" i="7"/>
  <c r="CD920" i="7"/>
  <c r="CD918" i="7"/>
  <c r="CD956" i="7"/>
  <c r="CD940" i="7"/>
  <c r="CD932" i="7"/>
  <c r="CD908" i="7"/>
  <c r="CD909" i="7"/>
  <c r="CD907" i="7"/>
  <c r="CD885" i="7"/>
  <c r="CD886" i="7"/>
  <c r="CD865" i="7"/>
  <c r="CD864" i="7"/>
  <c r="CD863" i="7"/>
  <c r="CD861" i="7"/>
  <c r="CD851" i="7"/>
  <c r="CD850" i="7"/>
  <c r="CD821" i="7"/>
  <c r="CD832" i="7"/>
  <c r="CD833" i="7"/>
  <c r="CD831" i="7"/>
  <c r="CD834" i="7"/>
  <c r="CD849" i="7"/>
  <c r="CD827" i="7"/>
  <c r="CD824" i="7"/>
  <c r="CD822" i="7"/>
  <c r="CD823" i="7"/>
  <c r="CD826" i="7"/>
  <c r="CD825" i="7"/>
  <c r="CD335" i="7"/>
  <c r="CD810" i="7"/>
  <c r="CD811" i="7"/>
  <c r="CD812" i="7"/>
  <c r="CD796" i="7"/>
  <c r="CD797" i="7"/>
  <c r="CD790" i="7"/>
  <c r="CD1088" i="7"/>
  <c r="CD786" i="7"/>
  <c r="CD272" i="7"/>
  <c r="CD273" i="7"/>
  <c r="CD246" i="7"/>
  <c r="CD245" i="7"/>
  <c r="CD768" i="7"/>
  <c r="CD767" i="7"/>
  <c r="CD766" i="7"/>
  <c r="CD769" i="7"/>
  <c r="CD770" i="7"/>
  <c r="CD765" i="7"/>
  <c r="CD764" i="7"/>
  <c r="CD731" i="7"/>
  <c r="CD736" i="7"/>
  <c r="CD735" i="7"/>
  <c r="CD742" i="7"/>
  <c r="CD741" i="7"/>
  <c r="CD732" i="7"/>
  <c r="CD733" i="7"/>
  <c r="CD730" i="7"/>
  <c r="CD727" i="7"/>
  <c r="CD729" i="7"/>
  <c r="CD728" i="7"/>
  <c r="CD717" i="7"/>
  <c r="CD716" i="7"/>
  <c r="CD675" i="7"/>
  <c r="CD137" i="7"/>
  <c r="CD673" i="7"/>
  <c r="CD674" i="7"/>
  <c r="CD677" i="7"/>
  <c r="CD672" i="7"/>
  <c r="CD671" i="7"/>
  <c r="CD670" i="7"/>
  <c r="CD531" i="7"/>
  <c r="CD575" i="7"/>
  <c r="CD1067" i="7"/>
  <c r="CD1066" i="7"/>
  <c r="CD1060" i="7"/>
  <c r="CD639" i="7"/>
  <c r="CD637" i="7"/>
  <c r="CD638" i="7"/>
  <c r="CD635" i="7"/>
  <c r="CD267" i="7"/>
  <c r="CD355" i="7"/>
  <c r="CB954" i="7"/>
  <c r="CD1059" i="7"/>
  <c r="CD1065" i="7"/>
  <c r="CD1061" i="7"/>
  <c r="CD1062" i="7"/>
  <c r="CD1063" i="7"/>
  <c r="CD1064" i="7"/>
  <c r="CD621" i="7"/>
  <c r="CD619" i="7"/>
  <c r="CD622" i="7"/>
  <c r="CD620" i="7"/>
  <c r="CD629" i="7"/>
  <c r="CD634" i="7"/>
  <c r="CD632" i="7"/>
  <c r="CD630" i="7"/>
  <c r="CD628" i="7"/>
  <c r="CD626" i="7"/>
  <c r="CD624" i="7"/>
  <c r="CD633" i="7"/>
  <c r="CD623" i="7"/>
  <c r="CD631" i="7"/>
  <c r="CD436" i="7"/>
  <c r="CD121" i="7"/>
  <c r="CD119" i="7"/>
  <c r="CD120" i="7"/>
  <c r="CD118" i="7"/>
  <c r="CD123" i="7"/>
  <c r="CD124" i="7"/>
  <c r="CD122" i="7"/>
  <c r="CD257" i="7"/>
  <c r="CD263" i="7"/>
  <c r="CD483" i="7"/>
  <c r="CD52" i="7"/>
  <c r="CD236" i="7"/>
  <c r="CD237" i="7"/>
  <c r="CD195" i="7"/>
  <c r="CD789" i="7"/>
  <c r="CD125" i="7"/>
  <c r="CD726" i="7"/>
  <c r="CD937" i="7"/>
  <c r="CD987" i="7"/>
  <c r="CD986" i="7"/>
  <c r="CD1058" i="7"/>
  <c r="CD1057" i="7"/>
  <c r="CB817" i="7"/>
  <c r="CD773" i="7"/>
  <c r="N20" i="7"/>
  <c r="N19" i="7" s="1"/>
  <c r="CD860" i="7"/>
  <c r="CD924" i="7"/>
  <c r="CD923" i="7"/>
  <c r="CD981" i="7"/>
  <c r="CD991" i="7"/>
  <c r="CD992" i="7"/>
  <c r="CD808" i="7"/>
  <c r="CD763" i="7"/>
  <c r="CD502" i="7"/>
  <c r="CD498" i="7"/>
  <c r="CD499" i="7"/>
  <c r="CD501" i="7"/>
  <c r="CD500" i="7"/>
  <c r="CD740" i="7"/>
  <c r="CD714" i="7"/>
  <c r="CD618" i="7"/>
  <c r="CB519" i="7"/>
  <c r="CB845" i="7"/>
  <c r="CD194" i="7"/>
  <c r="CD713" i="7"/>
  <c r="CD715" i="7"/>
  <c r="CD668" i="7"/>
  <c r="CD665" i="7"/>
  <c r="CD667" i="7"/>
  <c r="CD666" i="7"/>
  <c r="CD128" i="7"/>
  <c r="CB157" i="7"/>
  <c r="CD1056" i="7"/>
  <c r="CD1055" i="7"/>
  <c r="CD110" i="7"/>
  <c r="CD616" i="7"/>
  <c r="CD617" i="7"/>
  <c r="CD56" i="7"/>
  <c r="CD443" i="7"/>
  <c r="CD393" i="7"/>
  <c r="CD462" i="7"/>
  <c r="CD54" i="7"/>
  <c r="CD314" i="7"/>
  <c r="CB839" i="7"/>
  <c r="CB247" i="7"/>
  <c r="F11" i="5"/>
  <c r="CB1068" i="7"/>
  <c r="CB365" i="7"/>
  <c r="CB473" i="7"/>
  <c r="CB360" i="7"/>
  <c r="CB522" i="7"/>
  <c r="CB509" i="7"/>
  <c r="CB203" i="7"/>
  <c r="CB344" i="7"/>
  <c r="CB126" i="7"/>
  <c r="CB241" i="7"/>
  <c r="CB533" i="7"/>
  <c r="AW365" i="7"/>
  <c r="D517" i="7"/>
  <c r="F145" i="5"/>
  <c r="CB553" i="7"/>
  <c r="CB467" i="7"/>
  <c r="CB745" i="7"/>
  <c r="CB530" i="7"/>
  <c r="CB311" i="7"/>
  <c r="CB647" i="7"/>
  <c r="F79" i="5"/>
  <c r="CD609" i="7"/>
  <c r="CD663" i="7"/>
  <c r="CD615" i="7"/>
  <c r="CD914" i="7"/>
  <c r="CD913" i="7"/>
  <c r="CD922" i="7"/>
  <c r="CD400" i="7"/>
  <c r="CD969" i="7"/>
  <c r="CD968" i="7"/>
  <c r="CD345" i="7"/>
  <c r="CD884" i="7"/>
  <c r="CD710" i="7"/>
  <c r="CD1252" i="7"/>
  <c r="CD711" i="7"/>
  <c r="AC1004" i="7"/>
  <c r="CD233" i="7"/>
  <c r="CD724" i="7"/>
  <c r="CD1001" i="7"/>
  <c r="CD995" i="7"/>
  <c r="CD988" i="7"/>
  <c r="CD979" i="7"/>
  <c r="CD976" i="7"/>
  <c r="CD990" i="7"/>
  <c r="CD985" i="7"/>
  <c r="CD980" i="7"/>
  <c r="CD972" i="7"/>
  <c r="CD971" i="7"/>
  <c r="CD970" i="7"/>
  <c r="CD962" i="7"/>
  <c r="CD955" i="7"/>
  <c r="CD951" i="7"/>
  <c r="CD946" i="7"/>
  <c r="CD944" i="7"/>
  <c r="CD929" i="7"/>
  <c r="CD926" i="7"/>
  <c r="CD921" i="7"/>
  <c r="CD916" i="7"/>
  <c r="CD910" i="7"/>
  <c r="CD902" i="7"/>
  <c r="CD899" i="7"/>
  <c r="CD880" i="7"/>
  <c r="CD873" i="7"/>
  <c r="CD868" i="7"/>
  <c r="CD859" i="7"/>
  <c r="CD855" i="7"/>
  <c r="CD829" i="7"/>
  <c r="CD828" i="7"/>
  <c r="CD817" i="7"/>
  <c r="CD984" i="7"/>
  <c r="CD978" i="7"/>
  <c r="CD961" i="7"/>
  <c r="CD954" i="7"/>
  <c r="CD950" i="7"/>
  <c r="CD938" i="7"/>
  <c r="CD928" i="7"/>
  <c r="CD925" i="7"/>
  <c r="CD915" i="7"/>
  <c r="CD904" i="7"/>
  <c r="CD901" i="7"/>
  <c r="CD894" i="7"/>
  <c r="CD890" i="7"/>
  <c r="CD883" i="7"/>
  <c r="CD875" i="7"/>
  <c r="CD872" i="7"/>
  <c r="CD867" i="7"/>
  <c r="CD858" i="7"/>
  <c r="CD854" i="7"/>
  <c r="CD846" i="7"/>
  <c r="CD836" i="7"/>
  <c r="CD989" i="7"/>
  <c r="CD967" i="7"/>
  <c r="CD966" i="7"/>
  <c r="CD960" i="7"/>
  <c r="CD945" i="7"/>
  <c r="CD942" i="7"/>
  <c r="CD936" i="7"/>
  <c r="CD931" i="7"/>
  <c r="CD927" i="7"/>
  <c r="CD906" i="7"/>
  <c r="CD903" i="7"/>
  <c r="CD896" i="7"/>
  <c r="CD893" i="7"/>
  <c r="CD889" i="7"/>
  <c r="CD882" i="7"/>
  <c r="CD878" i="7"/>
  <c r="CD874" i="7"/>
  <c r="CD871" i="7"/>
  <c r="CD857" i="7"/>
  <c r="CD853" i="7"/>
  <c r="CD844" i="7"/>
  <c r="CD842" i="7"/>
  <c r="CD840" i="7"/>
  <c r="CD838" i="7"/>
  <c r="CD835" i="7"/>
  <c r="CD820" i="7"/>
  <c r="CD1000" i="7"/>
  <c r="CD996" i="7"/>
  <c r="CD977" i="7"/>
  <c r="CD973" i="7"/>
  <c r="CD947" i="7"/>
  <c r="CD941" i="7"/>
  <c r="CD935" i="7"/>
  <c r="CD930" i="7"/>
  <c r="CD917" i="7"/>
  <c r="CD911" i="7"/>
  <c r="CD905" i="7"/>
  <c r="CD900" i="7"/>
  <c r="CD895" i="7"/>
  <c r="CD881" i="7"/>
  <c r="CD877" i="7"/>
  <c r="CD856" i="7"/>
  <c r="CD852" i="7"/>
  <c r="CD845" i="7"/>
  <c r="CD843" i="7"/>
  <c r="CD841" i="7"/>
  <c r="CD839" i="7"/>
  <c r="CD837" i="7"/>
  <c r="CD819" i="7"/>
  <c r="CD807" i="7"/>
  <c r="CD803" i="7"/>
  <c r="CD800" i="7"/>
  <c r="CD791" i="7"/>
  <c r="CD779" i="7"/>
  <c r="CD771" i="7"/>
  <c r="CD756" i="7"/>
  <c r="CD751" i="7"/>
  <c r="CD747" i="7"/>
  <c r="CD699" i="7"/>
  <c r="CD695" i="7"/>
  <c r="CD691" i="7"/>
  <c r="CD687" i="7"/>
  <c r="CD818" i="7"/>
  <c r="CD806" i="7"/>
  <c r="CD802" i="7"/>
  <c r="CD793" i="7"/>
  <c r="CD788" i="7"/>
  <c r="CD782" i="7"/>
  <c r="CD755" i="7"/>
  <c r="CD754" i="7"/>
  <c r="CD750" i="7"/>
  <c r="CD746" i="7"/>
  <c r="CD235" i="7"/>
  <c r="CD721" i="7"/>
  <c r="CD709" i="7"/>
  <c r="CD805" i="7"/>
  <c r="CD799" i="7"/>
  <c r="CD795" i="7"/>
  <c r="CD792" i="7"/>
  <c r="CD787" i="7"/>
  <c r="CD781" i="7"/>
  <c r="CD762" i="7"/>
  <c r="CD761" i="7"/>
  <c r="CD760" i="7"/>
  <c r="CD759" i="7"/>
  <c r="CD758" i="7"/>
  <c r="CD753" i="7"/>
  <c r="CD749" i="7"/>
  <c r="CD745" i="7"/>
  <c r="CD739" i="7"/>
  <c r="CD720" i="7"/>
  <c r="CD234" i="7"/>
  <c r="CD719" i="7"/>
  <c r="CD704" i="7"/>
  <c r="CD701" i="7"/>
  <c r="CD697" i="7"/>
  <c r="CD693" i="7"/>
  <c r="CD804" i="7"/>
  <c r="CD801" i="7"/>
  <c r="CD798" i="7"/>
  <c r="CD794" i="7"/>
  <c r="CD780" i="7"/>
  <c r="CD772" i="7"/>
  <c r="CD757" i="7"/>
  <c r="CD752" i="7"/>
  <c r="CD748" i="7"/>
  <c r="CD738" i="7"/>
  <c r="CD737" i="7"/>
  <c r="CD723" i="7"/>
  <c r="CD722" i="7"/>
  <c r="CD718" i="7"/>
  <c r="CD703" i="7"/>
  <c r="CD700" i="7"/>
  <c r="CD696" i="7"/>
  <c r="CD692" i="7"/>
  <c r="CD688" i="7"/>
  <c r="CD708" i="7"/>
  <c r="CD686" i="7"/>
  <c r="CD682" i="7"/>
  <c r="CD678" i="7"/>
  <c r="CD662" i="7"/>
  <c r="CD661" i="7"/>
  <c r="CD660" i="7"/>
  <c r="CD659" i="7"/>
  <c r="CD656" i="7"/>
  <c r="CD653" i="7"/>
  <c r="CD649" i="7"/>
  <c r="CD636" i="7"/>
  <c r="CD607" i="7"/>
  <c r="CD600" i="7"/>
  <c r="CD593" i="7"/>
  <c r="CD581" i="7"/>
  <c r="CD580" i="7"/>
  <c r="CD579" i="7"/>
  <c r="CD116" i="7"/>
  <c r="CD115" i="7"/>
  <c r="CD112" i="7"/>
  <c r="CD111" i="7"/>
  <c r="CD560" i="7"/>
  <c r="CD553" i="7"/>
  <c r="CD551" i="7"/>
  <c r="CD541" i="7"/>
  <c r="CD527" i="7"/>
  <c r="CD524" i="7"/>
  <c r="CD509" i="7"/>
  <c r="CD504" i="7"/>
  <c r="CD459" i="7"/>
  <c r="CD457" i="7"/>
  <c r="CD447" i="7"/>
  <c r="CD428" i="7"/>
  <c r="CD418" i="7"/>
  <c r="CD705" i="7"/>
  <c r="CD694" i="7"/>
  <c r="CD690" i="7"/>
  <c r="CD689" i="7"/>
  <c r="CD685" i="7"/>
  <c r="CD681" i="7"/>
  <c r="CD658" i="7"/>
  <c r="CD655" i="7"/>
  <c r="CD652" i="7"/>
  <c r="CD648" i="7"/>
  <c r="CD605" i="7"/>
  <c r="CD597" i="7"/>
  <c r="CD594" i="7"/>
  <c r="CD585" i="7"/>
  <c r="CD584" i="7"/>
  <c r="CD583" i="7"/>
  <c r="CD582" i="7"/>
  <c r="CD561" i="7"/>
  <c r="CD556" i="7"/>
  <c r="CD550" i="7"/>
  <c r="CD545" i="7"/>
  <c r="CD539" i="7"/>
  <c r="CD538" i="7"/>
  <c r="CD537" i="7"/>
  <c r="CD540" i="7"/>
  <c r="CD530" i="7"/>
  <c r="CD528" i="7"/>
  <c r="CD518" i="7"/>
  <c r="CD494" i="7"/>
  <c r="CD488" i="7"/>
  <c r="CD485" i="7"/>
  <c r="CD482" i="7"/>
  <c r="CD472" i="7"/>
  <c r="CD464" i="7"/>
  <c r="CD455" i="7"/>
  <c r="CD446" i="7"/>
  <c r="CD441" i="7"/>
  <c r="CD434" i="7"/>
  <c r="CD424" i="7"/>
  <c r="CD422" i="7"/>
  <c r="CD407" i="7"/>
  <c r="CD405" i="7"/>
  <c r="CD403" i="7"/>
  <c r="CD402" i="7"/>
  <c r="CD394" i="7"/>
  <c r="CD390" i="7"/>
  <c r="CD706" i="7"/>
  <c r="CD698" i="7"/>
  <c r="CD684" i="7"/>
  <c r="CD680" i="7"/>
  <c r="CD657" i="7"/>
  <c r="CD651" i="7"/>
  <c r="CD647" i="7"/>
  <c r="CD608" i="7"/>
  <c r="CD606" i="7"/>
  <c r="CD601" i="7"/>
  <c r="CD598" i="7"/>
  <c r="CD595" i="7"/>
  <c r="CD591" i="7"/>
  <c r="CD590" i="7"/>
  <c r="CD589" i="7"/>
  <c r="CD588" i="7"/>
  <c r="CD587" i="7"/>
  <c r="CD586" i="7"/>
  <c r="CD571" i="7"/>
  <c r="CD570" i="7"/>
  <c r="CD569" i="7"/>
  <c r="CD567" i="7"/>
  <c r="CD568" i="7"/>
  <c r="CD566" i="7"/>
  <c r="CD565" i="7"/>
  <c r="CD564" i="7"/>
  <c r="CD563" i="7"/>
  <c r="CD562" i="7"/>
  <c r="CD113" i="7"/>
  <c r="CD547" i="7"/>
  <c r="CD535" i="7"/>
  <c r="CD532" i="7"/>
  <c r="CD520" i="7"/>
  <c r="CD516" i="7"/>
  <c r="CD515" i="7"/>
  <c r="CD512" i="7"/>
  <c r="CD497" i="7"/>
  <c r="CD493" i="7"/>
  <c r="CD487" i="7"/>
  <c r="CD479" i="7"/>
  <c r="CD478" i="7"/>
  <c r="CD477" i="7"/>
  <c r="CD473" i="7"/>
  <c r="CD470" i="7"/>
  <c r="CD468" i="7"/>
  <c r="CD466" i="7"/>
  <c r="CD461" i="7"/>
  <c r="CD707" i="7"/>
  <c r="CD683" i="7"/>
  <c r="CD679" i="7"/>
  <c r="CD654" i="7"/>
  <c r="CD650" i="7"/>
  <c r="CD602" i="7"/>
  <c r="CD599" i="7"/>
  <c r="CD596" i="7"/>
  <c r="CD592" i="7"/>
  <c r="CD578" i="7"/>
  <c r="CD577" i="7"/>
  <c r="CD576" i="7"/>
  <c r="CD574" i="7"/>
  <c r="CD573" i="7"/>
  <c r="CD114" i="7"/>
  <c r="CD572" i="7"/>
  <c r="CD559" i="7"/>
  <c r="CD558" i="7"/>
  <c r="CD557" i="7"/>
  <c r="CD552" i="7"/>
  <c r="CD533" i="7"/>
  <c r="CD522" i="7"/>
  <c r="CD519" i="7"/>
  <c r="CD517" i="7"/>
  <c r="CD514" i="7"/>
  <c r="CD511" i="7"/>
  <c r="CD507" i="7"/>
  <c r="CD506" i="7"/>
  <c r="CD505" i="7"/>
  <c r="CD503" i="7"/>
  <c r="CD496" i="7"/>
  <c r="CD492" i="7"/>
  <c r="CD475" i="7"/>
  <c r="CD467" i="7"/>
  <c r="CD465" i="7"/>
  <c r="CD463" i="7"/>
  <c r="CD448" i="7"/>
  <c r="CD444" i="7"/>
  <c r="CD439" i="7"/>
  <c r="CD431" i="7"/>
  <c r="CD426" i="7"/>
  <c r="CD423" i="7"/>
  <c r="CD415" i="7"/>
  <c r="CD412" i="7"/>
  <c r="CD404" i="7"/>
  <c r="CD401" i="7"/>
  <c r="CD399" i="7"/>
  <c r="CD398" i="7"/>
  <c r="CD397" i="7"/>
  <c r="CD383" i="7"/>
  <c r="CD367" i="7"/>
  <c r="CD359" i="7"/>
  <c r="CD358" i="7"/>
  <c r="CD357" i="7"/>
  <c r="CD830" i="7"/>
  <c r="CD352" i="7"/>
  <c r="CD351" i="7"/>
  <c r="CD347" i="7"/>
  <c r="CD331" i="7"/>
  <c r="CD328" i="7"/>
  <c r="CD317" i="7"/>
  <c r="CD304" i="7"/>
  <c r="CD302" i="7"/>
  <c r="CD301" i="7"/>
  <c r="CD300" i="7"/>
  <c r="CD299" i="7"/>
  <c r="CD298" i="7"/>
  <c r="CD293" i="7"/>
  <c r="CD286" i="7"/>
  <c r="CD281" i="7"/>
  <c r="CD774" i="7"/>
  <c r="CD276" i="7"/>
  <c r="CD274" i="7"/>
  <c r="CD264" i="7"/>
  <c r="CD262" i="7"/>
  <c r="CD258" i="7"/>
  <c r="CD255" i="7"/>
  <c r="CD251" i="7"/>
  <c r="CD250" i="7"/>
  <c r="CD232" i="7"/>
  <c r="CD228" i="7"/>
  <c r="CD224" i="7"/>
  <c r="CD222" i="7"/>
  <c r="CD219" i="7"/>
  <c r="CD216" i="7"/>
  <c r="CD215" i="7"/>
  <c r="CD212" i="7"/>
  <c r="CD205" i="7"/>
  <c r="CD181" i="7"/>
  <c r="CD180" i="7"/>
  <c r="CD179" i="7"/>
  <c r="CD171" i="7"/>
  <c r="CD167" i="7"/>
  <c r="CD161" i="7"/>
  <c r="CD157" i="7"/>
  <c r="CD130" i="7"/>
  <c r="CD126" i="7"/>
  <c r="CD107" i="7"/>
  <c r="CD89" i="7"/>
  <c r="CD85" i="7"/>
  <c r="CD432" i="7"/>
  <c r="CD427" i="7"/>
  <c r="CD392" i="7"/>
  <c r="CD389" i="7"/>
  <c r="CD387" i="7"/>
  <c r="CD385" i="7"/>
  <c r="CD366" i="7"/>
  <c r="CD360" i="7"/>
  <c r="CD356" i="7"/>
  <c r="CD353" i="7"/>
  <c r="CD350" i="7"/>
  <c r="CD346" i="7"/>
  <c r="CD330" i="7"/>
  <c r="CD327" i="7"/>
  <c r="CD323" i="7"/>
  <c r="CD322" i="7"/>
  <c r="CD321" i="7"/>
  <c r="CD319" i="7"/>
  <c r="CD312" i="7"/>
  <c r="CD310" i="7"/>
  <c r="CD308" i="7"/>
  <c r="CD307" i="7"/>
  <c r="CD306" i="7"/>
  <c r="CD297" i="7"/>
  <c r="CD294" i="7"/>
  <c r="CD292" i="7"/>
  <c r="CD288" i="7"/>
  <c r="CD284" i="7"/>
  <c r="CD280" i="7"/>
  <c r="CD229" i="7"/>
  <c r="CD225" i="7"/>
  <c r="CD223" i="7"/>
  <c r="CD221" i="7"/>
  <c r="CD220" i="7"/>
  <c r="CD211" i="7"/>
  <c r="CD204" i="7"/>
  <c r="CD182" i="7"/>
  <c r="CD170" i="7"/>
  <c r="CD166" i="7"/>
  <c r="CD155" i="7"/>
  <c r="CD129" i="7"/>
  <c r="CD108" i="7"/>
  <c r="CD105" i="7"/>
  <c r="CD93" i="7"/>
  <c r="CD90" i="7"/>
  <c r="CD78" i="7"/>
  <c r="CD68" i="7"/>
  <c r="CD435" i="7"/>
  <c r="CD430" i="7"/>
  <c r="CD429" i="7"/>
  <c r="CD425" i="7"/>
  <c r="CD414" i="7"/>
  <c r="CD413" i="7"/>
  <c r="CD395" i="7"/>
  <c r="CD391" i="7"/>
  <c r="CD386" i="7"/>
  <c r="CD380" i="7"/>
  <c r="CD372" i="7"/>
  <c r="CD368" i="7"/>
  <c r="CD363" i="7"/>
  <c r="CD361" i="7"/>
  <c r="CD344" i="7"/>
  <c r="CD332" i="7"/>
  <c r="CD313" i="7"/>
  <c r="CD309" i="7"/>
  <c r="CD289" i="7"/>
  <c r="CD282" i="7"/>
  <c r="CD248" i="7"/>
  <c r="CD247" i="7"/>
  <c r="CD243" i="7"/>
  <c r="CD231" i="7"/>
  <c r="CD227" i="7"/>
  <c r="CD210" i="7"/>
  <c r="CD209" i="7"/>
  <c r="CD208" i="7"/>
  <c r="CD207" i="7"/>
  <c r="CD206" i="7"/>
  <c r="CD193" i="7"/>
  <c r="CD192" i="7"/>
  <c r="CD190" i="7"/>
  <c r="CD189" i="7"/>
  <c r="CD188" i="7"/>
  <c r="CD187" i="7"/>
  <c r="CD186" i="7"/>
  <c r="CD185" i="7"/>
  <c r="CD184" i="7"/>
  <c r="CD178" i="7"/>
  <c r="CD177" i="7"/>
  <c r="CD176" i="7"/>
  <c r="CD163" i="7"/>
  <c r="CD162" i="7"/>
  <c r="CD156" i="7"/>
  <c r="CD151" i="7"/>
  <c r="CD150" i="7"/>
  <c r="CD149" i="7"/>
  <c r="CD148" i="7"/>
  <c r="CD106" i="7"/>
  <c r="CD95" i="7"/>
  <c r="CD92" i="7"/>
  <c r="CD88" i="7"/>
  <c r="CD84" i="7"/>
  <c r="CD76" i="7"/>
  <c r="CD72" i="7"/>
  <c r="CD46" i="7"/>
  <c r="CD45" i="7"/>
  <c r="CD44" i="7"/>
  <c r="CD43" i="7"/>
  <c r="CD42" i="7"/>
  <c r="CD41" i="7"/>
  <c r="CD614" i="7"/>
  <c r="CD39" i="7"/>
  <c r="CD38" i="7"/>
  <c r="CD318" i="7"/>
  <c r="CD283" i="7"/>
  <c r="CD241" i="7"/>
  <c r="CD165" i="7"/>
  <c r="CD669" i="7"/>
  <c r="CD147" i="7"/>
  <c r="CD146" i="7"/>
  <c r="CD145" i="7"/>
  <c r="CD144" i="7"/>
  <c r="CD143" i="7"/>
  <c r="CD142" i="7"/>
  <c r="CD141" i="7"/>
  <c r="CD140" i="7"/>
  <c r="CD139" i="7"/>
  <c r="CD94" i="7"/>
  <c r="CD83" i="7"/>
  <c r="CD73" i="7"/>
  <c r="CD59" i="7"/>
  <c r="CD35" i="7"/>
  <c r="CD611" i="7"/>
  <c r="CD32" i="7"/>
  <c r="CD30" i="7"/>
  <c r="CD28" i="7"/>
  <c r="CD26" i="7"/>
  <c r="CD25" i="7"/>
  <c r="CD610" i="7"/>
  <c r="CD24" i="7"/>
  <c r="CD23" i="7"/>
  <c r="CD612" i="7"/>
  <c r="CD109" i="7"/>
  <c r="CD67" i="7"/>
  <c r="CD49" i="7"/>
  <c r="CD433" i="7"/>
  <c r="CD159" i="7"/>
  <c r="CD50" i="7"/>
  <c r="CD376" i="7"/>
  <c r="CD311" i="7"/>
  <c r="CD305" i="7"/>
  <c r="CD303" i="7"/>
  <c r="CD271" i="7"/>
  <c r="CD270" i="7"/>
  <c r="CD249" i="7"/>
  <c r="CD230" i="7"/>
  <c r="CD203" i="7"/>
  <c r="CD183" i="7"/>
  <c r="CD102" i="7"/>
  <c r="CD69" i="7"/>
  <c r="CD64" i="7"/>
  <c r="CD48" i="7"/>
  <c r="CD37" i="7"/>
  <c r="CD613" i="7"/>
  <c r="CD36" i="7"/>
  <c r="CD406" i="7"/>
  <c r="CD364" i="7"/>
  <c r="CD336" i="7"/>
  <c r="CD333" i="7"/>
  <c r="CD329" i="7"/>
  <c r="CD275" i="7"/>
  <c r="CD244" i="7"/>
  <c r="CD226" i="7"/>
  <c r="CD214" i="7"/>
  <c r="CD712" i="7"/>
  <c r="CD174" i="7"/>
  <c r="CD173" i="7"/>
  <c r="CD154" i="7"/>
  <c r="CD87" i="7"/>
  <c r="CD53" i="7"/>
  <c r="CD382" i="7"/>
  <c r="CD365" i="7"/>
  <c r="CD362" i="7"/>
  <c r="CD287" i="7"/>
  <c r="CD256" i="7"/>
  <c r="D1004" i="7" l="1"/>
  <c r="AT371" i="7"/>
  <c r="AT61" i="7"/>
  <c r="AT296" i="7"/>
  <c r="AT22" i="7"/>
  <c r="AT29" i="7"/>
  <c r="AT676" i="7"/>
  <c r="AT891" i="7"/>
  <c r="AT892" i="7"/>
  <c r="AT876" i="7"/>
  <c r="AT238" i="7"/>
  <c r="AT784" i="7"/>
  <c r="AT785" i="7"/>
  <c r="AT1139" i="7"/>
  <c r="AT814" i="7"/>
  <c r="AT1244" i="7"/>
  <c r="AT959" i="7"/>
  <c r="AT965" i="7"/>
  <c r="AT888" i="7"/>
  <c r="AT815" i="7"/>
  <c r="AT744" i="7"/>
  <c r="AT1161" i="7"/>
  <c r="AT1160" i="7"/>
  <c r="AT783" i="7"/>
  <c r="AT1140" i="7"/>
  <c r="AT453" i="7"/>
  <c r="AT454" i="7"/>
  <c r="AT521" i="7"/>
  <c r="AT417" i="7"/>
  <c r="AT416" i="7"/>
  <c r="AT548" i="7"/>
  <c r="AT513" i="7"/>
  <c r="AT641" i="7"/>
  <c r="AT543" i="7"/>
  <c r="AT544" i="7"/>
  <c r="AT869" i="7"/>
  <c r="AT640" i="7"/>
  <c r="AT1003" i="7"/>
  <c r="AT816" i="7"/>
  <c r="AT982" i="7"/>
  <c r="AT1002" i="7"/>
  <c r="AT963" i="7"/>
  <c r="AT974" i="7"/>
  <c r="AT948" i="7"/>
  <c r="AT939" i="7"/>
  <c r="AT932" i="7"/>
  <c r="AT919" i="7"/>
  <c r="AT909" i="7"/>
  <c r="AT908" i="7"/>
  <c r="AT865" i="7"/>
  <c r="AT886" i="7"/>
  <c r="AT879" i="7"/>
  <c r="AT864" i="7"/>
  <c r="AT863" i="7"/>
  <c r="AT851" i="7"/>
  <c r="AT861" i="7"/>
  <c r="AT850" i="7"/>
  <c r="AT831" i="7"/>
  <c r="AT832" i="7"/>
  <c r="AT834" i="7"/>
  <c r="AT824" i="7"/>
  <c r="AT822" i="7"/>
  <c r="AT823" i="7"/>
  <c r="AT810" i="7"/>
  <c r="AT811" i="7"/>
  <c r="AT812" i="7"/>
  <c r="AT797" i="7"/>
  <c r="AT796" i="7"/>
  <c r="AT1088" i="7"/>
  <c r="AT702" i="7"/>
  <c r="AT790" i="7"/>
  <c r="AT734" i="7"/>
  <c r="AT786" i="7"/>
  <c r="AT246" i="7"/>
  <c r="AT273" i="7"/>
  <c r="AT742" i="7"/>
  <c r="AT765" i="7"/>
  <c r="AT730" i="7"/>
  <c r="AT728" i="7"/>
  <c r="AT729" i="7"/>
  <c r="AT670" i="7"/>
  <c r="AT727" i="7"/>
  <c r="AT575" i="7"/>
  <c r="AT1067" i="7"/>
  <c r="AT1066" i="7"/>
  <c r="AT637" i="7"/>
  <c r="AT646" i="7"/>
  <c r="AT644" i="7"/>
  <c r="AT643" i="7"/>
  <c r="AT642" i="7"/>
  <c r="AT1059" i="7"/>
  <c r="AT1064" i="7"/>
  <c r="AT1065" i="7"/>
  <c r="AT629" i="7"/>
  <c r="AT627" i="7"/>
  <c r="AT633" i="7"/>
  <c r="AT624" i="7"/>
  <c r="AT631" i="7"/>
  <c r="AT632" i="7"/>
  <c r="AT623" i="7"/>
  <c r="AT237" i="7"/>
  <c r="AT236" i="7"/>
  <c r="AT789" i="7"/>
  <c r="AT725" i="7"/>
  <c r="AT937" i="7"/>
  <c r="AT1136" i="7"/>
  <c r="AT775" i="7"/>
  <c r="AT987" i="7"/>
  <c r="AT986" i="7"/>
  <c r="AT1057" i="7"/>
  <c r="AT773" i="7"/>
  <c r="AC20" i="7"/>
  <c r="AC19" i="7" s="1"/>
  <c r="AT860" i="7"/>
  <c r="AT981" i="7"/>
  <c r="AT923" i="7"/>
  <c r="D20" i="7"/>
  <c r="AT991" i="7"/>
  <c r="AT808" i="7"/>
  <c r="AT501" i="7"/>
  <c r="AT502" i="7"/>
  <c r="AT498" i="7"/>
  <c r="AT500" i="7"/>
  <c r="AT499" i="7"/>
  <c r="AT740" i="7"/>
  <c r="AT763" i="7"/>
  <c r="AT1072" i="7"/>
  <c r="AT664" i="7"/>
  <c r="AT45" i="7"/>
  <c r="AT161" i="7"/>
  <c r="AT565" i="7"/>
  <c r="AT1103" i="7"/>
  <c r="AT26" i="7"/>
  <c r="AT1105" i="7"/>
  <c r="AT126" i="7"/>
  <c r="AT534" i="7"/>
  <c r="AT164" i="7"/>
  <c r="AT654" i="7"/>
  <c r="AT306" i="7"/>
  <c r="AT351" i="7"/>
  <c r="AT806" i="7"/>
  <c r="AT392" i="7"/>
  <c r="AT385" i="7"/>
  <c r="AT287" i="7"/>
  <c r="AT158" i="7"/>
  <c r="AT483" i="7"/>
  <c r="AT874" i="7"/>
  <c r="AT1220" i="7"/>
  <c r="AT407" i="7"/>
  <c r="AT30" i="7"/>
  <c r="AT396" i="7"/>
  <c r="AT354" i="7"/>
  <c r="AT429" i="7"/>
  <c r="AT928" i="7"/>
  <c r="AT613" i="7"/>
  <c r="AT43" i="7"/>
  <c r="AT166" i="7"/>
  <c r="AT294" i="7"/>
  <c r="AT205" i="7"/>
  <c r="AT203" i="7"/>
  <c r="AT566" i="7"/>
  <c r="AT514" i="7"/>
  <c r="AT435" i="7"/>
  <c r="AT771" i="7"/>
  <c r="AT1040" i="7"/>
  <c r="AT1122" i="7"/>
  <c r="AT330" i="7"/>
  <c r="AT47" i="7"/>
  <c r="AT24" i="7"/>
  <c r="AT128" i="7"/>
  <c r="AT327" i="7"/>
  <c r="AT274" i="7"/>
  <c r="AT243" i="7"/>
  <c r="AT591" i="7"/>
  <c r="AT112" i="7"/>
  <c r="AT817" i="7"/>
  <c r="AT967" i="7"/>
  <c r="AT996" i="7"/>
  <c r="AT170" i="7"/>
  <c r="AT37" i="7"/>
  <c r="AT312" i="7"/>
  <c r="AT31" i="7"/>
  <c r="AT165" i="7"/>
  <c r="AT51" i="7"/>
  <c r="AT355" i="7"/>
  <c r="AT368" i="7"/>
  <c r="AT583" i="7"/>
  <c r="AT693" i="7"/>
  <c r="AT889" i="7"/>
  <c r="AT877" i="7"/>
  <c r="AT1223" i="7"/>
  <c r="AT297" i="7"/>
  <c r="AT44" i="7"/>
  <c r="AT160" i="7"/>
  <c r="AT34" i="7"/>
  <c r="AT244" i="7"/>
  <c r="AT59" i="7"/>
  <c r="AT397" i="7"/>
  <c r="AT458" i="7"/>
  <c r="AT690" i="7"/>
  <c r="AT535" i="7"/>
  <c r="AT921" i="7"/>
  <c r="AT1116" i="7"/>
  <c r="AT366" i="7"/>
  <c r="AT389" i="7"/>
  <c r="AT23" i="7"/>
  <c r="AT204" i="7"/>
  <c r="AT211" i="7"/>
  <c r="AT25" i="7"/>
  <c r="AT132" i="7"/>
  <c r="AT252" i="7"/>
  <c r="AT333" i="7"/>
  <c r="AT60" i="7"/>
  <c r="AT298" i="7"/>
  <c r="AT412" i="7"/>
  <c r="AT248" i="7"/>
  <c r="AT510" i="7"/>
  <c r="AT684" i="7"/>
  <c r="AT695" i="7"/>
  <c r="AT581" i="7"/>
  <c r="AT558" i="7"/>
  <c r="AT694" i="7"/>
  <c r="AT780" i="7"/>
  <c r="AT1078" i="7"/>
  <c r="AT944" i="7"/>
  <c r="AT1054" i="7"/>
  <c r="AT1237" i="7"/>
  <c r="AT1271" i="7"/>
  <c r="AT1113" i="7"/>
  <c r="AT1102" i="7"/>
  <c r="AT859" i="7"/>
  <c r="AT875" i="7"/>
  <c r="AT966" i="7"/>
  <c r="AT838" i="7"/>
  <c r="AT692" i="7"/>
  <c r="AT793" i="7"/>
  <c r="AT739" i="7"/>
  <c r="AT505" i="7"/>
  <c r="AT682" i="7"/>
  <c r="AT469" i="7"/>
  <c r="AT655" i="7"/>
  <c r="AT474" i="7"/>
  <c r="AT589" i="7"/>
  <c r="AT530" i="7"/>
  <c r="AT405" i="7"/>
  <c r="AT332" i="7"/>
  <c r="AT209" i="7"/>
  <c r="AT127" i="7"/>
  <c r="AT393" i="7"/>
  <c r="AT328" i="7"/>
  <c r="AT250" i="7"/>
  <c r="AT138" i="7"/>
  <c r="AT55" i="7"/>
  <c r="AT364" i="7"/>
  <c r="AT318" i="7"/>
  <c r="AT275" i="7"/>
  <c r="AT214" i="7"/>
  <c r="AT159" i="7"/>
  <c r="AT310" i="7"/>
  <c r="AT46" i="7"/>
  <c r="AT33" i="7"/>
  <c r="AT27" i="7"/>
  <c r="AT387" i="7"/>
  <c r="AT427" i="7"/>
  <c r="AT129" i="7"/>
  <c r="AT610" i="7"/>
  <c r="AT612" i="7"/>
  <c r="AT614" i="7"/>
  <c r="AT315" i="7"/>
  <c r="AT1224" i="7"/>
  <c r="AT1177" i="7"/>
  <c r="AT1134" i="7"/>
  <c r="AT973" i="7"/>
  <c r="AT988" i="7"/>
  <c r="AT1152" i="7"/>
  <c r="AT872" i="7"/>
  <c r="AT927" i="7"/>
  <c r="AT794" i="7"/>
  <c r="AT688" i="7"/>
  <c r="AT746" i="7"/>
  <c r="AT701" i="7"/>
  <c r="AT460" i="7"/>
  <c r="AT649" i="7"/>
  <c r="AT536" i="7"/>
  <c r="AT437" i="7"/>
  <c r="AT584" i="7"/>
  <c r="AT464" i="7"/>
  <c r="AT569" i="7"/>
  <c r="AT512" i="7"/>
  <c r="AT390" i="7"/>
  <c r="AT206" i="7"/>
  <c r="AT367" i="7"/>
  <c r="AT304" i="7"/>
  <c r="AT247" i="7"/>
  <c r="AT63" i="7"/>
  <c r="AT52" i="7"/>
  <c r="AT360" i="7"/>
  <c r="AT303" i="7"/>
  <c r="AT256" i="7"/>
  <c r="AT173" i="7"/>
  <c r="AT136" i="7"/>
  <c r="AT280" i="7"/>
  <c r="AT42" i="7"/>
  <c r="AT32" i="7"/>
  <c r="AT288" i="7"/>
  <c r="AT370" i="7"/>
  <c r="AT253" i="7"/>
  <c r="AT41" i="7"/>
  <c r="AT157" i="7"/>
  <c r="AT28" i="7"/>
  <c r="AT137" i="7"/>
  <c r="AT346" i="7"/>
  <c r="AT257" i="7"/>
  <c r="AT611" i="7"/>
  <c r="AT39" i="7"/>
  <c r="AT133" i="7"/>
  <c r="AT319" i="7"/>
  <c r="AT139" i="7"/>
  <c r="AT169" i="7"/>
  <c r="AT249" i="7"/>
  <c r="AT283" i="7"/>
  <c r="AT314" i="7"/>
  <c r="AT350" i="7"/>
  <c r="AT406" i="7"/>
  <c r="AT56" i="7"/>
  <c r="AT64" i="7"/>
  <c r="AT212" i="7"/>
  <c r="AT276" i="7"/>
  <c r="AT331" i="7"/>
  <c r="AT419" i="7"/>
  <c r="AT162" i="7"/>
  <c r="AT210" i="7"/>
  <c r="AT309" i="7"/>
  <c r="AT466" i="7"/>
  <c r="AT550" i="7"/>
  <c r="AT570" i="7"/>
  <c r="AT699" i="7"/>
  <c r="AT545" i="7"/>
  <c r="AT658" i="7"/>
  <c r="AT442" i="7"/>
  <c r="AT522" i="7"/>
  <c r="AT116" i="7"/>
  <c r="AT686" i="7"/>
  <c r="AT473" i="7"/>
  <c r="AT559" i="7"/>
  <c r="AT787" i="7"/>
  <c r="AT750" i="7"/>
  <c r="AT738" i="7"/>
  <c r="AT842" i="7"/>
  <c r="AT931" i="7"/>
  <c r="AT950" i="7"/>
  <c r="AT868" i="7"/>
  <c r="AT1026" i="7"/>
  <c r="AT900" i="7"/>
  <c r="AT1117" i="7"/>
  <c r="AT1151" i="7"/>
  <c r="AT1167" i="7"/>
  <c r="AT1073" i="7"/>
  <c r="AT1258" i="7"/>
  <c r="AT1056" i="7"/>
  <c r="AT1055" i="7"/>
  <c r="AT1170" i="7"/>
  <c r="AT1168" i="7"/>
  <c r="AT1162" i="7"/>
  <c r="AT1027" i="7"/>
  <c r="AT1208" i="7"/>
  <c r="AT1132" i="7"/>
  <c r="AT1215" i="7"/>
  <c r="AT1108" i="7"/>
  <c r="AT1021" i="7"/>
  <c r="AT1083" i="7"/>
  <c r="AT930" i="7"/>
  <c r="AT1098" i="7"/>
  <c r="AT971" i="7"/>
  <c r="AT916" i="7"/>
  <c r="AT841" i="7"/>
  <c r="AT925" i="7"/>
  <c r="AT846" i="7"/>
  <c r="AT1022" i="7"/>
  <c r="AT954" i="7"/>
  <c r="AT896" i="7"/>
  <c r="AT871" i="7"/>
  <c r="AT828" i="7"/>
  <c r="AT752" i="7"/>
  <c r="AT718" i="7"/>
  <c r="AT819" i="7"/>
  <c r="AT747" i="7"/>
  <c r="AT788" i="7"/>
  <c r="AT235" i="7"/>
  <c r="AT795" i="7"/>
  <c r="AT720" i="7"/>
  <c r="AT689" i="7"/>
  <c r="AT578" i="7"/>
  <c r="AT486" i="7"/>
  <c r="AT448" i="7"/>
  <c r="AT425" i="7"/>
  <c r="AT656" i="7"/>
  <c r="AT580" i="7"/>
  <c r="AT111" i="7"/>
  <c r="AT529" i="7"/>
  <c r="AT511" i="7"/>
  <c r="AT467" i="7"/>
  <c r="AT418" i="7"/>
  <c r="AT685" i="7"/>
  <c r="AT652" i="7"/>
  <c r="AT556" i="7"/>
  <c r="AT518" i="7"/>
  <c r="AT455" i="7"/>
  <c r="AT657" i="7"/>
  <c r="AT588" i="7"/>
  <c r="AT563" i="7"/>
  <c r="AT528" i="7"/>
  <c r="AT487" i="7"/>
  <c r="AT430" i="7"/>
  <c r="AT388" i="7"/>
  <c r="AT363" i="7"/>
  <c r="AT313" i="7"/>
  <c r="AT289" i="7"/>
  <c r="AT241" i="7"/>
  <c r="AT208" i="7"/>
  <c r="AT172" i="7"/>
  <c r="AT135" i="7"/>
  <c r="AT422" i="7"/>
  <c r="AT404" i="7"/>
  <c r="AT383" i="7"/>
  <c r="AT365" i="7"/>
  <c r="AT347" i="7"/>
  <c r="AT317" i="7"/>
  <c r="AT295" i="7"/>
  <c r="AT255" i="7"/>
  <c r="AT242" i="7"/>
  <c r="AT171" i="7"/>
  <c r="AT134" i="7"/>
  <c r="AT62" i="7"/>
  <c r="AT58" i="7"/>
  <c r="AT54" i="7"/>
  <c r="AT50" i="7"/>
  <c r="AT381" i="7"/>
  <c r="AT356" i="7"/>
  <c r="AT329" i="7"/>
  <c r="AT305" i="7"/>
  <c r="AT1260" i="7"/>
  <c r="AT1133" i="7"/>
  <c r="AT1144" i="7"/>
  <c r="AT1090" i="7"/>
  <c r="AT1008" i="7"/>
  <c r="AT1199" i="7"/>
  <c r="AT1127" i="7"/>
  <c r="AT1174" i="7"/>
  <c r="AT1107" i="7"/>
  <c r="AT1000" i="7"/>
  <c r="AT1030" i="7"/>
  <c r="AT1241" i="7"/>
  <c r="AT1035" i="7"/>
  <c r="AT970" i="7"/>
  <c r="AT1176" i="7"/>
  <c r="AT995" i="7"/>
  <c r="AT894" i="7"/>
  <c r="AT1217" i="7"/>
  <c r="AT1009" i="7"/>
  <c r="AT942" i="7"/>
  <c r="AT893" i="7"/>
  <c r="AT853" i="7"/>
  <c r="AT798" i="7"/>
  <c r="AT748" i="7"/>
  <c r="AT703" i="7"/>
  <c r="AT791" i="7"/>
  <c r="AT835" i="7"/>
  <c r="AT782" i="7"/>
  <c r="AT705" i="7"/>
  <c r="AT792" i="7"/>
  <c r="AT719" i="7"/>
  <c r="AT679" i="7"/>
  <c r="AT577" i="7"/>
  <c r="AT574" i="7"/>
  <c r="AT546" i="7"/>
  <c r="AT475" i="7"/>
  <c r="AT444" i="7"/>
  <c r="AT413" i="7"/>
  <c r="AT653" i="7"/>
  <c r="AT579" i="7"/>
  <c r="AT524" i="7"/>
  <c r="AT504" i="7"/>
  <c r="AT457" i="7"/>
  <c r="AT681" i="7"/>
  <c r="AT585" i="7"/>
  <c r="AT553" i="7"/>
  <c r="AT509" i="7"/>
  <c r="AT441" i="7"/>
  <c r="AT651" i="7"/>
  <c r="AT587" i="7"/>
  <c r="AT568" i="7"/>
  <c r="AT562" i="7"/>
  <c r="AT523" i="7"/>
  <c r="AT468" i="7"/>
  <c r="AT424" i="7"/>
  <c r="AT386" i="7"/>
  <c r="AT361" i="7"/>
  <c r="AT311" i="7"/>
  <c r="AT282" i="7"/>
  <c r="AT213" i="7"/>
  <c r="AT207" i="7"/>
  <c r="AT168" i="7"/>
  <c r="AT131" i="7"/>
  <c r="AT420" i="7"/>
  <c r="AT398" i="7"/>
  <c r="AT380" i="7"/>
  <c r="AT357" i="7"/>
  <c r="AT344" i="7"/>
  <c r="AT316" i="7"/>
  <c r="AT281" i="7"/>
  <c r="AT254" i="7"/>
  <c r="AT167" i="7"/>
  <c r="AT130" i="7"/>
  <c r="AT57" i="7"/>
  <c r="AT53" i="7"/>
  <c r="AT49" i="7"/>
  <c r="AT369" i="7"/>
  <c r="AT353" i="7"/>
  <c r="AT384" i="7"/>
  <c r="AT395" i="7"/>
  <c r="AT436" i="7"/>
  <c r="AT476" i="7"/>
  <c r="AT515" i="7"/>
  <c r="AT547" i="7"/>
  <c r="AT564" i="7"/>
  <c r="AT567" i="7"/>
  <c r="AT571" i="7"/>
  <c r="AT590" i="7"/>
  <c r="AT680" i="7"/>
  <c r="AT446" i="7"/>
  <c r="AT485" i="7"/>
  <c r="AT540" i="7"/>
  <c r="AT561" i="7"/>
  <c r="AT648" i="7"/>
  <c r="AT678" i="7"/>
  <c r="AT691" i="7"/>
  <c r="AT428" i="7"/>
  <c r="AT459" i="7"/>
  <c r="AT503" i="7"/>
  <c r="AT517" i="7"/>
  <c r="AT533" i="7"/>
  <c r="AT659" i="7"/>
  <c r="AT423" i="7"/>
  <c r="AT438" i="7"/>
  <c r="AT465" i="7"/>
  <c r="AT492" i="7"/>
  <c r="AT554" i="7"/>
  <c r="AT573" i="7"/>
  <c r="AT576" i="7"/>
  <c r="AT647" i="7"/>
  <c r="AT687" i="7"/>
  <c r="AT704" i="7"/>
  <c r="AT753" i="7"/>
  <c r="AT805" i="7"/>
  <c r="AT721" i="7"/>
  <c r="AT754" i="7"/>
  <c r="AT802" i="7"/>
  <c r="AT756" i="7"/>
  <c r="AT800" i="7"/>
  <c r="AT700" i="7"/>
  <c r="AT757" i="7"/>
  <c r="AT804" i="7"/>
  <c r="AT844" i="7"/>
  <c r="AT878" i="7"/>
  <c r="AT906" i="7"/>
  <c r="AT945" i="7"/>
  <c r="AT976" i="7"/>
  <c r="AT1080" i="7"/>
  <c r="AT854" i="7"/>
  <c r="AT901" i="7"/>
  <c r="AT961" i="7"/>
  <c r="AT1047" i="7"/>
  <c r="AT843" i="7"/>
  <c r="AT899" i="7"/>
  <c r="AT946" i="7"/>
  <c r="AT1006" i="7"/>
  <c r="AT1099" i="7"/>
  <c r="AT905" i="7"/>
  <c r="AT980" i="7"/>
  <c r="AT1085" i="7"/>
  <c r="AT1005" i="7"/>
  <c r="AT1048" i="7"/>
  <c r="AT1135" i="7"/>
  <c r="AT1225" i="7"/>
  <c r="AT1128" i="7"/>
  <c r="AT1183" i="7"/>
  <c r="AT972" i="7"/>
  <c r="AT1032" i="7"/>
  <c r="AT1094" i="7"/>
  <c r="AT1263" i="7"/>
  <c r="AT1222" i="7"/>
  <c r="AT1186" i="7"/>
  <c r="AT1269" i="7"/>
  <c r="AT1120" i="7"/>
  <c r="AT1249" i="7"/>
  <c r="AT1203" i="7"/>
  <c r="AT1243" i="7"/>
  <c r="AT1201" i="7"/>
  <c r="AT1266" i="7"/>
  <c r="AT1207" i="7"/>
  <c r="AT1143" i="7"/>
  <c r="AT1069" i="7"/>
  <c r="AT1018" i="7"/>
  <c r="AT989" i="7"/>
  <c r="AT1239" i="7"/>
  <c r="AT1187" i="7"/>
  <c r="AT1131" i="7"/>
  <c r="AT1125" i="7"/>
  <c r="AT1261" i="7"/>
  <c r="AT1210" i="7"/>
  <c r="AT1141" i="7"/>
  <c r="AT1112" i="7"/>
  <c r="AT1106" i="7"/>
  <c r="AT1037" i="7"/>
  <c r="AT1016" i="7"/>
  <c r="AT1087" i="7"/>
  <c r="AT1053" i="7"/>
  <c r="AT1017" i="7"/>
  <c r="AT941" i="7"/>
  <c r="AT917" i="7"/>
  <c r="AT895" i="7"/>
  <c r="AT852" i="7"/>
  <c r="AT1227" i="7"/>
  <c r="AT1101" i="7"/>
  <c r="AT1049" i="7"/>
  <c r="AT985" i="7"/>
  <c r="AT955" i="7"/>
  <c r="AT929" i="7"/>
  <c r="AT910" i="7"/>
  <c r="AT880" i="7"/>
  <c r="AT855" i="7"/>
  <c r="AT839" i="7"/>
  <c r="AT1142" i="7"/>
  <c r="AT1033" i="7"/>
  <c r="AT990" i="7"/>
  <c r="AT938" i="7"/>
  <c r="AT915" i="7"/>
  <c r="AT890" i="7"/>
  <c r="AT867" i="7"/>
  <c r="AT836" i="7"/>
  <c r="AT1109" i="7"/>
  <c r="AT1038" i="7"/>
  <c r="AT1001" i="7"/>
  <c r="AT960" i="7"/>
  <c r="AT936" i="7"/>
  <c r="AT903" i="7"/>
  <c r="AT882" i="7"/>
  <c r="AT857" i="7"/>
  <c r="AT840" i="7"/>
  <c r="AT801" i="7"/>
  <c r="AT772" i="7"/>
  <c r="AT745" i="7"/>
  <c r="AT722" i="7"/>
  <c r="AT696" i="7"/>
  <c r="AT807" i="7"/>
  <c r="AT779" i="7"/>
  <c r="AT737" i="7"/>
  <c r="AT755" i="7"/>
  <c r="AT698" i="7"/>
  <c r="AT799" i="7"/>
  <c r="AT781" i="7"/>
  <c r="AT234" i="7"/>
  <c r="AT697" i="7"/>
  <c r="AT683" i="7"/>
  <c r="AT650" i="7"/>
  <c r="AT114" i="7"/>
  <c r="AT557" i="7"/>
  <c r="AT531" i="7"/>
  <c r="AT484" i="7"/>
  <c r="AT463" i="7"/>
  <c r="AT1246" i="7"/>
  <c r="AT1192" i="7"/>
  <c r="AT1155" i="7"/>
  <c r="AT1229" i="7"/>
  <c r="AT1178" i="7"/>
  <c r="AT1264" i="7"/>
  <c r="AT1194" i="7"/>
  <c r="AT1095" i="7"/>
  <c r="AT1077" i="7"/>
  <c r="AT1039" i="7"/>
  <c r="AT1014" i="7"/>
  <c r="AT984" i="7"/>
  <c r="AT1209" i="7"/>
  <c r="AT1184" i="7"/>
  <c r="AT1149" i="7"/>
  <c r="AT1129" i="7"/>
  <c r="AT1123" i="7"/>
  <c r="AT1250" i="7"/>
  <c r="AT1175" i="7"/>
  <c r="AT1111" i="7"/>
  <c r="AT1034" i="7"/>
  <c r="AT1010" i="7"/>
  <c r="AT1226" i="7"/>
  <c r="AT1086" i="7"/>
  <c r="AT1043" i="7"/>
  <c r="AT1004" i="7"/>
  <c r="AT935" i="7"/>
  <c r="AT911" i="7"/>
  <c r="AT881" i="7"/>
  <c r="AT837" i="7"/>
  <c r="AT1104" i="7"/>
  <c r="AT1100" i="7"/>
  <c r="AT1041" i="7"/>
  <c r="AT1015" i="7"/>
  <c r="AT979" i="7"/>
  <c r="AT951" i="7"/>
  <c r="AT926" i="7"/>
  <c r="AT902" i="7"/>
  <c r="AT873" i="7"/>
  <c r="AT845" i="7"/>
  <c r="AT1216" i="7"/>
  <c r="AT1068" i="7"/>
  <c r="AT1024" i="7"/>
  <c r="AT978" i="7"/>
  <c r="AT904" i="7"/>
  <c r="AT883" i="7"/>
  <c r="AT858" i="7"/>
  <c r="AT1278" i="7"/>
  <c r="AT1081" i="7"/>
  <c r="AT1031" i="7"/>
  <c r="AT1023" i="7"/>
  <c r="AT1050" i="7"/>
  <c r="AT1074" i="7"/>
  <c r="AT1092" i="7"/>
  <c r="AT1148" i="7"/>
  <c r="AT1196" i="7"/>
  <c r="AT1256" i="7"/>
  <c r="AT1145" i="7"/>
  <c r="AT1202" i="7"/>
  <c r="AT1242" i="7"/>
  <c r="AT1146" i="7"/>
  <c r="AT1171" i="7"/>
  <c r="AT1206" i="7"/>
  <c r="AT1247" i="7"/>
  <c r="AT1276" i="7"/>
  <c r="AT1166" i="7"/>
  <c r="AT1198" i="7"/>
  <c r="AT1270" i="7"/>
  <c r="AT1272" i="7"/>
  <c r="AT1169" i="7"/>
  <c r="AT1212" i="7"/>
  <c r="AT1232" i="7"/>
  <c r="AT1268" i="7"/>
  <c r="AT1156" i="7"/>
  <c r="AT1185" i="7"/>
  <c r="AT1205" i="7"/>
  <c r="AT1233" i="7"/>
  <c r="AT1251" i="7"/>
  <c r="AT1277" i="7"/>
  <c r="AT947" i="7"/>
  <c r="AT1012" i="7"/>
  <c r="AT1036" i="7"/>
  <c r="AT1084" i="7"/>
  <c r="AT1114" i="7"/>
  <c r="AT1262" i="7"/>
  <c r="AT1007" i="7"/>
  <c r="AT1025" i="7"/>
  <c r="AT1079" i="7"/>
  <c r="AT1110" i="7"/>
  <c r="AT1118" i="7"/>
  <c r="AT1150" i="7"/>
  <c r="AT1200" i="7"/>
  <c r="AT1240" i="7"/>
  <c r="AT1119" i="7"/>
  <c r="AT1126" i="7"/>
  <c r="AT1130" i="7"/>
  <c r="AT1138" i="7"/>
  <c r="AT1172" i="7"/>
  <c r="AT1188" i="7"/>
  <c r="AT1238" i="7"/>
  <c r="AT977" i="7"/>
  <c r="AT1020" i="7"/>
  <c r="AT1070" i="7"/>
  <c r="AT1076" i="7"/>
  <c r="AT1091" i="7"/>
  <c r="AT1096" i="7"/>
  <c r="AT1165" i="7"/>
  <c r="AT1195" i="7"/>
  <c r="AT1218" i="7"/>
  <c r="AT1255" i="7"/>
  <c r="AT1267" i="7"/>
  <c r="AT1153" i="7"/>
  <c r="AT1189" i="7"/>
  <c r="AT1219" i="7"/>
  <c r="AT1230" i="7"/>
  <c r="AT1257" i="7"/>
  <c r="AT1157" i="7"/>
  <c r="AT1181" i="7"/>
  <c r="AT1193" i="7"/>
  <c r="AT1213" i="7"/>
  <c r="AT1236" i="7"/>
  <c r="AT1274" i="7"/>
  <c r="AT1042" i="7"/>
  <c r="AT1071" i="7"/>
  <c r="AT1075" i="7"/>
  <c r="AT1089" i="7"/>
  <c r="AT1093" i="7"/>
  <c r="AT1137" i="7"/>
  <c r="AT1163" i="7"/>
  <c r="AT1182" i="7"/>
  <c r="AT1197" i="7"/>
  <c r="AT1228" i="7"/>
  <c r="AT1254" i="7"/>
  <c r="AT1265" i="7"/>
  <c r="AT1124" i="7"/>
  <c r="AT1154" i="7"/>
  <c r="AT1179" i="7"/>
  <c r="AT1211" i="7"/>
  <c r="AT1221" i="7"/>
  <c r="AT1231" i="7"/>
  <c r="AT1245" i="7"/>
  <c r="AT1273" i="7"/>
  <c r="AT1147" i="7"/>
  <c r="AT1158" i="7"/>
  <c r="AT1180" i="7"/>
  <c r="AT1191" i="7"/>
  <c r="AT1204" i="7"/>
  <c r="AT1214" i="7"/>
  <c r="AT1235" i="7"/>
  <c r="AT1248" i="7"/>
  <c r="AT1259" i="7"/>
  <c r="AT1275" i="7"/>
  <c r="AT922" i="7"/>
  <c r="AT1252" i="7"/>
  <c r="AT884" i="7"/>
  <c r="AT968" i="7"/>
  <c r="AT345" i="7"/>
  <c r="AT1173" i="7"/>
  <c r="AT447" i="7"/>
  <c r="CB517" i="7"/>
  <c r="AT913" i="7"/>
  <c r="AT1051" i="7"/>
  <c r="AT914" i="7"/>
  <c r="AT1052" i="7"/>
  <c r="F10" i="5"/>
  <c r="D19" i="7" l="1"/>
  <c r="CB350" i="7"/>
  <c r="C9" i="4" l="1"/>
  <c r="V416" i="3" l="1"/>
  <c r="V453" i="3"/>
  <c r="V1264" i="3"/>
  <c r="V998" i="3"/>
  <c r="P10" i="9" l="1"/>
  <c r="P14" i="9"/>
  <c r="P15" i="9"/>
  <c r="P41" i="9"/>
  <c r="P42" i="9"/>
  <c r="P61" i="9"/>
  <c r="P62" i="9"/>
  <c r="P43" i="9"/>
  <c r="P44" i="9"/>
  <c r="P59" i="9"/>
  <c r="P60" i="9"/>
  <c r="P27" i="9"/>
  <c r="P28" i="9"/>
  <c r="P57" i="9"/>
  <c r="P58" i="9"/>
  <c r="P39" i="9"/>
  <c r="P40" i="9"/>
  <c r="Q39" i="9" s="1"/>
  <c r="Q11" i="9" s="1"/>
  <c r="Q10" i="9" s="1"/>
  <c r="P29" i="9"/>
  <c r="P30" i="9"/>
  <c r="P53" i="9"/>
  <c r="P55" i="9"/>
  <c r="P23" i="9"/>
  <c r="P24" i="9"/>
  <c r="P51" i="9"/>
  <c r="P52" i="9"/>
  <c r="P35" i="9"/>
  <c r="P36" i="9"/>
  <c r="P25" i="9"/>
  <c r="P26" i="9"/>
  <c r="P49" i="9"/>
  <c r="P50" i="9"/>
  <c r="P47" i="9"/>
  <c r="P48" i="9"/>
  <c r="P32" i="9"/>
  <c r="P33" i="9"/>
  <c r="P19" i="9"/>
  <c r="P22" i="9"/>
  <c r="P37" i="9"/>
  <c r="P45" i="9"/>
  <c r="P18" i="9"/>
  <c r="P17" i="9"/>
  <c r="P20" i="9"/>
  <c r="P54" i="9"/>
  <c r="P16" i="9"/>
  <c r="P31" i="9"/>
  <c r="P34" i="9"/>
  <c r="P38" i="9"/>
  <c r="P46" i="9"/>
  <c r="P56" i="9"/>
  <c r="P21" i="9"/>
  <c r="P63" i="9"/>
  <c r="P82" i="9"/>
  <c r="P83" i="9"/>
  <c r="P76" i="9"/>
  <c r="P77" i="9"/>
  <c r="P68" i="9"/>
  <c r="P69" i="9"/>
  <c r="P78" i="9"/>
  <c r="P79" i="9"/>
  <c r="P80" i="9"/>
  <c r="P81" i="9"/>
  <c r="P72" i="9"/>
  <c r="P73" i="9"/>
  <c r="P67" i="9"/>
  <c r="P70" i="9"/>
  <c r="P71" i="9"/>
  <c r="P75" i="9"/>
  <c r="P66" i="9"/>
  <c r="P74" i="9"/>
  <c r="P11" i="9"/>
  <c r="P13" i="9"/>
  <c r="P12" i="9"/>
  <c r="P65" i="9"/>
  <c r="P6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  <author/>
    <author>RePack by Diakov</author>
  </authors>
  <commentList>
    <comment ref="L35" authorId="0" shapeId="0" xr:uid="{6C38CC05-BB7B-47CE-B1A1-5BA92401CAA2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3 и 4 п видела документы</t>
        </r>
      </text>
    </comment>
    <comment ref="L43" authorId="0" shapeId="0" xr:uid="{7C4A2AD5-7B2D-41CF-8E03-D7BF202F9CAC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7,8,9 под. 3,4,5,6 под.</t>
        </r>
      </text>
    </comment>
    <comment ref="N70" authorId="1" shapeId="0" xr:uid="{3BF15A04-5533-4C86-986D-0F1C02BFB7D4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Только часть работ, будет повторно перевыставлен, заявка на повторное выставление
</t>
        </r>
      </text>
    </comment>
    <comment ref="R110" authorId="1" shapeId="0" xr:uid="{7A9E3583-4DD4-45EC-8122-C22E439E03AA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>1 этап и 2 этап</t>
        </r>
      </text>
    </comment>
    <comment ref="N266" authorId="0" shapeId="0" xr:uid="{00000000-0006-0000-0000-000001000000}">
      <text>
        <r>
          <rPr>
            <b/>
            <sz val="36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36"/>
            <color indexed="81"/>
            <rFont val="Tahoma"/>
            <family val="2"/>
            <charset val="204"/>
          </rPr>
          <t xml:space="preserve">
Будет 2-й этап на 377278,61, выставили
</t>
        </r>
      </text>
    </comment>
    <comment ref="AD281" authorId="1" shapeId="0" xr:uid="{E13A6C22-7D7C-4FE0-BC09-FD7E497D3CC5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>с учетом ПСД на фасад</t>
        </r>
      </text>
    </comment>
    <comment ref="R372" authorId="1" shapeId="0" xr:uid="{4E461913-143B-4A46-8C1D-5A36C8D6CB4F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1-й этап и 2-й этап оплачены оба
</t>
        </r>
      </text>
    </comment>
    <comment ref="N423" authorId="1" shapeId="0" xr:uid="{CD2F32C9-62B6-408A-B974-0AA3A3727EFD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есть МО
</t>
        </r>
      </text>
    </comment>
    <comment ref="AD423" authorId="1" shapeId="0" xr:uid="{5CDDAFB9-6EB8-49DE-B8E3-0A680D24FEB9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48"/>
            <color rgb="FF000000"/>
            <rFont val="Tahoma"/>
            <family val="2"/>
            <charset val="204"/>
          </rPr>
          <t xml:space="preserve">есть МО
</t>
        </r>
      </text>
    </comment>
    <comment ref="C499" authorId="2" shapeId="0" xr:uid="{00000000-0006-0000-0000-000004000000}">
      <text>
        <r>
          <rPr>
            <b/>
            <sz val="16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корп.1</t>
        </r>
      </text>
    </comment>
    <comment ref="C500" authorId="2" shapeId="0" xr:uid="{00000000-0006-0000-0000-000005000000}">
      <text>
        <r>
          <rPr>
            <b/>
            <sz val="14"/>
            <color indexed="81"/>
            <rFont val="Tahoma"/>
            <family val="2"/>
            <charset val="204"/>
          </rPr>
          <t>RePack by Diakov:</t>
        </r>
        <r>
          <rPr>
            <sz val="36"/>
            <color indexed="81"/>
            <rFont val="Tahoma"/>
            <family val="2"/>
            <charset val="204"/>
          </rPr>
          <t xml:space="preserve">
корп.3</t>
        </r>
      </text>
    </comment>
    <comment ref="C501" authorId="2" shapeId="0" xr:uid="{00000000-0006-0000-0000-000006000000}">
      <text>
        <r>
          <rPr>
            <b/>
            <sz val="18"/>
            <color indexed="81"/>
            <rFont val="Tahoma"/>
            <family val="2"/>
            <charset val="204"/>
          </rPr>
          <t>RePack by Diakov:</t>
        </r>
        <r>
          <rPr>
            <sz val="18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корп.3</t>
        </r>
      </text>
    </comment>
    <comment ref="C502" authorId="2" shapeId="0" xr:uid="{00000000-0006-0000-0000-000007000000}">
      <text>
        <r>
          <rPr>
            <b/>
            <sz val="9"/>
            <color indexed="81"/>
            <rFont val="Tahoma"/>
            <family val="2"/>
            <charset val="204"/>
          </rPr>
          <t>RePack by Diakov: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>корп.1</t>
        </r>
      </text>
    </comment>
    <comment ref="AC512" authorId="0" shapeId="0" xr:uid="{E886219C-3600-4903-8F5E-6C8F37B5E6EA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48"/>
            <color indexed="81"/>
            <rFont val="Tahoma"/>
            <family val="2"/>
            <charset val="204"/>
          </rPr>
          <t>Оплачено с учетом ведения с 10%</t>
        </r>
      </text>
    </comment>
    <comment ref="R532" authorId="1" shapeId="0" xr:uid="{1DDABD62-C29C-4B69-BA02-24F085D07B49}">
      <text>
        <r>
          <rPr>
            <sz val="11"/>
            <color rgb="FF000000"/>
            <rFont val="Calibri"/>
            <family val="2"/>
            <charset val="204"/>
          </rPr>
          <t xml:space="preserve">Татьяна Николаевна Базжина:
</t>
        </r>
        <r>
          <rPr>
            <sz val="36"/>
            <color rgb="FF000000"/>
            <rFont val="Tahoma"/>
            <family val="2"/>
            <charset val="204"/>
          </rPr>
          <t>1-й этап
и 2-й этап</t>
        </r>
      </text>
    </comment>
    <comment ref="G848" authorId="0" shapeId="0" xr:uid="{5A46E3BE-36E1-44F2-B54D-77AB9E2575B0}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Оплачен только 1-й этап</t>
        </r>
      </text>
    </comment>
    <comment ref="G849" authorId="0" shapeId="0" xr:uid="{03A3E3CB-5AD3-4F48-BBE7-2DD7C81F0525}">
      <text>
        <r>
          <rPr>
            <b/>
            <sz val="48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48"/>
            <color indexed="81"/>
            <rFont val="Tahoma"/>
            <family val="2"/>
            <charset val="204"/>
          </rPr>
          <t xml:space="preserve">
Оплачен только 1-й этап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Татьяна Николаевна Базжина</author>
    <author>Екатерина Александровна Бутылина</author>
  </authors>
  <commentList>
    <comment ref="AE47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Татьяна Николаевна Базжина: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  <r>
          <rPr>
            <sz val="36"/>
            <color indexed="81"/>
            <rFont val="Tahoma"/>
            <family val="2"/>
            <charset val="204"/>
          </rPr>
          <t xml:space="preserve">Оплачено только 6284,85
</t>
        </r>
      </text>
    </comment>
    <comment ref="C236" authorId="1" shapeId="0" xr:uid="{00000000-0006-0000-0600-000002000000}">
      <text>
        <r>
          <rPr>
            <sz val="36"/>
            <color indexed="81"/>
            <rFont val="Tahoma"/>
            <family val="2"/>
            <charset val="204"/>
          </rPr>
          <t xml:space="preserve">
корп. 1
</t>
        </r>
      </text>
    </comment>
  </commentList>
</comments>
</file>

<file path=xl/sharedStrings.xml><?xml version="1.0" encoding="utf-8"?>
<sst xmlns="http://schemas.openxmlformats.org/spreadsheetml/2006/main" count="14544" uniqueCount="2308">
  <si>
    <t>Гусь-Хрустальный р-н, Вашутино д, Микрорайон ул, 3</t>
  </si>
  <si>
    <t>Гусь-Хрустальный р-н, Великодворский п, Песочная ул, 20</t>
  </si>
  <si>
    <t>Гусь-Хрустальный р-н, Добрятино п, Ленина ул, 2а</t>
  </si>
  <si>
    <t>Гусь-Хрустальный р-н, Иванищи п, Фрунзе ул, 1а</t>
  </si>
  <si>
    <t>Гусь-Хрустальный р-н, Курлово г, Володарского ул, 5</t>
  </si>
  <si>
    <t>Гусь-Хрустальный р-н, Никулино д, Центральная ул, 19А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</si>
  <si>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</si>
  <si>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</si>
  <si>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</si>
  <si>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</si>
  <si>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</si>
  <si>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</si>
  <si>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</si>
  <si>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</si>
  <si>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</si>
  <si>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</si>
  <si>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</si>
  <si>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</si>
  <si>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</si>
  <si>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</si>
  <si>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</si>
  <si>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</si>
  <si>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</si>
  <si>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</si>
  <si>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</si>
  <si>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</si>
  <si>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</si>
  <si>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</si>
  <si>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</si>
  <si>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</si>
  <si>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</si>
  <si>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</si>
  <si>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</si>
  <si>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</si>
  <si>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</si>
  <si>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</si>
  <si>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</si>
  <si>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</si>
  <si>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</si>
  <si>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</si>
  <si>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Петушинский р-н, Сосновый Бор п, Центральная ул, 8</t>
  </si>
  <si>
    <t>Петушинский р-н, Вольгинский п, Новосеменковская ул, 4</t>
  </si>
  <si>
    <t>Петушинский р-н, Городищи п, К.Соловьева ул, 2</t>
  </si>
  <si>
    <t>Петушинский р-н, Костерево г, 40 лет Октября ул, 6</t>
  </si>
  <si>
    <t>Петушинский р-н, Костерево г, им Горького ул, 7</t>
  </si>
  <si>
    <t>Петушинский р-н, Костерево г, им Горького ул, 11</t>
  </si>
  <si>
    <t>Петушинский р-н, Покров г, 3 Интернационала ул, 64а</t>
  </si>
  <si>
    <t>Петушинский р-н, Покров г, Больничный проезд, 21</t>
  </si>
  <si>
    <t>Петушки г, Лесная ул, 16</t>
  </si>
  <si>
    <t>Петушки г, Советская пл, 1</t>
  </si>
  <si>
    <t>Петушки г, Спортивная ул, 6</t>
  </si>
  <si>
    <t>Петушки г, Трудовая ул, 6</t>
  </si>
  <si>
    <t>Петушинский р-н, Вольгинский п, Старовская ул, 16</t>
  </si>
  <si>
    <t>Петушинский р-н, Городищи п, Ленина ул, 3</t>
  </si>
  <si>
    <t>Петушинский р-н, Костерево г, Бормино ул, 58</t>
  </si>
  <si>
    <t>Петушинский р-н, Новое Аннино д, Центральная ул, 1</t>
  </si>
  <si>
    <t>Петушинский р-н, Покров г, Больничный проезд, 18</t>
  </si>
  <si>
    <t>Петушинский р-н, Санино д, Лесная ул, 171</t>
  </si>
  <si>
    <t>Петушки г, Лесная ул, 15</t>
  </si>
  <si>
    <t>Петушки г, Лесная ул, 18</t>
  </si>
  <si>
    <t>Петушки г, Маяковского ул, 21</t>
  </si>
  <si>
    <t>Петушки г, Профсоюзная ул, 14</t>
  </si>
  <si>
    <t>Петушки г, Профсоюзная ул, 14а</t>
  </si>
  <si>
    <t>Петушинский р-н, Вольгинский п, Старовская ул, 14</t>
  </si>
  <si>
    <t>Петушинский р-н, Городищи п, Советская ул, 45а</t>
  </si>
  <si>
    <t>Петушинский р-н, Костерево г, Писцова ул, 56</t>
  </si>
  <si>
    <t>Петушинский р-н, Нагорный п, Владимирская ул, 8</t>
  </si>
  <si>
    <t>Петушинский р-н, Покров г, 3 Интернационала ул, 49</t>
  </si>
  <si>
    <t>Петушинский р-н, Покров г, 3 Интернационала ул, 55</t>
  </si>
  <si>
    <t>Петушинский р-н, Покров г, Пролетарская ул, 5</t>
  </si>
  <si>
    <t>Петушинский р-н, Труд п, Советская ул, 3</t>
  </si>
  <si>
    <t>Петушки г, Зеленая ул, 22</t>
  </si>
  <si>
    <t>Петушки г, Лесная ул, 2а</t>
  </si>
  <si>
    <t>Петушки г, Лесная ул, 13</t>
  </si>
  <si>
    <t>Кольчугино г, 50 лет Октября ул, 10</t>
  </si>
  <si>
    <t>Кольчугино г, Дружбы ул, 4</t>
  </si>
  <si>
    <t>Кольчугино г, Ленина ул, 12</t>
  </si>
  <si>
    <t>Кольчугинский р-н, Раздолье п, Новоселов ул, 2</t>
  </si>
  <si>
    <t>Кольчугино г, 3 Интернационала ул, 81</t>
  </si>
  <si>
    <t>Кольчугино г, Котовского ул, 23</t>
  </si>
  <si>
    <t>Кольчугино г, Щорса ул, 9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</si>
  <si>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</si>
  <si>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</si>
  <si>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Золотуха п, Пятнадцатая ул, 3</t>
  </si>
  <si>
    <t>Кольчугино г, Алексеева ул, 8</t>
  </si>
  <si>
    <t>Кольчугино г, КИМ ул, 6</t>
  </si>
  <si>
    <t>Кольчугино г, Чапаева ул, 3</t>
  </si>
  <si>
    <t>Кольчугинский р-н, Металлист п, Молодежная ул, 1</t>
  </si>
  <si>
    <t>Кольчугинский р-н, Раздолье п, Новоселов ул, 3</t>
  </si>
  <si>
    <t>Судогда г, Бякова ул, 30</t>
  </si>
  <si>
    <t>Судогда г, Ленина ул, 74</t>
  </si>
  <si>
    <t>Судогодский р-н, Андреево п, Первомайская ул, 9</t>
  </si>
  <si>
    <t>Судогодский р-н, Головино п, Радужная ул, 1</t>
  </si>
  <si>
    <t>Судогодский р-н, Мошок с, Заводская ул, 8</t>
  </si>
  <si>
    <t>Судогодский р-н, Муромцево п, Комсомольская ул, 9</t>
  </si>
  <si>
    <t>Судогда г, Коммунистическая ул, 3</t>
  </si>
  <si>
    <t>Судогда г, Ленина ул, 70</t>
  </si>
  <si>
    <t>Судогодский р-н, Головино п, Радужная ул, 2</t>
  </si>
  <si>
    <t>Судогодский р-н, Коняево п, 44</t>
  </si>
  <si>
    <t>Судогодский р-н, Муромцево п, Комсомольская ул, 10а</t>
  </si>
  <si>
    <t>Судогда г, Гагарина ул, 7а</t>
  </si>
  <si>
    <t>Судогда г, Коммунистическая ул, 6</t>
  </si>
  <si>
    <t>Судогодский р-н, Головино п, Радужная ул, 11</t>
  </si>
  <si>
    <t>Судогодский р-н, им Воровского п, Спортивная ул, 6</t>
  </si>
  <si>
    <t>Судогодский р-н, им Воровского п, Спортивная ул, 11</t>
  </si>
  <si>
    <t>Судогодский р-н, Ликино с, Лесная ул, 7</t>
  </si>
  <si>
    <t>Меленки г, Валентины Суздальцевой ул, 27</t>
  </si>
  <si>
    <t>Меленки г, Дзержинского ул, 42</t>
  </si>
  <si>
    <t>Меленки г, Коминтерна ул, 211</t>
  </si>
  <si>
    <t>Меленки г, Красноармейская ул, 204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</si>
  <si>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</si>
  <si>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</si>
  <si>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</si>
  <si>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Киржач г, Гастелло ул, 7</t>
  </si>
  <si>
    <t>Киржач г, Денисенко ул, 15</t>
  </si>
  <si>
    <t>Киржач г, Красный Октябрь мкр, Южный кв-л, 3</t>
  </si>
  <si>
    <t>Киржач г, Красный Октябрь мкр, Южный кв-л, 6</t>
  </si>
  <si>
    <t>Киржач г, М.Расковой ул, 17</t>
  </si>
  <si>
    <t>Киржач г, Совхозная ул, 2</t>
  </si>
  <si>
    <t>Киржач г, Томаровича ул, 5</t>
  </si>
  <si>
    <t>Киржачский р-н, Кашино д, Кашино п. тер, 136</t>
  </si>
  <si>
    <t>Киржачский р-н, Новоселово д, Ленинская ул, 7</t>
  </si>
  <si>
    <t>Киржачский р-н, Федоровское д, Советская ул, 19</t>
  </si>
  <si>
    <t>Киржач г, Добровольского ул, 20</t>
  </si>
  <si>
    <t>Киржач г, Красный Октябрь мкр, Солнечный кв-л, 1</t>
  </si>
  <si>
    <t>Киржач г, Красный Октябрь мкр, Солнечный кв-л, 8</t>
  </si>
  <si>
    <t>Киржач г, Магистральная ул, 2</t>
  </si>
  <si>
    <t>Киржач г, Морозовская ул, 120</t>
  </si>
  <si>
    <t>Киржач г, Привокзальная ул, 9</t>
  </si>
  <si>
    <t>Киржач г, Приозерная ул, 1в</t>
  </si>
  <si>
    <t>Киржач г, Свобода ул, 113</t>
  </si>
  <si>
    <t>Киржач г, Большая Московская ул, 1а</t>
  </si>
  <si>
    <t>Киржач г, Красный Октябрь мкр, Октябрьская ул, 11</t>
  </si>
  <si>
    <t>Киржач г, Красный Октябрь мкр, Солнечный кв-л, 2</t>
  </si>
  <si>
    <t>Киржач г, Павловского ул, 36</t>
  </si>
  <si>
    <t>Киржач г, Прибрежный кв-л, 2</t>
  </si>
  <si>
    <t>Киржач г, Станционная ул, 65</t>
  </si>
  <si>
    <t>Собинка г, Гагарина ул, 9</t>
  </si>
  <si>
    <t>Собинка г, Гагарина ул, 14</t>
  </si>
  <si>
    <t>Собинка г, Мира ул, 3</t>
  </si>
  <si>
    <t>Собинский р-н, Ворша с, Молодежная ул, 15</t>
  </si>
  <si>
    <t>Собинский р-н, Лакинск г, 21 Партсъезда ул, 15</t>
  </si>
  <si>
    <t>Собинский р-н, Лакинск г, 21 Партсъезда ул, 22</t>
  </si>
  <si>
    <t>Собинский р-н, Ставрово п, Механизаторов ул, 9</t>
  </si>
  <si>
    <t>Собинский р-н, Ставрово п, Советская ул, 88</t>
  </si>
  <si>
    <t>Собинский р-н, Черкутино с, Им В.А.Солоухина ул, 2</t>
  </si>
  <si>
    <t>Собинский р-н, Лакинск г, 10 Октября ул, 2</t>
  </si>
  <si>
    <t>Собинка г, Гагарина ул, 12</t>
  </si>
  <si>
    <t>Собинка г, Родниковская ул, 22</t>
  </si>
  <si>
    <t>Собинка г, Шибаева ул, 21</t>
  </si>
  <si>
    <t>Собинский р-н, Бабаево с, Молодежная ул, 2</t>
  </si>
  <si>
    <t>Собинский р-н, Курилово д, Молодежная ул, 5</t>
  </si>
  <si>
    <t>Собинский р-н, Лакинск г, Лермонтова ул, 46</t>
  </si>
  <si>
    <t>Собинский р-н, Лакинск г, Лермонтова ул, 47</t>
  </si>
  <si>
    <t>Собинский р-н, Лакинск г, Мира ул, 95</t>
  </si>
  <si>
    <t>Собинский р-н, Ставрово п, Октябрьская ул, 126</t>
  </si>
  <si>
    <t>Собинский р-н, Толпухово д, Молодежная ул, 5</t>
  </si>
  <si>
    <t>Собинка г, Гоголя ул, 1Б</t>
  </si>
  <si>
    <t>Собинка г, Мира ул, 11</t>
  </si>
  <si>
    <t>Собинка г, Шибаева ул, 18</t>
  </si>
  <si>
    <t>Собинский р-н, Заречное с, Парковая ул, 7</t>
  </si>
  <si>
    <t>Собинский р-н, Лакинск г, 21 Партсъезда ул, 4</t>
  </si>
  <si>
    <t>Собинский р-н, Лакинск г, 21 Партсъезда ул, 23</t>
  </si>
  <si>
    <t>Собинский р-н, Лакинск г, Мира ул, 101</t>
  </si>
  <si>
    <t>Собинский р-н, Ставрово п, Советская ул, 82</t>
  </si>
  <si>
    <t>Собинский р-н, Толпухово д, Молодежная ул, 4</t>
  </si>
  <si>
    <t>Собинский р-н, Толпухово д, Молодежная ул, 12</t>
  </si>
  <si>
    <t>Собинка г, Гагарина ул, 8</t>
  </si>
  <si>
    <t>Ковровский р-н, Клязьминский Городок с, Клязьминская ПМК ул, 15</t>
  </si>
  <si>
    <t>Ковровский р-н, Малыгино п, Юбилейная ул, 47</t>
  </si>
  <si>
    <t>Ковровский р-н, Мелехово пгт, Гагарина ул, 4</t>
  </si>
  <si>
    <t>Ковровский р-н, Мелехово пгт, Красная Горка ул, 2</t>
  </si>
  <si>
    <t>Ковровский р-н, Мелехово пгт, Первомайская ул, 53</t>
  </si>
  <si>
    <t>Ковровский р-н, Клязьминский Городок с, Клязьминская ПМК ул, 3</t>
  </si>
  <si>
    <t>Ковровский р-н, Ковров-35 городок, Центральная ул, 111</t>
  </si>
  <si>
    <t>Ковровский р-н, Малыгино п, Школьная ул, 55</t>
  </si>
  <si>
    <t>Ковровский р-н, Малыгино п, Юбилейная ул, 48</t>
  </si>
  <si>
    <t>Ковровский р-н, Нерехта п, Просторная ул, 2</t>
  </si>
  <si>
    <t>Ковровский р-н, Гигант п, Первомайская ул, 17</t>
  </si>
  <si>
    <t>Ковровский р-н, Глебово д, Школьная ул, 20</t>
  </si>
  <si>
    <t>Ковровский р-н, Достижение п, Кирпичная ул, 29</t>
  </si>
  <si>
    <t>Ковровский р-н, Мелехово пгт, Строительная ул, 3</t>
  </si>
  <si>
    <t>Ковровский р-н, подстанция Заря р-н, 1</t>
  </si>
  <si>
    <t>Ковровский р-н, Мелехово пгт, Школьный пер, 27</t>
  </si>
  <si>
    <t>Суздаль г, Ленина ул, 69</t>
  </si>
  <si>
    <t>Суздаль г, Ленина ул, 71</t>
  </si>
  <si>
    <t>Суздальский р-н, Красногвардейский п, Октябрьская ул, 5</t>
  </si>
  <si>
    <t>Суздальский р-н, Содышка п, Владимирская ул, 10</t>
  </si>
  <si>
    <t>Суздальский р-н, Сокол п, 4</t>
  </si>
  <si>
    <t>Суздаль г, Гоголя ул, 15</t>
  </si>
  <si>
    <t>Суздаль г, Ленина ул, 26</t>
  </si>
  <si>
    <t>Суздаль г, Советская ул, 4</t>
  </si>
  <si>
    <t>Суздальский р-н, Боголюбово п, Западная ул, 5</t>
  </si>
  <si>
    <t>Суздальский р-н, Цибеево с, Западная ул, 3</t>
  </si>
  <si>
    <t>Суздаль г, Гоголя ул, 11</t>
  </si>
  <si>
    <t>Суздаль г, Советская ул, 20</t>
  </si>
  <si>
    <t>Суздаль г, Советская ул, 39</t>
  </si>
  <si>
    <t>Суздальский р-н, Садовый п, Центральная ул, 4</t>
  </si>
  <si>
    <t>Муромский р-н, Фабрики им П.Л.Войкова п, 31</t>
  </si>
  <si>
    <t>Муромский р-н, Механизаторов п, 55а</t>
  </si>
  <si>
    <t>Муромский р-н, Механизаторов п, 60</t>
  </si>
  <si>
    <t>Муромский р-н, Механизаторов п, 64</t>
  </si>
  <si>
    <t>Муромский р-н, Муромский п, Садовая ул, 26</t>
  </si>
  <si>
    <t>Муромский р-н, Муромский п, Садовая ул, 27</t>
  </si>
  <si>
    <t>Муромский р-н, Муромский п, Садовая ул, 28</t>
  </si>
  <si>
    <t>Муромский р-н, Механизаторов п, 49</t>
  </si>
  <si>
    <t>Муромский р-н, Механизаторов п, 51</t>
  </si>
  <si>
    <t>Муромский р-н, Механизаторов п, 54</t>
  </si>
  <si>
    <t>Муромский р-н, Механизаторов п, 55</t>
  </si>
  <si>
    <t>Муромский р-н, Муромский п, Озёрная ул, 22</t>
  </si>
  <si>
    <t>Муромский р-н, Муромский п, Северная ул, 19</t>
  </si>
  <si>
    <t>Муромский р-н, Зимёнки п, Мира ул, 5</t>
  </si>
  <si>
    <t>Юрьев-Польский г, 1 Мая ул, 70</t>
  </si>
  <si>
    <t>Юрьев-Польский г, 1 Мая ул, 76</t>
  </si>
  <si>
    <t>Юрьев-Польский г, Артиллерийская ул, 34</t>
  </si>
  <si>
    <t>Юрьев-Польский г, Герцена ул, 4А</t>
  </si>
  <si>
    <t>Юрьев-Польский г, Луговая ул, 1</t>
  </si>
  <si>
    <t>Юрьев-Польский г, Луговая ул, 35</t>
  </si>
  <si>
    <t>Юрьев-Польский г, Свободы ул, 141</t>
  </si>
  <si>
    <t>Юрьев-Польский р-н, Горки с, Механическая ул, 2</t>
  </si>
  <si>
    <t>Юрьев-Польский р-н, Небылое с, Первомайская ул, 83</t>
  </si>
  <si>
    <t>Юрьев-Польский р-н, Небылое с, Школьная ул, 11</t>
  </si>
  <si>
    <t>Юрьев-Польский р-н, Небылое с, Школьная ул, 13</t>
  </si>
  <si>
    <t>Юрьев-Польский р-н, Пригородный с, 4</t>
  </si>
  <si>
    <t>Юрьев-Польский р-н, Сима с, Комсомольская ул, 6</t>
  </si>
  <si>
    <t>Юрьев-Польский р-н, Федоровское с, 69</t>
  </si>
  <si>
    <t>Юрьев-Польский р-н, Шихобалово с, 8</t>
  </si>
  <si>
    <t>Селивановский р-н, Красная Горбатка п, Первомайская ул, 102</t>
  </si>
  <si>
    <t>Селивановский р-н, Красная Горбатка п, Пионерская ул, 20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</si>
  <si>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</si>
  <si>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</si>
  <si>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Ушна п, Заводская ул, 3</t>
  </si>
  <si>
    <t>Гороховец г, Гагарина ул, 37</t>
  </si>
  <si>
    <t>Гороховец г, Гагарина ул, 44</t>
  </si>
  <si>
    <t>Гороховец г, Горького ул, 50</t>
  </si>
  <si>
    <t>Гороховец г, Кирова ул, 9</t>
  </si>
  <si>
    <t>Гороховец г, Кутузова ул, 9</t>
  </si>
  <si>
    <t>Гороховец г, Ленина ул, 59</t>
  </si>
  <si>
    <t>Гороховец г, Мира ул, 4</t>
  </si>
  <si>
    <t>Гороховец г, Мира ул, 30</t>
  </si>
  <si>
    <t>Гороховец г, Строителей ул, 4</t>
  </si>
  <si>
    <t>Гороховец г, Строителей ул, 7</t>
  </si>
  <si>
    <t>Гороховецкий р-н, Васильчиково д, 23</t>
  </si>
  <si>
    <t>Гороховецкий р-н, Гришино с, Ленина ул, 56</t>
  </si>
  <si>
    <t>Гороховецкий р-н, Куприяново д, Дорожная ул, 5</t>
  </si>
  <si>
    <t>Гороховецкий р-н, Лучинки д, Лучинковская ул, 65</t>
  </si>
  <si>
    <t>Гороховецкий р-н, Пролетарский п, Октябрьская ул, 3</t>
  </si>
  <si>
    <t>Гороховецкий р-н, Торфопредприятия Большое п, Ленина ул, 7</t>
  </si>
  <si>
    <t>Гороховецкий р-н, Торфопредприятия Большое п, Ленина ул, 9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</si>
  <si>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</si>
  <si>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</si>
  <si>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</si>
  <si>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</si>
  <si>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</si>
  <si>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</si>
  <si>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</si>
  <si>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</si>
  <si>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</si>
  <si>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</si>
  <si>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</si>
  <si>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</si>
  <si>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</si>
  <si>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</si>
  <si>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</si>
  <si>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</si>
  <si>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</si>
  <si>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</si>
  <si>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</si>
  <si>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</si>
  <si>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</si>
  <si>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</si>
  <si>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</si>
  <si>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МУП "Аэлита"</t>
  </si>
  <si>
    <t>ООО "УК Покров"</t>
  </si>
  <si>
    <t>ООО "ЖКХ г. Костерево"</t>
  </si>
  <si>
    <t>МУП "Инфраструктура и сервис"</t>
  </si>
  <si>
    <t>ООО УК "Наш дом"</t>
  </si>
  <si>
    <t>МУП "РСУ г. Петушки"</t>
  </si>
  <si>
    <t>ООО "Сфера"</t>
  </si>
  <si>
    <t>ООО "ЖЭУ №3"</t>
  </si>
  <si>
    <t>ООО "УК в ЖКХ в г. Кольчугино"</t>
  </si>
  <si>
    <t>ООО " Комфорт"</t>
  </si>
  <si>
    <t>ООО"НАШ ДОМ"</t>
  </si>
  <si>
    <t>ООО "Андреевская УК"</t>
  </si>
  <si>
    <t>МКП г. Судогда "Коммунальщик"</t>
  </si>
  <si>
    <t>БУ</t>
  </si>
  <si>
    <t>ООО" Монолит"</t>
  </si>
  <si>
    <t>ООО "УК"Наш Дом"</t>
  </si>
  <si>
    <t>ФУМП ЖКХ</t>
  </si>
  <si>
    <t xml:space="preserve">Панельные </t>
  </si>
  <si>
    <t>МУП ЖКХ "УК Собинского района"</t>
  </si>
  <si>
    <t>МУМП ЖКХ п.Ставрово</t>
  </si>
  <si>
    <t>ООО "ЖилСтрой"</t>
  </si>
  <si>
    <t>ЖК</t>
  </si>
  <si>
    <t>ЖСК ул. Мира,д.3</t>
  </si>
  <si>
    <t>ООО "Плазма"</t>
  </si>
  <si>
    <t>ООО УК "Пономарев С.А."</t>
  </si>
  <si>
    <t>ЖСК ул. Гагарина,д.12</t>
  </si>
  <si>
    <t>ООО УК Теплый дом</t>
  </si>
  <si>
    <t>ТСН</t>
  </si>
  <si>
    <t>ЖСК</t>
  </si>
  <si>
    <t>ЖСК ул. Гоголя, д.1б</t>
  </si>
  <si>
    <t>ЖСК ул. Гагарина, д.8</t>
  </si>
  <si>
    <t>ЖСК ул. Гагарина, д.9</t>
  </si>
  <si>
    <t>1917</t>
  </si>
  <si>
    <t>2</t>
  </si>
  <si>
    <t>1</t>
  </si>
  <si>
    <t>1968</t>
  </si>
  <si>
    <t>1961</t>
  </si>
  <si>
    <t>1969</t>
  </si>
  <si>
    <t>4</t>
  </si>
  <si>
    <t>1975</t>
  </si>
  <si>
    <t>1982</t>
  </si>
  <si>
    <t>Панельные</t>
  </si>
  <si>
    <t>3</t>
  </si>
  <si>
    <t>1979</t>
  </si>
  <si>
    <t>1971</t>
  </si>
  <si>
    <t>1970</t>
  </si>
  <si>
    <t>1964</t>
  </si>
  <si>
    <t>1981</t>
  </si>
  <si>
    <t>Ж/б панели</t>
  </si>
  <si>
    <t>МУП "ЖКХ" ЗАТО г. Радужный</t>
  </si>
  <si>
    <t>МУП "ЖКХ" ЗАТО г. Радужный </t>
  </si>
  <si>
    <t>ООО "Домоуправ"</t>
  </si>
  <si>
    <t>ООО ДУК "Территория"</t>
  </si>
  <si>
    <t>1989</t>
  </si>
  <si>
    <t>Шлакоблочные</t>
  </si>
  <si>
    <t>ООО "Верба"</t>
  </si>
  <si>
    <t>ООО "Союз"</t>
  </si>
  <si>
    <t>ООО УК "Партнер"</t>
  </si>
  <si>
    <t>ООО "РЕМСТРОЙ Южный"</t>
  </si>
  <si>
    <t>1992</t>
  </si>
  <si>
    <t>Деревянные</t>
  </si>
  <si>
    <t>ООО УК "ТеплоСервис"</t>
  </si>
  <si>
    <t>ООО "Управляющая компания № 1"</t>
  </si>
  <si>
    <t>ООО "ГУК"</t>
  </si>
  <si>
    <t>ООО "Жилцентр"</t>
  </si>
  <si>
    <t>ООО "ДомСервис"</t>
  </si>
  <si>
    <t>Блочные</t>
  </si>
  <si>
    <t xml:space="preserve">УК </t>
  </si>
  <si>
    <t>Комсервис+</t>
  </si>
  <si>
    <t>Плес+</t>
  </si>
  <si>
    <t>ООО "Управляющая организация ремонтно-эксплуатационное управление № 1"</t>
  </si>
  <si>
    <t>ТСЖ</t>
  </si>
  <si>
    <t>"Новый-1"</t>
  </si>
  <si>
    <t>ООО "МКД-Сервис" </t>
  </si>
  <si>
    <t xml:space="preserve">ТСН </t>
  </si>
  <si>
    <t>"Надежда"</t>
  </si>
  <si>
    <t>ООО "Управляющая организация"</t>
  </si>
  <si>
    <t>"Дом - 27"</t>
  </si>
  <si>
    <t>ООО "МУПЖРЭП"</t>
  </si>
  <si>
    <t>ООО "Жилищник-Центр"</t>
  </si>
  <si>
    <t>1976</t>
  </si>
  <si>
    <t>5</t>
  </si>
  <si>
    <t>1972</t>
  </si>
  <si>
    <t>1977</t>
  </si>
  <si>
    <t>1959</t>
  </si>
  <si>
    <t>1980</t>
  </si>
  <si>
    <t>1986</t>
  </si>
  <si>
    <t>9</t>
  </si>
  <si>
    <t>1958</t>
  </si>
  <si>
    <t>2002</t>
  </si>
  <si>
    <t>1990</t>
  </si>
  <si>
    <t>1962</t>
  </si>
  <si>
    <t>1912</t>
  </si>
  <si>
    <t>1941</t>
  </si>
  <si>
    <t>деревянные</t>
  </si>
  <si>
    <t>1999</t>
  </si>
  <si>
    <t>1948</t>
  </si>
  <si>
    <t>1960</t>
  </si>
  <si>
    <t>1978</t>
  </si>
  <si>
    <t>1985</t>
  </si>
  <si>
    <t>1974</t>
  </si>
  <si>
    <t>6</t>
  </si>
  <si>
    <t>1956</t>
  </si>
  <si>
    <t>1983</t>
  </si>
  <si>
    <t>1966</t>
  </si>
  <si>
    <t>1994</t>
  </si>
  <si>
    <t>1973</t>
  </si>
  <si>
    <t>1963</t>
  </si>
  <si>
    <t>1965</t>
  </si>
  <si>
    <t>Радужный г, 1-й кв-л, 13</t>
  </si>
  <si>
    <t>Радужный г, 1-й кв-л, 37</t>
  </si>
  <si>
    <t>Радужный г, 3-й кв-л, 19</t>
  </si>
  <si>
    <t>Радужный г, 1-й кв-л, 26</t>
  </si>
  <si>
    <t>Радужный г, 1-й кв-л, 7</t>
  </si>
  <si>
    <t>Радужный г, 1-й кв-л, 12А</t>
  </si>
  <si>
    <t>Радужный г, 3-й кв-л, 29</t>
  </si>
  <si>
    <t>Муром г, Владимирская ул, 37</t>
  </si>
  <si>
    <t>Муром г, Владимирская ул, 2</t>
  </si>
  <si>
    <t>Муром г, Гоголева ул, 10</t>
  </si>
  <si>
    <t>Муром г, Дзержинского ул, 45</t>
  </si>
  <si>
    <t>Муром г, Комсомольская ул, 51</t>
  </si>
  <si>
    <t>Муром г, Куйбышева ул, 2</t>
  </si>
  <si>
    <t>Муром г, Куликова ул, 5</t>
  </si>
  <si>
    <t>Муром г, Лаврентьева ул, 42 корп. 2</t>
  </si>
  <si>
    <t>Муром г, Ленинградская ул, 34/6</t>
  </si>
  <si>
    <t>Муром г, Льва Толстого ул, 57</t>
  </si>
  <si>
    <t>Муром г, Мичуринская ул, 19</t>
  </si>
  <si>
    <t>Муром г, Муромская ул, 15</t>
  </si>
  <si>
    <t>Муром г, Первомайская ул, 84</t>
  </si>
  <si>
    <t>Муром г, Щербакова ул, 25</t>
  </si>
  <si>
    <t>Муром г, Энгельса ул, 5</t>
  </si>
  <si>
    <t>Муром г, Владимирская ул, 35а</t>
  </si>
  <si>
    <t>Муром г, Дзержинского ул, 4</t>
  </si>
  <si>
    <t>Муром г, Кленовая ул, 1 корп. 2</t>
  </si>
  <si>
    <t>Муром г, Куликова ул, 25</t>
  </si>
  <si>
    <t>Муром г, Ленинградская ул, 5</t>
  </si>
  <si>
    <t>Муром г, Ленинградская ул, 9</t>
  </si>
  <si>
    <t>Муром г, Мичуринская ул, 11</t>
  </si>
  <si>
    <t>Муром г, Мичуринская ул, 27</t>
  </si>
  <si>
    <t>Муром г, Московская ул, 30</t>
  </si>
  <si>
    <t>Муром г, Московская ул, 42</t>
  </si>
  <si>
    <t>Муром г, Московская ул, 109</t>
  </si>
  <si>
    <t>Муром г, Московская ул, 112</t>
  </si>
  <si>
    <t>Муром г, Муромская ул, 17</t>
  </si>
  <si>
    <t>Муром г, Набережная ул, 17</t>
  </si>
  <si>
    <t>Муром г, Орловская ул, 19</t>
  </si>
  <si>
    <t>Муром г, Спортивная ул, 11</t>
  </si>
  <si>
    <t>Муром г, Спортивная ул, 12</t>
  </si>
  <si>
    <t>Муром г, Свердлова ул, 49</t>
  </si>
  <si>
    <t>Муром г, Первомайская ул, 22</t>
  </si>
  <si>
    <t>Муром г, Филатова ул, 19а</t>
  </si>
  <si>
    <t>Муром г, Цветочный б-р, 6</t>
  </si>
  <si>
    <t>Муром г, Южная ул, 7</t>
  </si>
  <si>
    <t>Муром г, 30 лет Победы ул, 1</t>
  </si>
  <si>
    <t>Муром г, Артема ул, 11</t>
  </si>
  <si>
    <t>Муром г, Заводская ул, 21</t>
  </si>
  <si>
    <t>Муром г, Кирова ул, 26</t>
  </si>
  <si>
    <t>Муром г, Коммунистическая ул, 39</t>
  </si>
  <si>
    <t>Муром г, Лаврентьева ул, 41</t>
  </si>
  <si>
    <t>Муром г, Ленинградская ул, 19</t>
  </si>
  <si>
    <t>Муром г, Московская ул, 86</t>
  </si>
  <si>
    <t>Муром г, Московская ул, 71</t>
  </si>
  <si>
    <t>Муром г, Муромская ул, 19</t>
  </si>
  <si>
    <t>Муром г, Октябрьская ул, 106</t>
  </si>
  <si>
    <t>Муром г, Пролетарская ул, 1б</t>
  </si>
  <si>
    <t>Муром г, Радиозаводское ш, 46</t>
  </si>
  <si>
    <t>Муром г, Спортивная ул, 8</t>
  </si>
  <si>
    <t>Муром г, Свердлова ул, 17</t>
  </si>
  <si>
    <t>Муром г, Чкалова ул, 29</t>
  </si>
  <si>
    <t>Муром г, Щербакова ул, 33</t>
  </si>
  <si>
    <t>Муром г, Энергетиков ул, 3а</t>
  </si>
  <si>
    <t>Муром г, Экземплярского ул, 74</t>
  </si>
  <si>
    <t>Гусь-Хрустальный г, Гражданский пер, 9</t>
  </si>
  <si>
    <t>Гусь-Хрустальный г, Дружбы Народов ул, 18</t>
  </si>
  <si>
    <t>Гусь-Хрустальный г, Зеркальная ул, 3</t>
  </si>
  <si>
    <t>Гусь-Хрустальный г, Зеркальная ул, 5</t>
  </si>
  <si>
    <t>Гусь-Хрустальный г, Зеркальная ул, 6</t>
  </si>
  <si>
    <t>Гусь-Хрустальный г, Зеркальная ул, 8</t>
  </si>
  <si>
    <t>Гусь-Хрустальный г, Микрорайон ул, 2</t>
  </si>
  <si>
    <t>Гусь-Хрустальный г, Микрорайон ул, 12</t>
  </si>
  <si>
    <t>Гусь-Хрустальный г, Микрорайон ул, 13</t>
  </si>
  <si>
    <t>Гусь-Хрустальный г, Микрорайон ул, 23</t>
  </si>
  <si>
    <t>Гусь-Хрустальный г, Микрорайон ул, 25</t>
  </si>
  <si>
    <t>Гусь-Хрустальный г, Микрорайон ул, 27</t>
  </si>
  <si>
    <t>Гусь-Хрустальный г, Писарева ул, 14</t>
  </si>
  <si>
    <t>Гусь-Хрустальный г, Ленинградская ул, 12</t>
  </si>
  <si>
    <t>Гусь-Хрустальный г, Мира ул, 5</t>
  </si>
  <si>
    <t>Гусь-Хрустальный г, Микрорайон ул, 31</t>
  </si>
  <si>
    <t>Гусь-Хрустальный г, Гусевский п, Интернациональная ул, 6</t>
  </si>
  <si>
    <t>Гусь-Хрустальный г, Гусевский п, Интернациональная ул, 8</t>
  </si>
  <si>
    <t>Гусь-Хрустальный г, Гусевский п, Мира ул, 5</t>
  </si>
  <si>
    <t>Гусь-Хрустальный г, Гусевский п, Мира ул, 17</t>
  </si>
  <si>
    <t>Гусь-Хрустальный г, Гусевский п, Октябрьская ул, 9</t>
  </si>
  <si>
    <t>Гусь-Хрустальный г, Гусевский п, Октябрьская ул, 11</t>
  </si>
  <si>
    <t>Гусь-Хрустальный г, Новый п, Ленина ул, 13</t>
  </si>
  <si>
    <t>Гусь-Хрустальный г, Теплицкий пр-кт, 22</t>
  </si>
  <si>
    <t>Гусь-Хрустальный г, Калинина ул, 53</t>
  </si>
  <si>
    <t>Гусь-Хрустальный г, Карла Маркса ул, 10/13</t>
  </si>
  <si>
    <t>Гусь-Хрустальный г, Курловская ул, 10</t>
  </si>
  <si>
    <t>Гусь-Хрустальный г, Микрорайон ул, 21</t>
  </si>
  <si>
    <t>Гусь-Хрустальный г, Микрорайон ул, 37</t>
  </si>
  <si>
    <t>Гусь-Хрустальный г, Микрорайон ул, 40</t>
  </si>
  <si>
    <t>Гусь-Хрустальный г, Мира ул, 20</t>
  </si>
  <si>
    <t>Гусь-Хрустальный г, Осьмова ул, 24</t>
  </si>
  <si>
    <t>Гусь-Хрустальный г, Гусевский п, Мира ул, 6</t>
  </si>
  <si>
    <t>Гусь-Хрустальный г, Гусевский п, Строительная ул, 20</t>
  </si>
  <si>
    <t>Гусь-Хрустальный г, Новый п, Ленина ул, 9</t>
  </si>
  <si>
    <t>Гусь-Хрустальный г, 50 лет Советской Власти пр-кт, 27</t>
  </si>
  <si>
    <t>Гусь-Хрустальный г, Транспортная ул, 6</t>
  </si>
  <si>
    <t>Владимир г, Алябьева ул, 3а</t>
  </si>
  <si>
    <t>Владимир г, Безыменского ул, 14а</t>
  </si>
  <si>
    <t>Владимир г, Белоконской ул, 12</t>
  </si>
  <si>
    <t>Владимир г, Белоконской ул, 23</t>
  </si>
  <si>
    <t>Владимир г, Большая Нижегородская ул, 105д</t>
  </si>
  <si>
    <t>Владимир г, Василисина ул, 5</t>
  </si>
  <si>
    <t>Владимир г, Василисина ул, 10а</t>
  </si>
  <si>
    <t>Владимир г, Вокзальная ул, 11</t>
  </si>
  <si>
    <t>Владимир г, Воровского ул, 6</t>
  </si>
  <si>
    <t>Владимир г, Горького ул, 52А</t>
  </si>
  <si>
    <t>Владимир г, Диктора Левитана ул, 26</t>
  </si>
  <si>
    <t>Владимир г, Добросельская ул, 213</t>
  </si>
  <si>
    <t>Владимир г, Добросельский проезд, 4</t>
  </si>
  <si>
    <t>Владимир г, Завадского ул, 11В</t>
  </si>
  <si>
    <t>Владимир г, Комиссарова ул, 2</t>
  </si>
  <si>
    <t>Владимир г, Комиссарова ул, 3А</t>
  </si>
  <si>
    <t>Владимир г, Комиссарова ул, 51</t>
  </si>
  <si>
    <t>Владимир г, Лакина ул, 139В</t>
  </si>
  <si>
    <t>Владимир г, Лакина ул, 141Г</t>
  </si>
  <si>
    <t>Владимир г, Лакина ул, 191</t>
  </si>
  <si>
    <t>Владимир г, Лакина проезд, 4</t>
  </si>
  <si>
    <t>Владимир г, Ленина пр-кт, 24</t>
  </si>
  <si>
    <t>Владимир г, Коммунар мкр, Песочная ул, 11</t>
  </si>
  <si>
    <t>Владимир г, Растопчина ул, 41а</t>
  </si>
  <si>
    <t>Владимир г, Спасское с, Садовая ул, 2</t>
  </si>
  <si>
    <t>Владимир г, Спасское с, Совхозная ул, 5</t>
  </si>
  <si>
    <t>Владимир г, Энергетик мкр, Совхозная ул, 7</t>
  </si>
  <si>
    <t>Владимир г, Соколова-Соколенка ул, 4</t>
  </si>
  <si>
    <t>Владимир г, Соколова-Соколенка ул, 6б</t>
  </si>
  <si>
    <t>Владимир г, Соколова-Соколенка ул, 19а</t>
  </si>
  <si>
    <t>Владимир г, Соколова-Соколенка ул, 19в</t>
  </si>
  <si>
    <t>Владимир г, Ставровская ул, 6А</t>
  </si>
  <si>
    <t>Владимир г, Стасова ул, 40А</t>
  </si>
  <si>
    <t>Владимир г, Стрелецкий городок, 52</t>
  </si>
  <si>
    <t>Владимир г, Строителей пр-кт, 26Б</t>
  </si>
  <si>
    <t>Владимир г, Студенческая ул, 2А</t>
  </si>
  <si>
    <t>Владимир г, Судогодское ш, 3а</t>
  </si>
  <si>
    <t>Владимир г, Судогодское ш, 7а</t>
  </si>
  <si>
    <t>Владимир г, Судогодское ш, 23</t>
  </si>
  <si>
    <t>Владимир г, Судогодское ш, 23б</t>
  </si>
  <si>
    <t>Владимир г, Судогодское ш, 25а</t>
  </si>
  <si>
    <t>Владимир г, Тихонравова ул, 3А</t>
  </si>
  <si>
    <t>Владимир г, Тихонравова ул, 8</t>
  </si>
  <si>
    <t>Владимир г, Труда ул, 11</t>
  </si>
  <si>
    <t>Владимир г, Фатьянова ул, 27</t>
  </si>
  <si>
    <t>Владимир г, Фейгина ул, 2/20</t>
  </si>
  <si>
    <t>Владимир г, Заклязьменский п, Центральная ул, 18</t>
  </si>
  <si>
    <t>Владимир г, Чапаева ул, 5</t>
  </si>
  <si>
    <t>Владимир г, Коммунар мкр, Школьная ул, 4</t>
  </si>
  <si>
    <t>Владимир г, Балакирева ул, 28</t>
  </si>
  <si>
    <t>Владимир г, Балакирева ул, 41а</t>
  </si>
  <si>
    <t>Владимир г, Балакирева ул, 43д</t>
  </si>
  <si>
    <t>Владимир г, Безыменского ул, 5б</t>
  </si>
  <si>
    <t>Владимир г, Безыменского ул, 10а</t>
  </si>
  <si>
    <t>Владимир г, Безыменского ул, 10б</t>
  </si>
  <si>
    <t>Владимир г, Белоконской ул, 15В</t>
  </si>
  <si>
    <t>Владимир г, Василисина ул, 10в</t>
  </si>
  <si>
    <t>Владимир г, Вокзальная ул, 71</t>
  </si>
  <si>
    <t>Владимир г, Диктора Левитана ул, 3Б</t>
  </si>
  <si>
    <t>Владимир г, Диктора Левитана ул, 4А</t>
  </si>
  <si>
    <t>Владимир г, Диктора Левитана ул, 33</t>
  </si>
  <si>
    <t>Владимир г, Добросельская ул, 4</t>
  </si>
  <si>
    <t>Владимир г, Добросельская ул, 167б</t>
  </si>
  <si>
    <t>Владимир г, Добросельская ул, 207а</t>
  </si>
  <si>
    <t>Владимир г, Добросельская ул, 205</t>
  </si>
  <si>
    <t>Владимир г, Добросельская ул, 211а</t>
  </si>
  <si>
    <t>Владимир г, Лакина ул, 137А</t>
  </si>
  <si>
    <t>Владимир г, Лакина ул, 147Б</t>
  </si>
  <si>
    <t>Владимир г, Ленина пр-кт, 62</t>
  </si>
  <si>
    <t>Владимир г, Мира ул, 32Б</t>
  </si>
  <si>
    <t>Владимир г, Мира ул, 42</t>
  </si>
  <si>
    <t>Владимир г, Михайловская ул, 20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</si>
  <si>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</si>
  <si>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</si>
  <si>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</si>
  <si>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Полины Осипенко ул, 20</t>
  </si>
  <si>
    <t>Владимир г, Растопчина ул, 17</t>
  </si>
  <si>
    <t>Владимир г, Поселок РТС ул, 1</t>
  </si>
  <si>
    <t>Владимир г, Спасское с, Садовая ул, 1</t>
  </si>
  <si>
    <t>Владимир г, Семашко ул, 4</t>
  </si>
  <si>
    <t>Владимир г, Энергетик мкр, Совхозная ул, 4</t>
  </si>
  <si>
    <t>Владимир г, Солнечная ул, 52</t>
  </si>
  <si>
    <t>Владимир г, Стасова ул, 1/36</t>
  </si>
  <si>
    <t>Владимир г, Стрелецкая ул, 27Б</t>
  </si>
  <si>
    <t>Владимир г, Строителей пр-кт, 30</t>
  </si>
  <si>
    <t>Владимир г, Студенческая ул, 1</t>
  </si>
  <si>
    <t>Владимир г, Судогодское ш, 5а</t>
  </si>
  <si>
    <t>Владимир г, Суздальский пр-кт, 17а</t>
  </si>
  <si>
    <t>Владимир г, Тракторная ул, 14</t>
  </si>
  <si>
    <t>Владимир г, Усти-на-Лабе ул, 22</t>
  </si>
  <si>
    <t>Владимир г, Алябьева ул, 23а</t>
  </si>
  <si>
    <t>Владимир г, Балакирева ул, 29</t>
  </si>
  <si>
    <t>Владимир г, Балакирева ул, 37г</t>
  </si>
  <si>
    <t>Владимир г, Балакирева ул, 39</t>
  </si>
  <si>
    <t>Владимир г, Безыменского ул, 21б</t>
  </si>
  <si>
    <t>Владимир г, Верхняя Дуброва ул, 38В</t>
  </si>
  <si>
    <t>Владимир г, Добросельская ул, 161а</t>
  </si>
  <si>
    <t>Владимир г, Егорова ул, 6</t>
  </si>
  <si>
    <t>Владимир г, Жуковского ул, 2</t>
  </si>
  <si>
    <t>Владимир г, Жуковского ул, 8</t>
  </si>
  <si>
    <t>Владимир г, Жуковского ул, 8Б</t>
  </si>
  <si>
    <t>Владимир г, Казарменная ул, 5</t>
  </si>
  <si>
    <t>Владимир г, Каманина ул, 14</t>
  </si>
  <si>
    <t>Владимир г, Красноармейская ул, 24</t>
  </si>
  <si>
    <t>Владимир г, Краснознаменная ул, 8А</t>
  </si>
  <si>
    <t>Владимир г, Лакина ул, 129В</t>
  </si>
  <si>
    <t>Владимир г, Лакина ул, 129Г</t>
  </si>
  <si>
    <t>Владимир г, Лакина ул, 131</t>
  </si>
  <si>
    <t>Владимир г, Лакина ул, 153</t>
  </si>
  <si>
    <t>Владимир г, Ленина пр-кт, 35Б</t>
  </si>
  <si>
    <t>Владимир г, Ленина пр-кт, 67Б</t>
  </si>
  <si>
    <t>Владимир г, Ново-Ямская ул, 23</t>
  </si>
  <si>
    <t>Владимир г, Ново-Ямской пер, 4б</t>
  </si>
  <si>
    <t>Владимир г, Октябрьский пр-кт, 12</t>
  </si>
  <si>
    <t>Владимир г, Октябрьский пр-кт, 41</t>
  </si>
  <si>
    <t>Владимир г, Полины Осипенко ул, 1</t>
  </si>
  <si>
    <t>Владимир г, Помпецкий пер, 1</t>
  </si>
  <si>
    <t>Владимир г, Растопчина ул, 29</t>
  </si>
  <si>
    <t>Владимир г, Строителей пр-кт, 4А</t>
  </si>
  <si>
    <t>Владимир г, Строителей пр-кт, 16Б</t>
  </si>
  <si>
    <t>Владимир г, Строителей пр-кт, 25</t>
  </si>
  <si>
    <t>Владимир г, Строителей пр-кт, 42А</t>
  </si>
  <si>
    <t>Владимир г, Строителей ул, 6А</t>
  </si>
  <si>
    <t>Владимир г, Строителей ул, 10А</t>
  </si>
  <si>
    <t>Владимир г, Суворова ул, 1а</t>
  </si>
  <si>
    <t>Владимир г, Фатьянова ул, 24</t>
  </si>
  <si>
    <t>Владимир г, Энергетик мкр, Энергетиков ул, 11Б</t>
  </si>
  <si>
    <t>Владимир г, Энергетик мкр, Энергетиков ул, 14Б</t>
  </si>
  <si>
    <t>Владимир г, Юбилейная ул, 6</t>
  </si>
  <si>
    <t>Владимир г, Юбилейная ул, 34</t>
  </si>
  <si>
    <t>Александров г, 1-я Лесная ул, 6</t>
  </si>
  <si>
    <t>Александров г, Гагарина ул, 1 корп. 1</t>
  </si>
  <si>
    <t>Александров г, Гагарина ул, 15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</si>
  <si>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</si>
  <si>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</si>
  <si>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</si>
  <si>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Королева ул, 7</t>
  </si>
  <si>
    <t>Александров г, Королева ул, 9</t>
  </si>
  <si>
    <t>Александров г, Красный Переулок ул, 25 корп. 2</t>
  </si>
  <si>
    <t>Александров г, Красный Переулок ул, 4</t>
  </si>
  <si>
    <t>Александров г, Красный Переулок ул, 9</t>
  </si>
  <si>
    <t>Александров г, Ленина ул, 32</t>
  </si>
  <si>
    <t>Александров г, Маяковского ул, 1</t>
  </si>
  <si>
    <t>Александров г, Маяковского ул, 38</t>
  </si>
  <si>
    <t>Александров г, Маяковского ул, 7</t>
  </si>
  <si>
    <t>Александров г, Октябрьская ул, 12</t>
  </si>
  <si>
    <t>Александров г, П.Топоркова ул, 5</t>
  </si>
  <si>
    <t>Александров г, Перфильева ул, 10</t>
  </si>
  <si>
    <t>Александров г, Революции ул, 48</t>
  </si>
  <si>
    <t>Александров г, Революции ул, 51</t>
  </si>
  <si>
    <t>Александров г, Революции ул, 57</t>
  </si>
  <si>
    <t>Александров г, Революции ул, 87</t>
  </si>
  <si>
    <t>Александров г, Свердлова ул, 39 корп. 1</t>
  </si>
  <si>
    <t>Александров г, Свердлова ул, 39</t>
  </si>
  <si>
    <t>Александров г, Советская ул, 23</t>
  </si>
  <si>
    <t>Александров г, Терешковой ул, 1</t>
  </si>
  <si>
    <t>Александров г, Терешковой ул, 13 корп. 3</t>
  </si>
  <si>
    <t>Александров г, Терешковой ул, 2 корп. 2</t>
  </si>
  <si>
    <t>Александров г, Фабрика Калинина ул, 22</t>
  </si>
  <si>
    <t>Александровский р-н, Балакирево пгт, Вокзальная ул, 10</t>
  </si>
  <si>
    <t>Александровский р-н, Балакирево пгт, Заводская ул, 2</t>
  </si>
  <si>
    <t>Александровский р-н, Балакирево пгт, Юго-Западный кв-л, 16</t>
  </si>
  <si>
    <t>Александровский р-н, Балакирево пгт, Юго-Западный кв-л, 17</t>
  </si>
  <si>
    <t>Александровский р-н, Балакирево пгт, Юго-Западный кв-л, 22</t>
  </si>
  <si>
    <t>Александровский р-н, Балакирево пгт, Юго-Западный кв-л, 7</t>
  </si>
  <si>
    <t>Александровский р-н, Балакирево пгт, Юго-Западный кв-л, 9</t>
  </si>
  <si>
    <t>Александровский р-н, Карабаново г, Карпова ул, 1</t>
  </si>
  <si>
    <t>Александровский р-н, Карабаново г, Мира ул, 13</t>
  </si>
  <si>
    <t>Александровский р-н, Карабаново г, Мира ул, 17</t>
  </si>
  <si>
    <t>Александровский р-н, Карабаново г, Ногина ул, 13</t>
  </si>
  <si>
    <t>Александровский р-н, Карабаново г, Первомайская пл, 4</t>
  </si>
  <si>
    <t>Александровский р-н, Карабаново г, Почтовая ул, 19</t>
  </si>
  <si>
    <t>Александровский р-н, Карабаново г, Почтовая ул, 20</t>
  </si>
  <si>
    <t>Александровский р-н, Карабаново г, Чулкова ул, 1</t>
  </si>
  <si>
    <t>Александровский р-н, Струнино г, Больничный проезд, 11</t>
  </si>
  <si>
    <t>Александровский р-н, Струнино г, Больничный проезд, 15</t>
  </si>
  <si>
    <t>Александровский р-н, Струнино г, Больничный проезд, 8</t>
  </si>
  <si>
    <t>Александровский р-н, Струнино г, Дубки кв-л, 9</t>
  </si>
  <si>
    <t>Александровский р-н, Струнино г, Заречная ул, 1а</t>
  </si>
  <si>
    <t>Александровский р-н, Струнино г, Чкалова пер, 1</t>
  </si>
  <si>
    <t>Вязники г, Дечинский мкр, 14</t>
  </si>
  <si>
    <t>Вязники г, Дечинский мкр, 2</t>
  </si>
  <si>
    <t>Вязники г, Ефимьево ул, 10</t>
  </si>
  <si>
    <t>Вязники г, Калинина ул, 7</t>
  </si>
  <si>
    <t>Вязники г, Л.Толстого ул, 2/26</t>
  </si>
  <si>
    <t>Вязники г, Л.Толстого ул, 51/22</t>
  </si>
  <si>
    <t>Вязники г, Ленина ул, 6</t>
  </si>
  <si>
    <t>Вязники г, Металлистов ул, 12</t>
  </si>
  <si>
    <t>Вязники г, Металлистов ул, 14</t>
  </si>
  <si>
    <t>Вязники г, Металлистов ул, 16</t>
  </si>
  <si>
    <t>Вязники г, Металлистов ул, 19</t>
  </si>
  <si>
    <t>Вязники г, Нововязники мкр, Механизаторов ул, 108</t>
  </si>
  <si>
    <t>Вязники г, Нововязники мкр, Текстильная ул, 1</t>
  </si>
  <si>
    <t>Вязники г, Нововязники мкр, Южная ул, 11</t>
  </si>
  <si>
    <t>Вязники г, Сергиевских ул, 4</t>
  </si>
  <si>
    <t>Вязники г, Советская ул, 60/2</t>
  </si>
  <si>
    <t>Вязниковский р-н, Барское Татарово с, Совхозная ул, 15</t>
  </si>
  <si>
    <t>Вязниковский р-н, Мстёра ст, Дома подстанции ул, 1</t>
  </si>
  <si>
    <t>Вязниковский р-н, Никологоры п, 1-я Пролетарская ул, 59</t>
  </si>
  <si>
    <t>Вязниковский р-н, Никологоры п, Механическая ул, 55</t>
  </si>
  <si>
    <t>Вязниковский р-н, Никологоры п, Подгорье ул, 13</t>
  </si>
  <si>
    <t>Вязниковский р-н, Никологоры п, Юбилейная ул, 7б</t>
  </si>
  <si>
    <t>Вязниковский р-н, Октябрьская д, Садовая ул, 2</t>
  </si>
  <si>
    <t>Вязниковский р-н, Октябрьский п, Клубная ул, 4</t>
  </si>
  <si>
    <t>Вязниковский р-н, Октябрьский п, Маяковского ул, 3а</t>
  </si>
  <si>
    <t>Вязниковский р-н, Паустово д, Текстильщиков ул, 10</t>
  </si>
  <si>
    <t>Вязниковский р-н, Паустово д, Текстильщиков ул, 17</t>
  </si>
  <si>
    <t>Вязниковский р-н, Паустово д, Фабричная ул, 6</t>
  </si>
  <si>
    <t>Вязниковский р-н, Пески д, Новая ул, 6</t>
  </si>
  <si>
    <t>Вязниковский р-н, Пески д, Новая ул, 7</t>
  </si>
  <si>
    <t>Вязниковский р-н, Сергиевы Горки с, Садовая ул, 4</t>
  </si>
  <si>
    <t>Вязниковский р-н, Серково д, Новая ул, 2</t>
  </si>
  <si>
    <t>Вязниковский р-н, Степанцево п, Ленина ул, 16</t>
  </si>
  <si>
    <t>Вязниковский р-н, Степанцево п, Совхозная ул, 4</t>
  </si>
  <si>
    <t>Вязниковский р-н, Центральный п, Главная ул, 18</t>
  </si>
  <si>
    <t>Вязниковский р-н, Центральный п, Клубная ул, 4</t>
  </si>
  <si>
    <t>Камешково г, Карла Маркса ул, 62</t>
  </si>
  <si>
    <t>Камешково г, Комсомольская пл, 10б</t>
  </si>
  <si>
    <t>Камешково г, Смурова ул, 7</t>
  </si>
  <si>
    <t>Камешково г, Советская ул, 2</t>
  </si>
  <si>
    <t>Камешковский р-н, Гатиха с, Шоссейная ул, 1</t>
  </si>
  <si>
    <t>Камешковский р-н, им Максима Горького п, Морозова ул, 4</t>
  </si>
  <si>
    <t>Камешковский р-н, им Максима Горького п, Шоссейная ул, 2</t>
  </si>
  <si>
    <t>Камешковский р-н, Коверино с, Садовая ул, 5</t>
  </si>
  <si>
    <t>Камешковский р-н, Новки п, Чапаева ул, 13</t>
  </si>
  <si>
    <t>Камешковский р-н, Новки п, Чапаева ул, 21</t>
  </si>
  <si>
    <t>ООО УК "Селиваново"</t>
  </si>
  <si>
    <t>ТСЖ "Королева 9"</t>
  </si>
  <si>
    <t>ООО "Перспектива"</t>
  </si>
  <si>
    <t>ООО "Содружество"</t>
  </si>
  <si>
    <t>ООО "РСК"</t>
  </si>
  <si>
    <t>ООО "ЖКХ "УЮТ"</t>
  </si>
  <si>
    <t>ТСЖ "Калина"</t>
  </si>
  <si>
    <t>ООО "Балремстрой"</t>
  </si>
  <si>
    <t>ООО "ЖКО"</t>
  </si>
  <si>
    <t>ООО "Потенциал"</t>
  </si>
  <si>
    <t>ООО "Алдега"</t>
  </si>
  <si>
    <t>ООО "Содружество С"</t>
  </si>
  <si>
    <t>УК "НУК"</t>
  </si>
  <si>
    <t>ТСЖ "Совхозное"</t>
  </si>
  <si>
    <t>МУП "ЖКС"</t>
  </si>
  <si>
    <t>ТСЖ "Ефимьево 10"</t>
  </si>
  <si>
    <t>ООО "ЖЭК № 3"</t>
  </si>
  <si>
    <t>ТСЖ "Волна"</t>
  </si>
  <si>
    <t>ООО "ЖЭК"Никологоры"</t>
  </si>
  <si>
    <t>ТСЖ "Южная 11"</t>
  </si>
  <si>
    <t>ТСЖ "Березка"</t>
  </si>
  <si>
    <t>Бетонные</t>
  </si>
  <si>
    <t>ТСЖ "Степанцевское"</t>
  </si>
  <si>
    <t>ТСЖ "Дечинский 14"</t>
  </si>
  <si>
    <t>ООО "МП "Альтернатива"</t>
  </si>
  <si>
    <t>ООО"Жилфонд"</t>
  </si>
  <si>
    <t>ООО "Уют"</t>
  </si>
  <si>
    <t>ООО "Надежда"</t>
  </si>
  <si>
    <t xml:space="preserve"> </t>
  </si>
  <si>
    <t>Приложение к Таблице №1</t>
  </si>
  <si>
    <t>Получатель бюджетных средств - Некоммерческая организация "Фонд капитального ремонта многоквартирных домов Владимирской области"</t>
  </si>
  <si>
    <t xml:space="preserve">Источники финансирования </t>
  </si>
  <si>
    <t xml:space="preserve">Всего </t>
  </si>
  <si>
    <t>в том числе: Фонд содействия реформированию жилищно-коммунального хозяйства</t>
  </si>
  <si>
    <t>Областной бюджет</t>
  </si>
  <si>
    <t>Местные бюджеты</t>
  </si>
  <si>
    <t>Средства собственников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</si>
  <si>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</t>
  </si>
  <si>
    <t>Объем финансирования в 2020 г., руб.</t>
  </si>
  <si>
    <t>Объем финансирования в 2021 г., руб.</t>
  </si>
  <si>
    <t>Объем финансирования в 2022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</si>
  <si>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</si>
  <si>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</si>
  <si>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</si>
  <si>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</si>
  <si>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</si>
  <si>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</si>
  <si>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</si>
  <si>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2020-2022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</si>
  <si>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 </t>
  </si>
  <si>
    <t>Х</t>
  </si>
  <si>
    <t>Итого по сводному краткосрочному плану на 2020-2022 годы</t>
  </si>
  <si>
    <t>Итого по сводному краткосрочному плану на 2020 год</t>
  </si>
  <si>
    <t>Итого по сводному краткосрочному плану на 2021 год</t>
  </si>
  <si>
    <t>Итого по сводному краткосрочному плану на 2022 год</t>
  </si>
  <si>
    <t xml:space="preserve">Итого по город Гусь-Хрустальный  </t>
  </si>
  <si>
    <t xml:space="preserve">Итого по округ Муром  </t>
  </si>
  <si>
    <t xml:space="preserve">Итого по ЗАТО город Радужный  </t>
  </si>
  <si>
    <t>Вязниковский р-н, Никологоры п, Красноармейский пер, 1</t>
  </si>
  <si>
    <t>Итого по город Ковров</t>
  </si>
  <si>
    <t>Ковров г, Абельмана ул, 46</t>
  </si>
  <si>
    <t>Ковров г, Брюсова проезд, 4</t>
  </si>
  <si>
    <t>Ковров г, Грибоедова ул, 119</t>
  </si>
  <si>
    <t>Ковров г, Запольная ул, 26</t>
  </si>
  <si>
    <t>Ковров г, Зои Космодемьянской ул, 26/1</t>
  </si>
  <si>
    <t>Ковров г, Кирова ул, 73</t>
  </si>
  <si>
    <t>Ковров г, Кирова ул, 77</t>
  </si>
  <si>
    <t>Ковров г, Ковров-8 тер, 2</t>
  </si>
  <si>
    <t>Ковров г, Куйбышева ул, 11</t>
  </si>
  <si>
    <t>Ковров г, Ленина пр-кт, 23</t>
  </si>
  <si>
    <t>Ковров г, Муромская ул, 9</t>
  </si>
  <si>
    <t>Ковров г, Социалистическая ул, 10</t>
  </si>
  <si>
    <t>Ковров г, Ватутина ул, 2а</t>
  </si>
  <si>
    <t>Ковров г, Дегтярева ул, 164</t>
  </si>
  <si>
    <t>Ковров г, Еловая ул, 82/2</t>
  </si>
  <si>
    <t>Ковров г, Железнодорожная ул, 55</t>
  </si>
  <si>
    <t>Ковров г, Маяковского ул, 79</t>
  </si>
  <si>
    <t>Ковров г, Пугачева ул, 9</t>
  </si>
  <si>
    <t>Ковров г, Солнечная ул, 2</t>
  </si>
  <si>
    <t>Ковров г, Строителей ул, 5</t>
  </si>
  <si>
    <t xml:space="preserve">Итого по город Ковров </t>
  </si>
  <si>
    <t>Ковров г, Барсукова ул, 14а</t>
  </si>
  <si>
    <t>Ковров г, Васильева ул, 14а</t>
  </si>
  <si>
    <t>Ковров г, Ватутина ул, 2в</t>
  </si>
  <si>
    <t>Ковров г, Еловая ул, 82/3</t>
  </si>
  <si>
    <t>Ковров г, Клязьменская ул, 10</t>
  </si>
  <si>
    <t>Ковров г, Ковров-8 тер, 1</t>
  </si>
  <si>
    <t>Ковров г, Ковров-8 тер, 6</t>
  </si>
  <si>
    <t>Ковров г, Муромская ул, 7</t>
  </si>
  <si>
    <t>Ковров г, Сосновая ул, 18</t>
  </si>
  <si>
    <t>Ковров г, Федорова ул, 91</t>
  </si>
  <si>
    <t>Ковровский р-н, Мелехово пгт, Школьный пер, 26</t>
  </si>
  <si>
    <t>Ковровский р-н, Новый п, Першутова ул, 4</t>
  </si>
  <si>
    <t>Суздальский р-н, Гавриловское с, Школьная ул, 17</t>
  </si>
  <si>
    <t>Камешковский р-н, Лубенцы д, 66</t>
  </si>
  <si>
    <t>Петушинский р-н, Покров г, 3 Интернационала ул, 79а</t>
  </si>
  <si>
    <t>Владимир г, Каманина ул, 22</t>
  </si>
  <si>
    <t>Владимир г, Луначарского ул, 39</t>
  </si>
  <si>
    <t>Владимир г, Совхоз Вышка ул, 10</t>
  </si>
  <si>
    <t>Владимир г, Нижняя Дуброва ул, 22</t>
  </si>
  <si>
    <t>ООО "УК "Веста"</t>
  </si>
  <si>
    <t>ООО "ЖЭЦ-управление"</t>
  </si>
  <si>
    <t>ООО УМД "Континент"</t>
  </si>
  <si>
    <t>ООО ЖКО "РОСКО"</t>
  </si>
  <si>
    <t>ООО "КЭЧ"</t>
  </si>
  <si>
    <t>ООО УК "Согласие"</t>
  </si>
  <si>
    <t>ООО "УК "ВИКА"</t>
  </si>
  <si>
    <t>ООО УК "Жилсервис"</t>
  </si>
  <si>
    <t>ООО "УК "Восточное"</t>
  </si>
  <si>
    <t>ООО "Комсервис+"</t>
  </si>
  <si>
    <t>ЖСК 9</t>
  </si>
  <si>
    <t xml:space="preserve"> "Новый-2" </t>
  </si>
  <si>
    <t>Ковров г, Зои Космодемьянской ул, 21</t>
  </si>
  <si>
    <t>Муром г, Владимирское ш, 12</t>
  </si>
  <si>
    <t>Итого по город Александров</t>
  </si>
  <si>
    <t>Итого по поселок Балакирево</t>
  </si>
  <si>
    <t>Итого по город Карабаново</t>
  </si>
  <si>
    <t>Итого по город Струнино</t>
  </si>
  <si>
    <t>Итого по поселок Никологоры</t>
  </si>
  <si>
    <t>Итого по Степанцевское</t>
  </si>
  <si>
    <t>Итого по Паустовское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</si>
  <si>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</si>
  <si>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</si>
  <si>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</si>
  <si>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</si>
  <si>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Денисовское</t>
  </si>
  <si>
    <t>Итого по поселок Анопино</t>
  </si>
  <si>
    <t>Итого по город Камешково</t>
  </si>
  <si>
    <t>Итого по Вахромеевское</t>
  </si>
  <si>
    <t>Итого по Сергеихинское</t>
  </si>
  <si>
    <t>Итого по город Киржач</t>
  </si>
  <si>
    <t>Итого по Филипповское</t>
  </si>
  <si>
    <t>Итого по Першинское</t>
  </si>
  <si>
    <t>Итого по поселок Мелехово</t>
  </si>
  <si>
    <t>Итого по Малыгинское</t>
  </si>
  <si>
    <t>Итого по Новосельское</t>
  </si>
  <si>
    <t>Итого по Клязьминское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</si>
  <si>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</si>
  <si>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</si>
  <si>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</si>
  <si>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</si>
  <si>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поселок Вольгинский</t>
  </si>
  <si>
    <t>Итого по город Покров</t>
  </si>
  <si>
    <t>Итого по город Костерево</t>
  </si>
  <si>
    <t>Итого по поселок Городищи</t>
  </si>
  <si>
    <t>Итого по город Петушки</t>
  </si>
  <si>
    <t>Итого по поселок Красная Горбатка</t>
  </si>
  <si>
    <t>Итого по Малышевское</t>
  </si>
  <si>
    <t>Итого по Воршинское</t>
  </si>
  <si>
    <t>Итого по Черкутинское</t>
  </si>
  <si>
    <t>Итого по поселок Ставрово</t>
  </si>
  <si>
    <t>Итого по город Лакинск</t>
  </si>
  <si>
    <t>Итого по город Собинка</t>
  </si>
  <si>
    <t>Итого по город Судогда</t>
  </si>
  <si>
    <t>Итого по Головинское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</si>
  <si>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</si>
  <si>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</si>
  <si>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</si>
  <si>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</si>
  <si>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</si>
  <si>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Селецкое</t>
  </si>
  <si>
    <t>Итого по город Юрьев-Польский</t>
  </si>
  <si>
    <t>Итого по Небыловское</t>
  </si>
  <si>
    <t>Итого по Симское</t>
  </si>
  <si>
    <t>Итого по Красносельское</t>
  </si>
  <si>
    <t>Итого по поселок Мстера</t>
  </si>
  <si>
    <t>Итого по Фоминское</t>
  </si>
  <si>
    <t>Итого по поселок Добрятино</t>
  </si>
  <si>
    <t>Итого по поселок Великодворский</t>
  </si>
  <si>
    <t>Итого по Брызгаловское</t>
  </si>
  <si>
    <t>Итого по Ивановское</t>
  </si>
  <si>
    <t>Итого по Бавленское</t>
  </si>
  <si>
    <t>Итого по Ильинское</t>
  </si>
  <si>
    <t>Итого по Ляховское</t>
  </si>
  <si>
    <t>Итого по Дмитриевогорское</t>
  </si>
  <si>
    <t>Итого по Петушинское</t>
  </si>
  <si>
    <t>Итого по Куриловское</t>
  </si>
  <si>
    <t>Итого по Толпуховское</t>
  </si>
  <si>
    <t>Итого по Вяткинское</t>
  </si>
  <si>
    <t>Итого по Павловское</t>
  </si>
  <si>
    <t>Итого по Андреевское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</si>
  <si>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</si>
  <si>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</si>
  <si>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</si>
  <si>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</si>
  <si>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Итого по поселок Иванищи</t>
  </si>
  <si>
    <t>Итого по Пенкинское</t>
  </si>
  <si>
    <t>Итого по Флорищинское</t>
  </si>
  <si>
    <t>Итого по Ковардицкое</t>
  </si>
  <si>
    <t>X</t>
  </si>
  <si>
    <t>Итого по Кипревское</t>
  </si>
  <si>
    <t xml:space="preserve">город Гусь-Хрустальный  </t>
  </si>
  <si>
    <t xml:space="preserve">округ Муром  </t>
  </si>
  <si>
    <t xml:space="preserve">город Ковров </t>
  </si>
  <si>
    <t xml:space="preserve">ЗАТО город Радужный  </t>
  </si>
  <si>
    <t>город Александров</t>
  </si>
  <si>
    <t>поселок Балакирево</t>
  </si>
  <si>
    <t>город Карабаново</t>
  </si>
  <si>
    <t>город Струнино</t>
  </si>
  <si>
    <t>поселок Никологоры</t>
  </si>
  <si>
    <t>Степанцевское</t>
  </si>
  <si>
    <t>Паустовское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</si>
  <si>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</si>
  <si>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</si>
  <si>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</si>
  <si>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</si>
  <si>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</si>
  <si>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Денисовское</t>
  </si>
  <si>
    <t>город Курлово</t>
  </si>
  <si>
    <t>поселок Иванищи</t>
  </si>
  <si>
    <t>город Камешково</t>
  </si>
  <si>
    <t>Брызгаловское</t>
  </si>
  <si>
    <t>Сергеихинское</t>
  </si>
  <si>
    <t>Пенкинское</t>
  </si>
  <si>
    <t>город Киржач</t>
  </si>
  <si>
    <t>Клязьминское</t>
  </si>
  <si>
    <t>поселок Мелехово</t>
  </si>
  <si>
    <t>Малыгинское</t>
  </si>
  <si>
    <t>Новосельское</t>
  </si>
  <si>
    <t>город Кольчугино</t>
  </si>
  <si>
    <t>Раздольевское</t>
  </si>
  <si>
    <t>Флорищинское</t>
  </si>
  <si>
    <t>город Меленки</t>
  </si>
  <si>
    <t>Дмитриевогорское</t>
  </si>
  <si>
    <t>Ковардицкое</t>
  </si>
  <si>
    <t>Нагорное</t>
  </si>
  <si>
    <t>город Покров</t>
  </si>
  <si>
    <t>город Костерево</t>
  </si>
  <si>
    <t>поселок Городищи</t>
  </si>
  <si>
    <t>Пекшинское</t>
  </si>
  <si>
    <t>город Петушки</t>
  </si>
  <si>
    <t>поселок Вольгинский</t>
  </si>
  <si>
    <t>поселок Красная Горбатка</t>
  </si>
  <si>
    <t>Копнинское</t>
  </si>
  <si>
    <t>Толпуховское</t>
  </si>
  <si>
    <t>поселок Ставрово</t>
  </si>
  <si>
    <t>город Собинка</t>
  </si>
  <si>
    <t>город Судогда</t>
  </si>
  <si>
    <t>Андреевское</t>
  </si>
  <si>
    <t>Головинское</t>
  </si>
  <si>
    <t>Мошокское</t>
  </si>
  <si>
    <t>город Суздаль</t>
  </si>
  <si>
    <t>Боголюбовское</t>
  </si>
  <si>
    <t>Селецкое</t>
  </si>
  <si>
    <t>Павловское</t>
  </si>
  <si>
    <t>город Юрьев-Польский</t>
  </si>
  <si>
    <t>Небыловское</t>
  </si>
  <si>
    <t>город Ковров</t>
  </si>
  <si>
    <t>поселок Мстера</t>
  </si>
  <si>
    <t>Фоминское</t>
  </si>
  <si>
    <t>поселок Добрятино</t>
  </si>
  <si>
    <t>поселок Великодворский</t>
  </si>
  <si>
    <t>Вахромеевское</t>
  </si>
  <si>
    <t>Ивановское</t>
  </si>
  <si>
    <t>Бавленское</t>
  </si>
  <si>
    <t>Ильинское</t>
  </si>
  <si>
    <t>Ляховское</t>
  </si>
  <si>
    <t>Петушинское</t>
  </si>
  <si>
    <t>Воршинское</t>
  </si>
  <si>
    <t>Куриловское</t>
  </si>
  <si>
    <t>город Лакинск</t>
  </si>
  <si>
    <t>Вяткинское</t>
  </si>
  <si>
    <t>Муромцевское</t>
  </si>
  <si>
    <t>Новоалександровское</t>
  </si>
  <si>
    <t>Красносельское</t>
  </si>
  <si>
    <t>поселок Анопино</t>
  </si>
  <si>
    <t>Филипповское</t>
  </si>
  <si>
    <t>Кипревское</t>
  </si>
  <si>
    <t>Першинское</t>
  </si>
  <si>
    <t>Малышевское</t>
  </si>
  <si>
    <t>Черкутинское</t>
  </si>
  <si>
    <t>Симское</t>
  </si>
  <si>
    <t>Таблица №1</t>
  </si>
  <si>
    <t>к сводному краткосрочному плану реализации
 региональной программы капитального ремонта общего
 имущества в многоквартирных домах на 2020-2022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</si>
  <si>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2020 - 2022 годы</t>
  </si>
  <si>
    <t>Приложение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</si>
  <si>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</si>
  <si>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</si>
  <si>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</si>
  <si>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</si>
  <si>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</si>
  <si>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</si>
  <si>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2020 - 2022 годы *  **</t>
  </si>
  <si>
    <t>виды, установленные ч.1 ст.166 Жилищного Кодекса РФ</t>
  </si>
  <si>
    <t xml:space="preserve">город Владимир  </t>
  </si>
  <si>
    <t>ООО "ЖЭЦ-Управление" </t>
  </si>
  <si>
    <t>ООО "ОДК" </t>
  </si>
  <si>
    <t>ООО "Универсалстрой"</t>
  </si>
  <si>
    <t>ООО УК "Старый город"</t>
  </si>
  <si>
    <t>ООО "Фортуна"</t>
  </si>
  <si>
    <t>ООО "НУК"</t>
  </si>
  <si>
    <t>ООО "Содружество-С"</t>
  </si>
  <si>
    <t xml:space="preserve">ООО УК "Теплый дом" </t>
  </si>
  <si>
    <t>ООО "Комстройсервис"</t>
  </si>
  <si>
    <t>ООО "Жилищник" г.Суздаль</t>
  </si>
  <si>
    <t>ООО УК "Влад-комстрой"</t>
  </si>
  <si>
    <t>ООО "Оникс"</t>
  </si>
  <si>
    <t>ООО "ЖЭК "Никологоры"</t>
  </si>
  <si>
    <t>ООО "Лидер"</t>
  </si>
  <si>
    <t>ООО "Плес+"</t>
  </si>
  <si>
    <t>Количество жителей, зарегистрированных в МКД на          дату утверждения краткосрочного плана</t>
  </si>
  <si>
    <t>в том числе жилых           помещений, находящихся в собственности граждан</t>
  </si>
  <si>
    <t>Способ формирования фонда         капитального ремонта (РО - счет регионального оператора, СС -          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</si>
  <si>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</si>
  <si>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за счет средств         собственников помещений в МКД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</si>
  <si>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2020 - 2022 годы определены таблицей №1 к сводному краткосрочному плану</t>
  </si>
  <si>
    <t xml:space="preserve"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  </t>
  </si>
  <si>
    <t>Плановый год капитального ремонта</t>
  </si>
  <si>
    <t>Уровень оплаты взносов на капитальный ремонт МКД</t>
  </si>
  <si>
    <t>капитальный ремонт внутридомовых инженерных систем вентиляции и дымоудаления при капитальном ремонте         крыш</t>
  </si>
  <si>
    <t>ремонт выпусков системы водоотведения до первого смотрового колодца при     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</si>
  <si>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       (тепловой энергии, горячей и холодной воды, электрической энергии, газа), с                       оборудованием устройств автоматизации и диспетчеризации, при проведении              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</si>
  <si>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               ремонта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</si>
  <si>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народов РФ</t>
  </si>
  <si>
    <t>%</t>
  </si>
  <si>
    <t>Многоквартирные дома, имеющие полноту собираемости взносов на капитальный ремонт в объеме 100 % и выше от сумм начисленных взносов на капитальный ремонт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</si>
  <si>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год за счет средств регионального оператора определены таблицей №1</t>
  </si>
  <si>
    <t>Александров г, Лермонтова ул, 13</t>
  </si>
  <si>
    <t>Владимир г, Дворянская ул, 15</t>
  </si>
  <si>
    <t>Владимир г, Алябьева ул, 17А</t>
  </si>
  <si>
    <t>Владимир г, Алябьева ул, 9</t>
  </si>
  <si>
    <t>Гороховец г, Краснова ул, 8</t>
  </si>
  <si>
    <t>Гусь-Хрустальный г, Орловская ул, 24</t>
  </si>
  <si>
    <t>Гусь-Хрустальный г, Заводской пер, 8</t>
  </si>
  <si>
    <t>Киржач г, Гастелло ул, 1</t>
  </si>
  <si>
    <t>Ковров г, Грибоедова ул, 70</t>
  </si>
  <si>
    <t>Кольчугино г, Ким ул, 18</t>
  </si>
  <si>
    <t>Меленки г, Коминтерна ул, 104</t>
  </si>
  <si>
    <t>Муром г, Воровского ул, 99</t>
  </si>
  <si>
    <t>Муром г, Воровского ул, 16А</t>
  </si>
  <si>
    <t>Муром г, Экземплярского ул, 13А</t>
  </si>
  <si>
    <t>Собинский р-н, Ставрово п, Октябрьская ул, 109</t>
  </si>
  <si>
    <t>Суздальский р-н, Боголюбово п, Западная ул, 7</t>
  </si>
  <si>
    <t>Владимир г, Ново-Ямской пер, 6б</t>
  </si>
  <si>
    <t>Судогодский р-н, Муромцево п, Октябрьская ул, 13</t>
  </si>
  <si>
    <t>Собинский р-н, Асерхово п, Железнодорожная ул, 5</t>
  </si>
  <si>
    <t>2019-2021</t>
  </si>
  <si>
    <t>2017-2019</t>
  </si>
  <si>
    <t>2018-2020</t>
  </si>
  <si>
    <t>2020-2022</t>
  </si>
  <si>
    <t>2022-2024</t>
  </si>
  <si>
    <t>2021-2023</t>
  </si>
  <si>
    <t>2025-2027</t>
  </si>
  <si>
    <t>Киржач г, Красный Октябрь мкр, Фурманова ул, 22</t>
  </si>
  <si>
    <t>Итого по город Владимир</t>
  </si>
  <si>
    <t>Итого по город Гусь-Хрустальный</t>
  </si>
  <si>
    <t>Итого по город Муром</t>
  </si>
  <si>
    <t>Итого по Асерховское</t>
  </si>
  <si>
    <t>Итого по субъекту:</t>
  </si>
  <si>
    <t xml:space="preserve">Таблица № 1 </t>
  </si>
  <si>
    <t>к сводному краткосрочному плану реализации за счет средств регионального оператора</t>
  </si>
  <si>
    <t>Адрес многоквартирного дома (далее - МКД)</t>
  </si>
  <si>
    <t>Количество жителей, зарегистрированных в МКД на дату утверждения краткосрочного плана</t>
  </si>
  <si>
    <t>Способ управления МКД (УК-управляющая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</si>
  <si>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в том числе жилых помещений, находящихся в собственности граждан</t>
  </si>
  <si>
    <t>ТСН "Дворянская-15"</t>
  </si>
  <si>
    <t>ООО "ЖРЭП №8"</t>
  </si>
  <si>
    <t>МУП города Владимиру "ГУК"</t>
  </si>
  <si>
    <t>"Березка"</t>
  </si>
  <si>
    <t>Таблица № 2</t>
  </si>
  <si>
    <t>Планируемое количество многоквартирных домов, подлежащих капитальному ремонту и объем средств, необходимый для реализации мероприятий краткосрочного плана</t>
  </si>
  <si>
    <t>Количество
жителей,
зарегистрированных в МКД
на дату
утверждения
программы</t>
  </si>
  <si>
    <t>Итого по программе</t>
  </si>
  <si>
    <t>Владимир г, Алябьева ул, 25</t>
  </si>
  <si>
    <t>Владимир г, Строителей ул, 10</t>
  </si>
  <si>
    <t>Владимир г, Асаткина ул, 27</t>
  </si>
  <si>
    <t>Владимир г, Диктора Левитана ул, 49</t>
  </si>
  <si>
    <t>Вязники г, Металлистов ул, 23а</t>
  </si>
  <si>
    <t>Суздаль г, Гоголя ул, 45</t>
  </si>
  <si>
    <t>ООО"ЖЭК№3"</t>
  </si>
  <si>
    <t>ООО "Жилищник" </t>
  </si>
  <si>
    <t>ООО «ЖРЭП № 8»</t>
  </si>
  <si>
    <t>ООО «Жилищник»</t>
  </si>
  <si>
    <t>ООО УК «ЛЮКС»</t>
  </si>
  <si>
    <t>Ковров г, Пугачева ул, 29</t>
  </si>
  <si>
    <t>ООО "Жилищник-Центр" </t>
  </si>
  <si>
    <t>Владимир г, Березина ул, 3</t>
  </si>
  <si>
    <t>Суздальский р-н, Новое с, Молодежная ул, 1</t>
  </si>
  <si>
    <t>ООО "УК СОДРУЖЕСТВО"</t>
  </si>
  <si>
    <t>ТСН "СОГЛАСИЕ 108"</t>
  </si>
  <si>
    <t>ООО "УК"Меленковского района"</t>
  </si>
  <si>
    <t>ООО "ЖКХ"УЮТ"</t>
  </si>
  <si>
    <t>ООО "ЖЭК №4"</t>
  </si>
  <si>
    <t>Владимир г, Кирова ул, 1А</t>
  </si>
  <si>
    <t>Владимир г, Чапаева ул, 6</t>
  </si>
  <si>
    <t>Владимир г, Разина ул, 33</t>
  </si>
  <si>
    <t>ООО  «УК ЛЮКС»</t>
  </si>
  <si>
    <t xml:space="preserve">Итого по город Владимир  </t>
  </si>
  <si>
    <t>Юрьев-Польский р-н, Небылое с, Луговая ул, 1</t>
  </si>
  <si>
    <t>Александров г, Гагарина ул, 1</t>
  </si>
  <si>
    <t>Александровский р-н, Балакирево пгт, Радужный кв-л, 2</t>
  </si>
  <si>
    <t>Владимир г, Безыменского ул, 14</t>
  </si>
  <si>
    <t>Владимир г, Большая Нижегородская ул, 34</t>
  </si>
  <si>
    <t>Владимир г, Большая Нижегородская ул, 32</t>
  </si>
  <si>
    <t>Владимир г, Диктора Левитана ул, 1А</t>
  </si>
  <si>
    <t>Владимир г, Казарменная ул, 9</t>
  </si>
  <si>
    <t>Владимир г, Кирова ул, 9</t>
  </si>
  <si>
    <t>Владимир г, Комиссарова ул, 35а</t>
  </si>
  <si>
    <t>Владимир г, Красноармейская ул, 32</t>
  </si>
  <si>
    <t>Владимир г, Красноармейская ул, 43</t>
  </si>
  <si>
    <t>Владимир г, Лакина ул, 145</t>
  </si>
  <si>
    <t>Владимир г, Лакина ул, 157А</t>
  </si>
  <si>
    <t>Владимир г, Луначарского ул, 27</t>
  </si>
  <si>
    <t>Владимир г, Модорова ул, 6</t>
  </si>
  <si>
    <t>Владимир г, Октябрьский военный городок, 23</t>
  </si>
  <si>
    <t>Владимир г, Рабочая ул, 13</t>
  </si>
  <si>
    <t>Владимир г, Строителей пр-кт, 17</t>
  </si>
  <si>
    <t>Владимир г, Строителей пр-кт, 32</t>
  </si>
  <si>
    <t>Владимир г, Строителей пр-кт, 36</t>
  </si>
  <si>
    <t>Владимир г, Строителей пр-кт, 40</t>
  </si>
  <si>
    <t>Владимир г, Соколова-Соколенка ул, 22</t>
  </si>
  <si>
    <t>Владимир г, Суздальский пр-кт, 25</t>
  </si>
  <si>
    <t>Владимир г, Труда ул, 10/20</t>
  </si>
  <si>
    <t>Владимир г, Электроприборовский проезд, 7</t>
  </si>
  <si>
    <t>Владимир г, Гагарина ул, 10</t>
  </si>
  <si>
    <t>Владимир г, 1-я Пионерская ул, 59</t>
  </si>
  <si>
    <t>Владимир г, Чайковского ул, 19/1</t>
  </si>
  <si>
    <t>Владимир г, Комиссарова ул, 12а</t>
  </si>
  <si>
    <t>Владимир г, Мира ул, 26</t>
  </si>
  <si>
    <t>Владимир г, 1-я Пионерская ул, 67</t>
  </si>
  <si>
    <t>Владимир г, Горького ул, 61</t>
  </si>
  <si>
    <t>Владимир г, Горького ул, 72</t>
  </si>
  <si>
    <t>Владимир г, Ильича ул, 7б</t>
  </si>
  <si>
    <t>Владимир г, Ильича ул, 13</t>
  </si>
  <si>
    <t>Владимир г, Северная ул, 15</t>
  </si>
  <si>
    <t>Владимир г, Труда ул, 14А</t>
  </si>
  <si>
    <t>Владимир г, Энергетик мкр, Энергетиков ул, 2Б</t>
  </si>
  <si>
    <t>Владимир г, Чайковского ул, 38В</t>
  </si>
  <si>
    <t>Владимир г, Добросельская ул, 161</t>
  </si>
  <si>
    <t>Владимир г, Баумана ул, 4</t>
  </si>
  <si>
    <t>Владимир г, Даргомыжского ул, 20</t>
  </si>
  <si>
    <t>Владимир г, Электроприборовский проезд, 4</t>
  </si>
  <si>
    <t>Владимир г, Большая Нижегородская ул, 99а</t>
  </si>
  <si>
    <t>Гусь-Хрустальный г, Муравьева-Апостола ул, 10</t>
  </si>
  <si>
    <t>Гусь-Хрустальный г, 2-я Народная ул, 2</t>
  </si>
  <si>
    <t>Гусь-Хрустальный г, Луначарского ул, 7</t>
  </si>
  <si>
    <t>Гусь-Хрустальный г, Осьмова ул, 7</t>
  </si>
  <si>
    <t>Гусь-Хрустальный г, Осьмова ул, 8</t>
  </si>
  <si>
    <t>Гусь-Хрустальный г, Плеханова ул, 1</t>
  </si>
  <si>
    <t>Гусь-Хрустальный г, 50 лет Советской Власти пр-кт, 25</t>
  </si>
  <si>
    <t>Гусь-Хрустальный г, Гусевский п, Мира ул, 11</t>
  </si>
  <si>
    <t>Гусь-Хрустальный г, Революции ул, 17/7</t>
  </si>
  <si>
    <t>Гусь-Хрустальный г, Рудницкой ул, 13</t>
  </si>
  <si>
    <t>Гусь-Хрустальный г, Транспортная ул, 13</t>
  </si>
  <si>
    <t>Гусь-Хрустальный г, Красных Партизан ул, 72/29</t>
  </si>
  <si>
    <t>Гусь-Хрустальный г, Ломоносова ул, 2а/8а</t>
  </si>
  <si>
    <t>Гусь-Хрустальный г, Теплицкий пр-кт, 4</t>
  </si>
  <si>
    <t>Гусь-Хрустальный г, Гусевский п, Интернациональная ул, 10</t>
  </si>
  <si>
    <t>Муром г, Войкова ул, 9</t>
  </si>
  <si>
    <t>Муром г, Карла Маркса ул, 36</t>
  </si>
  <si>
    <t>Муром г, Ленина ул, 2</t>
  </si>
  <si>
    <t>Муром г, Меленковская ул, 9</t>
  </si>
  <si>
    <t>Муромский р-н, Механизаторов п, 52</t>
  </si>
  <si>
    <t>Муром г, Радиозаводское ш, 38А</t>
  </si>
  <si>
    <t>Муром г, Трудовая ул, 37</t>
  </si>
  <si>
    <t>Муром г, Артема ул, 1а</t>
  </si>
  <si>
    <t>Муром г, Заводская ул, 1</t>
  </si>
  <si>
    <t>Муром г, Куликова ул, 23</t>
  </si>
  <si>
    <t>Муромский р-н, Фабрики им П.Л.Войкова п, 23</t>
  </si>
  <si>
    <t>Муром г, Ковровская ул, 16</t>
  </si>
  <si>
    <t>Муром г, Пушкина ул, 1а</t>
  </si>
  <si>
    <t>Муром г, Ленина ул, 110</t>
  </si>
  <si>
    <t>Ковров г, 19 Партсъезда ул, 3</t>
  </si>
  <si>
    <t>Ковров г, Ковров-8 тер, 3</t>
  </si>
  <si>
    <t>Ковров г, Первомайская ул, 21</t>
  </si>
  <si>
    <t>Ковров г, Ковров-8 тер, 9</t>
  </si>
  <si>
    <t>Ковров г, Абельмана ул, 22</t>
  </si>
  <si>
    <t>Ковров г, Еловая ул, 86</t>
  </si>
  <si>
    <t>Ковров г, Кузнечная ул, 6А</t>
  </si>
  <si>
    <t>Ковров г, Пугачева ул, 35</t>
  </si>
  <si>
    <t>Ковров г, Волго-Донская ул, 6</t>
  </si>
  <si>
    <t>Ковров г, Туманова ул, 4</t>
  </si>
  <si>
    <t>Ковров г, Еловая ул, 82/1</t>
  </si>
  <si>
    <t>Радужный г, 1-й кв-л, 17</t>
  </si>
  <si>
    <t>Радужный г, 9-й кв-л, 8</t>
  </si>
  <si>
    <t>Александров г, Горького ул, 3</t>
  </si>
  <si>
    <t>Александров г, Лермонтова ул, 9</t>
  </si>
  <si>
    <t>Александров г, Ленина ул, 26</t>
  </si>
  <si>
    <t>Александров г, Стрелецкая Набережная ул, 1</t>
  </si>
  <si>
    <t>Александров г, Ческа-Липа ул, 2</t>
  </si>
  <si>
    <t>Александровский р-н, Карабаново г, Карпова ул, 3</t>
  </si>
  <si>
    <t>Александровский р-н, Лисавы д, Центральная ул, 2</t>
  </si>
  <si>
    <t>Александровский р-н, Струнино г, Дзержинского ул, 9</t>
  </si>
  <si>
    <t>Александров г, Кубасова ул, 5</t>
  </si>
  <si>
    <t>Александров г, Фабрика Калинина ул, 24</t>
  </si>
  <si>
    <t>Александров г, Революции ул, 77</t>
  </si>
  <si>
    <t>Александров г, Ленина ул, 30</t>
  </si>
  <si>
    <t>Александров г, Революции ул, 40</t>
  </si>
  <si>
    <t>Александров г, Институтская ул, 12</t>
  </si>
  <si>
    <t>Александров г, Терешковой ул, 10</t>
  </si>
  <si>
    <t>Александров г, Совхоз Правда ул, 32</t>
  </si>
  <si>
    <t>Александровский р-н, Балакирево пгт, Юго-Западный кв-л, 6</t>
  </si>
  <si>
    <t>Александровский р-н, Балакирево пгт, Вокзальная ул, 13</t>
  </si>
  <si>
    <t>Александровский р-н, Балакирево пгт, 60 лет Октября ул, 2</t>
  </si>
  <si>
    <t>Александровский р-н, Балакирево пгт, Юго-Западный кв-л, 8</t>
  </si>
  <si>
    <t>Александровский р-н, Карабаново г, Садовая ул, 6</t>
  </si>
  <si>
    <t>Александровский р-н, Струнино г, Дубки кв-л, 6</t>
  </si>
  <si>
    <t>Вязники г, Мошина ул, 28</t>
  </si>
  <si>
    <t>Вязники г, Сергиевских ул, 19/9</t>
  </si>
  <si>
    <t>Вязниковский р-н, Степанцево п, Ленина ул, 5</t>
  </si>
  <si>
    <t>Вязниковский р-н, Степанцево п, Ленина ул, 6</t>
  </si>
  <si>
    <t>Вязниковский р-н, Степанцево п, Ленина ул, 13</t>
  </si>
  <si>
    <t>Вязниковский р-н, Эдон д, Советская ул, 28</t>
  </si>
  <si>
    <t>Вязники г, С.Лазо ул, 2</t>
  </si>
  <si>
    <t>Вязники г, Благовещенская ул, 42</t>
  </si>
  <si>
    <t>Вязники г, Ленина ул, 24</t>
  </si>
  <si>
    <t>Вязники г, Владимирская ул, 12/15</t>
  </si>
  <si>
    <t>Вязниковский р-н, Октябрьская д, Садовая ул, 1</t>
  </si>
  <si>
    <t>Вязниковский р-н, Паустово д, Текстильщиков ул, 15</t>
  </si>
  <si>
    <t>Гороховец г, Кирова ул, 5</t>
  </si>
  <si>
    <t>Гороховец г, Лермонтова ул, 4</t>
  </si>
  <si>
    <t>Гороховец г, Мира ул, 13</t>
  </si>
  <si>
    <t>Гороховец г, Кирова ул, 11</t>
  </si>
  <si>
    <t>Гороховец г, Льва Толстого ул, 46</t>
  </si>
  <si>
    <t>Гороховец г, Ленина ул, 29</t>
  </si>
  <si>
    <t>Гороховецкий р-н, Васильчиково д, 22</t>
  </si>
  <si>
    <t>Гороховецкий р-н, Пролетарский п, Новофабричная ул, 22</t>
  </si>
  <si>
    <t>Гороховецкий р-н, Арефино д, Совхозная ул, 1</t>
  </si>
  <si>
    <t>Камешково г, Молодежная ул, 11</t>
  </si>
  <si>
    <t>Камешковский р-н, им Максима Горького п, Морозова ул, 6</t>
  </si>
  <si>
    <t>Киржач г, Красный Октябрь мкр, Южный кв-л, 1</t>
  </si>
  <si>
    <t>Киржач г, Красный Октябрь мкр, Южный кв-л, 4</t>
  </si>
  <si>
    <t>Киржач г, Прибрежный кв-л, 3</t>
  </si>
  <si>
    <t>Киржач г, Привокзальная ул, 3</t>
  </si>
  <si>
    <t>Киржач г, Красный Октябрь мкр, Метленкова ул, 4</t>
  </si>
  <si>
    <t>Киржач г, Прибрежный кв-л, 4</t>
  </si>
  <si>
    <t>Киржачский р-н, Участок Мележи нп, ДРП-1 тер, 4</t>
  </si>
  <si>
    <t>Ковровский р-н, Новый п, Лесная ул, 3</t>
  </si>
  <si>
    <t>Ковровский р-н, Новый п, Школьная ул, 5</t>
  </si>
  <si>
    <t>Ковровский р-н, Малыгино п, Школьная ул, 60</t>
  </si>
  <si>
    <t>Ковровский р-н, Красный Октябрь п, Комсомольская ул, 1</t>
  </si>
  <si>
    <t>Кольчугино г, Коллективная ул, 35</t>
  </si>
  <si>
    <t>Кольчугино г, Щорса ул, 18</t>
  </si>
  <si>
    <t>Кольчугинский р-н, Бавлены п, Центральная ул, 8</t>
  </si>
  <si>
    <t>Меленки г, Красноармейская ул, 92</t>
  </si>
  <si>
    <t>Меленки г, Школьный пер, 4</t>
  </si>
  <si>
    <t>Меленки г, Коммунистическая ул, 28</t>
  </si>
  <si>
    <t>Петушинский р-н, Покров г, 3 Интернационала ул, 52а</t>
  </si>
  <si>
    <t>Петушинский р-н, Покров г, 3 Интернационала ул, 76</t>
  </si>
  <si>
    <t>Петушинский р-н, Покров г, Первомайская ул, 1</t>
  </si>
  <si>
    <t>Петушинский р-н, Покров г, Герасимова ул, 17</t>
  </si>
  <si>
    <t>Петушинский р-н, Покров г, Школьный проезд, 4А</t>
  </si>
  <si>
    <t>Петушки г, Прудная ул, 21</t>
  </si>
  <si>
    <t>Петушки г, Строителей ул, 4</t>
  </si>
  <si>
    <t>Петушки г, Московская ул, 21</t>
  </si>
  <si>
    <t>Петушки г, Вокзальная ул, 58</t>
  </si>
  <si>
    <t>Петушки г, Коммунальная ул, 1</t>
  </si>
  <si>
    <t>Петушинский р-н, Костерево г, им Горького ул, 14</t>
  </si>
  <si>
    <t>Петушинский р-н, Костерево г, Ленина ул, 7</t>
  </si>
  <si>
    <t>Петушинский р-н, Вольгинский п, Новосеменковская ул, 12</t>
  </si>
  <si>
    <t>Петушинский р-н, Воспушка д, Ленина ул, 2</t>
  </si>
  <si>
    <t>Собинский р-н, Лакинск г, 21 Партсъезда ул, 5</t>
  </si>
  <si>
    <t>Собинский р-н, Лакинск г, 21 Партсъезда ул, 9</t>
  </si>
  <si>
    <t>Собинский р-н, Лакинск г, Набережная ул, 5</t>
  </si>
  <si>
    <t>Итого по Колокшанское</t>
  </si>
  <si>
    <t>Собинский р-н, Колокша п, Центральная ул, 2</t>
  </si>
  <si>
    <t>Собинка г, Красная Звезда ул, 4</t>
  </si>
  <si>
    <t>Собинка г, Гагарина ул, 5</t>
  </si>
  <si>
    <t>Собинка г, Рабочий пр-кт, 17</t>
  </si>
  <si>
    <t>Собинский р-н, Ставрово п, Советская ул, 43</t>
  </si>
  <si>
    <t>Собинский р-н, Ставрово п, Ленина ул, 12</t>
  </si>
  <si>
    <t>Судогда г, Красная ул, 20</t>
  </si>
  <si>
    <t>Судогда г, Ленина ул, 54в</t>
  </si>
  <si>
    <t>Судогда г, Гагарина ул, 19</t>
  </si>
  <si>
    <t xml:space="preserve">Итого по Вяткинское </t>
  </si>
  <si>
    <t>Судогодский р-н, Гридино д, Молодежная ул, 10</t>
  </si>
  <si>
    <t>Суздаль г, Калинина ул, 3</t>
  </si>
  <si>
    <t>Суздаль г, Калинина ул, 1</t>
  </si>
  <si>
    <t>Суздаль г, Лоунская ул, 3</t>
  </si>
  <si>
    <t>Суздаль г, Лоунская ул, 5</t>
  </si>
  <si>
    <t>Юрьев-Польский г, Шибанкова ул, 142а</t>
  </si>
  <si>
    <t>Юрьев-Польский г, Чехова ул, 7А</t>
  </si>
  <si>
    <t>Юрьев-Польский г, Шибанкова ул, 8</t>
  </si>
  <si>
    <t>Юрьев-Польский г, Луговая ул, 41</t>
  </si>
  <si>
    <t>Юрьев-Польский р-н, Небылое с, Школьная ул, 9</t>
  </si>
  <si>
    <t>Итого по Краснопламенское</t>
  </si>
  <si>
    <t>Ковров г, Абельмана ул, 4</t>
  </si>
  <si>
    <t>Муром г, Первомайская ул, 101</t>
  </si>
  <si>
    <t xml:space="preserve">Итого по Денисовское </t>
  </si>
  <si>
    <t>Гороховецкий р-н, Чулково п, Парковая ул, 1</t>
  </si>
  <si>
    <t>Собинка г, Лакина ул, 9</t>
  </si>
  <si>
    <t>Собинский р-н, Лакинск г, Ленина пр-кт, 67</t>
  </si>
  <si>
    <t>Собинский р-н, Лакинск г, Советская ул, 63</t>
  </si>
  <si>
    <t>Гусь-Хрустальный г, 50 лет Советской Власти пр-кт, 43</t>
  </si>
  <si>
    <t>Гусь-Хрустальный г, Гусевский п, Пионерская ул, 15</t>
  </si>
  <si>
    <t>Гусь-Хрустальный г, Гусевский п, Октябрьская ул, 7</t>
  </si>
  <si>
    <t>Юрьев-Польский р-н, Сима с, Луговая ул, 3</t>
  </si>
  <si>
    <t>Юрьев-Польский р-н, Сима с, Луговая ул, 4</t>
  </si>
  <si>
    <t>Итого по Новлянское</t>
  </si>
  <si>
    <t>Селивановский р-н, Новлянка п, Молодежная ул, 4</t>
  </si>
  <si>
    <t>Муром г, Льва Толстого ул, 107</t>
  </si>
  <si>
    <t>Муром г, Куликова ул, 15</t>
  </si>
  <si>
    <t>Муром г, Кирова ул, 18</t>
  </si>
  <si>
    <t>Муром г, Лакина ул, 89</t>
  </si>
  <si>
    <t>Муром г, Кожевники ул, 11</t>
  </si>
  <si>
    <t>Собинский р-н, Ставрово п, Советская ул, 92А</t>
  </si>
  <si>
    <t>ООО "АТ плюс"</t>
  </si>
  <si>
    <t>ООО "УК "Жилсервис"</t>
  </si>
  <si>
    <t>ООО  "Управляющая компания №1"</t>
  </si>
  <si>
    <t>ООО "МКД - Сервис"</t>
  </si>
  <si>
    <t>МУП "АЭЛИТА"</t>
  </si>
  <si>
    <t>МУП "РСУ" г.Петушки</t>
  </si>
  <si>
    <t>ООО "Эксперт"</t>
  </si>
  <si>
    <t>МУП г Кольчугино Коммунальник</t>
  </si>
  <si>
    <t>ООО "КОМФОРТ"</t>
  </si>
  <si>
    <t>ООО "ЖЭК №2"</t>
  </si>
  <si>
    <t>ООО"УК"Наш Дом"</t>
  </si>
  <si>
    <t xml:space="preserve">ООО"УК"Наш Дом" </t>
  </si>
  <si>
    <t>ИП Деркач В. Н. </t>
  </si>
  <si>
    <t>МУП "Коммунальщик"</t>
  </si>
  <si>
    <t xml:space="preserve">Блочные </t>
  </si>
  <si>
    <t>2001</t>
  </si>
  <si>
    <t>ООО РСК</t>
  </si>
  <si>
    <t>ООО "УК Содружество"</t>
  </si>
  <si>
    <t>ООО "ПОТЕНЦИАЛ"</t>
  </si>
  <si>
    <t>ООО"Жилтрест"</t>
  </si>
  <si>
    <t>ООО "УК СОДРУЖЕСТВО С"</t>
  </si>
  <si>
    <t>МКП Владимир ЖКХ</t>
  </si>
  <si>
    <t>Монолитные</t>
  </si>
  <si>
    <t>ООО «Мой дом»</t>
  </si>
  <si>
    <t>Непосредственное управление</t>
  </si>
  <si>
    <t>ООО «Жилищник-Центр»</t>
  </si>
  <si>
    <t>Каменные/блочные</t>
  </si>
  <si>
    <t>ООО "ЖКО" </t>
  </si>
  <si>
    <t>ООО "Новая управляющая компания"</t>
  </si>
  <si>
    <t>1957</t>
  </si>
  <si>
    <t>"Нить"</t>
  </si>
  <si>
    <t>ООО "Стройград"</t>
  </si>
  <si>
    <t>ООО "Монолит"</t>
  </si>
  <si>
    <t>ООО "УК Наш Дом"</t>
  </si>
  <si>
    <t>ООО "Уютный дом"</t>
  </si>
  <si>
    <t>ООО "Комсервис+" </t>
  </si>
  <si>
    <t>ООО "ЖЭК № 2"</t>
  </si>
  <si>
    <t>ООО "ЖЭК Никологоры"</t>
  </si>
  <si>
    <t>ООО "Степанцевское ЖКХ"</t>
  </si>
  <si>
    <t xml:space="preserve">ООО УК ЖКХ Собинского района </t>
  </si>
  <si>
    <t>ООО УК "Пономарев С.А." </t>
  </si>
  <si>
    <t>ООО"УК "Меленковского района </t>
  </si>
  <si>
    <t>ООО «Фортуна» </t>
  </si>
  <si>
    <t xml:space="preserve">ООО ДУК "Территория" </t>
  </si>
  <si>
    <t>ООО "Ремстрой Южный"</t>
  </si>
  <si>
    <t>Кирпичные/блочные</t>
  </si>
  <si>
    <t>ООО "Тепломир" </t>
  </si>
  <si>
    <t>ООО УК "Вика"</t>
  </si>
  <si>
    <t>ООО УК "ВИКА" </t>
  </si>
  <si>
    <t>МУП "ЖКХ"</t>
  </si>
  <si>
    <t>ИП Деркач В.Н.</t>
  </si>
  <si>
    <t>ООО "Жилищник" город Суздаль</t>
  </si>
  <si>
    <t>ООО "Управляющая компания № 3"</t>
  </si>
  <si>
    <t>Александров г, Коллективная Аллея ул, 16</t>
  </si>
  <si>
    <t>Александров г, Стрелецкая Набережная ул, 10</t>
  </si>
  <si>
    <t>ООО "УК РЭУ №1"</t>
  </si>
  <si>
    <t>ООО "ДОМОУПРАВ"</t>
  </si>
  <si>
    <t>ООО "УО "РМД"</t>
  </si>
  <si>
    <t>ООО "ЖИЛСТРОЙ"</t>
  </si>
  <si>
    <t>ТСЖ Г.СОБИНКА, УЛ.ЛАКИНА, Д.9</t>
  </si>
  <si>
    <t>ООО "БАЛРЕМСТРОЙ"</t>
  </si>
  <si>
    <t>ООО "Достояние"</t>
  </si>
  <si>
    <t>город Владимир</t>
  </si>
  <si>
    <t>город Гусь-Хрустальный</t>
  </si>
  <si>
    <t>город Муром</t>
  </si>
  <si>
    <t>Асерховское</t>
  </si>
  <si>
    <t>Краснопламенское</t>
  </si>
  <si>
    <t>Новлянское</t>
  </si>
  <si>
    <t>Колокшанское</t>
  </si>
  <si>
    <t xml:space="preserve">Вяткинское </t>
  </si>
  <si>
    <t xml:space="preserve">Денисовское </t>
  </si>
  <si>
    <t>Суздальский р-н, Сокол п, 1</t>
  </si>
  <si>
    <t>Ковров г, Мира пр-кт, 2</t>
  </si>
  <si>
    <t>Владимир г, Краснознаменная ул, 5</t>
  </si>
  <si>
    <t>Владимир г, Растопчина ул, 19</t>
  </si>
  <si>
    <t>Владимир г, Чайковского ул, 38</t>
  </si>
  <si>
    <t>Владимир г, Электроприборовский проезд, 2</t>
  </si>
  <si>
    <t>Владимир г, Василисина ул, 11</t>
  </si>
  <si>
    <t>Владимир г, Ленина пр-кт, 7</t>
  </si>
  <si>
    <t>Владимир г, Суздальская ул, 2</t>
  </si>
  <si>
    <t>Владимир г, Гагарина ул, 29</t>
  </si>
  <si>
    <t>Владимир г, Большая Нижегородская ул, 67г</t>
  </si>
  <si>
    <t>Владимир г, Каманина ул, 26</t>
  </si>
  <si>
    <t>Владимир г, Судогодское ш, 1</t>
  </si>
  <si>
    <t>МКП г.Владимира «ЖКХ»</t>
  </si>
  <si>
    <t>ООО «Владимирская управляющая компания»</t>
  </si>
  <si>
    <t>ООО «МУПЖРЭП»</t>
  </si>
  <si>
    <t>МУП г.Владимира «ГУК»</t>
  </si>
  <si>
    <t>Ковров г, Брюсова ул, 54</t>
  </si>
  <si>
    <t>Ковров г, Волго-Донская ул, 7в</t>
  </si>
  <si>
    <t>Ковров г, Запольная ул, 28</t>
  </si>
  <si>
    <t>Ковров г, Зои Космодемьянской ул, 30</t>
  </si>
  <si>
    <t>Ковров г, Свердлова ул, 15</t>
  </si>
  <si>
    <t>ТСЖ "Мир-2"</t>
  </si>
  <si>
    <t>ООО УК "Сфера"</t>
  </si>
  <si>
    <t>ЖСК № 55</t>
  </si>
  <si>
    <t>ООО УК "Восточное"</t>
  </si>
  <si>
    <t>ООО «ТЭК»</t>
  </si>
  <si>
    <t>ООО»Жилищник-Центр»</t>
  </si>
  <si>
    <t>ООО УК «Старый город»</t>
  </si>
  <si>
    <t>ООО ЖРП «Заклязьменский»</t>
  </si>
  <si>
    <t>Владимир г, Ленина пр-кт, 5</t>
  </si>
  <si>
    <t>Владимир г, Ленина пр-кт, 20</t>
  </si>
  <si>
    <t>Владимир г, Каманина ул, 27</t>
  </si>
  <si>
    <t>МКП г.Владимир "ЖКХ"</t>
  </si>
  <si>
    <t>Ковровский р-н, Мелехово пгт, Советская ул, 14</t>
  </si>
  <si>
    <t>Камешковский р-н, Дружба п, Мира ул, 9</t>
  </si>
  <si>
    <t>Многоквартирные дома, при ремонте которых подрядными организациями не устранены недостатки в установленные договорами сроки своими силами</t>
  </si>
  <si>
    <t>Итого по округ Муром</t>
  </si>
  <si>
    <t>Итого по ЗАТО город Радужный</t>
  </si>
  <si>
    <t>Итого по Второвское</t>
  </si>
  <si>
    <t>Александров г, Терешковой ул, 7 корп. 3</t>
  </si>
  <si>
    <t>Александров г, Терешковой ул, 8</t>
  </si>
  <si>
    <t>Александров г, Вокзальная ул, 20</t>
  </si>
  <si>
    <t>Александров г, Лермонтова ул, 24 корп. 1</t>
  </si>
  <si>
    <t>Александров г, Ленина ул, 1 корп. 1</t>
  </si>
  <si>
    <t>Вязниковский р-н, Никологоры п, 1-я Пролетарская ул, 61</t>
  </si>
  <si>
    <t>Вязниковский р-н, Никологоры п, Е.Игошина ул, 22а</t>
  </si>
  <si>
    <t>Владимир г, Ленина пр-кт, 27Б</t>
  </si>
  <si>
    <t>Владимир г, Оргтруд мкр, Молодежная ул, 12</t>
  </si>
  <si>
    <t>Владимир г, Лермонтова ул, 22</t>
  </si>
  <si>
    <t>Владимир г, Добросельская ул, 193</t>
  </si>
  <si>
    <t>Владимир г, Оргтруд мкр, Молодежная ул, 11</t>
  </si>
  <si>
    <t>Владимир г, Горького ул, 63</t>
  </si>
  <si>
    <t>Владимир г, Полины Осипенко ул, 4</t>
  </si>
  <si>
    <t>Владимир г, Рабочий спуск, 3</t>
  </si>
  <si>
    <t>Владимир г, Луначарского ул, 33</t>
  </si>
  <si>
    <t>Вязники г, Железнодорожная ул, 44</t>
  </si>
  <si>
    <t>Вязники г, Нововязники мкр, Юбилейная ул, 6</t>
  </si>
  <si>
    <t>Вязники г, Ленина ул, 8</t>
  </si>
  <si>
    <t>Вязники г, Железнодорожная ул, 51</t>
  </si>
  <si>
    <t>Вязники г, Новая ул, 12</t>
  </si>
  <si>
    <t>Вязники г, Герцена ул, 38а</t>
  </si>
  <si>
    <t>Вязниковский р-н, Большевысоково д, Садовая ул, 13</t>
  </si>
  <si>
    <t>Вязниковский р-н, Октябрьский п, Советская ул, 1</t>
  </si>
  <si>
    <t>Вязниковский р-н, Октябрьский п, Первомайская ул, 2</t>
  </si>
  <si>
    <t>Вязниковский р-н, Лукново п, Фабричная ул, 25</t>
  </si>
  <si>
    <t>Ковров г, Брюсова ул, 58</t>
  </si>
  <si>
    <t>Ковров г, Ленина пр-кт, 11</t>
  </si>
  <si>
    <t>Ковров г, Тимофея Павловского ул, 2</t>
  </si>
  <si>
    <t>Ковров г, Текстильная ул, 2а</t>
  </si>
  <si>
    <t>Ковров г, Абельмана ул, 38</t>
  </si>
  <si>
    <t>Ковров г, Брюсова ул, 23</t>
  </si>
  <si>
    <t>Ковров г, Ленина пр-кт, 7</t>
  </si>
  <si>
    <t>Ковров г, Дегтярева ул, 4</t>
  </si>
  <si>
    <t>Ковров г, Брюсова ул, 27</t>
  </si>
  <si>
    <t>Ковров г, Ленина пр-кт, 9</t>
  </si>
  <si>
    <t>Ковров г, Ленина пр-кт, 38А</t>
  </si>
  <si>
    <t>Ковров г, Либерецкая ул, 4</t>
  </si>
  <si>
    <t>Ковров г, Чернышевского ул, 2</t>
  </si>
  <si>
    <t>Ковров г, Либерецкая ул, 9</t>
  </si>
  <si>
    <t>Ковров г, Социалистическая ул, 27</t>
  </si>
  <si>
    <t>Ковров г, Еловая ул, 84</t>
  </si>
  <si>
    <t>Ковров г, Летняя ул, 35</t>
  </si>
  <si>
    <t>Ковров г, Социалистическая ул, 3</t>
  </si>
  <si>
    <t>Ковров г, Белинского ул, 3</t>
  </si>
  <si>
    <t>Ковров г, Дегтярева ул, 204</t>
  </si>
  <si>
    <t>Ковров г, Лесная ул, 11</t>
  </si>
  <si>
    <t>Ковров г, Ленина пр-кт, 18</t>
  </si>
  <si>
    <t>Муром г, Кирова ул, 30</t>
  </si>
  <si>
    <t>Муром г, Владимирская ул, 7</t>
  </si>
  <si>
    <t>Муром г, Энгельса ул, 1</t>
  </si>
  <si>
    <t>Муром г, Советская ул, 73А</t>
  </si>
  <si>
    <t>Муром г, Южная ул, 22</t>
  </si>
  <si>
    <t>Муром г, Воровского ул, 91а</t>
  </si>
  <si>
    <t>Муром г, Куйбышева ул, 1г</t>
  </si>
  <si>
    <t>Муром г, Пролетарская ул, 73</t>
  </si>
  <si>
    <t>Муром г, Владимирская ул, 6</t>
  </si>
  <si>
    <t>Муром г, Радиозаводское ш, 20</t>
  </si>
  <si>
    <t>Муром г, Серова ул, 40</t>
  </si>
  <si>
    <t>Радужный г, 1-й кв-л, 18</t>
  </si>
  <si>
    <t>Радужный г, 1-й кв-л, 23</t>
  </si>
  <si>
    <t>Радужный г, 1-й кв-л, 27</t>
  </si>
  <si>
    <t>Радужный г, 1-й кв-л, 29</t>
  </si>
  <si>
    <t>Вязниковский р-н, Мстёра ст, Мира ул, 1</t>
  </si>
  <si>
    <t>Вязниковский р-н, Мстёра ст, Мира ул, 2</t>
  </si>
  <si>
    <t>Камешковский р-н, Второво с, Молодежная ул, 5</t>
  </si>
  <si>
    <t>Суздальский р-н, Сновицы с, Школьная ул, 8</t>
  </si>
  <si>
    <t>Петушки г, Московская ул, 9</t>
  </si>
  <si>
    <t>Петушки г, Луговая ул, 2</t>
  </si>
  <si>
    <t>Петушки г, Лесная ул, 20</t>
  </si>
  <si>
    <t>Камешковский р-н, им Карла Маркса п, Карла Маркса ул, 2</t>
  </si>
  <si>
    <t>Киржач г, Красный Октябрь мкр, Пушкина ул, 26</t>
  </si>
  <si>
    <t>Петушинский р-н, Покров г, Больничный проезд, 6</t>
  </si>
  <si>
    <t>Петушинский р-н, Покров г, Ленина ул, 124</t>
  </si>
  <si>
    <t>Петушинский р-н, Труд п, Советская ул, 1</t>
  </si>
  <si>
    <t>Петушинский р-н, Труд п, Советская ул, 2</t>
  </si>
  <si>
    <t>Судогодский р-н, Бег п, Октябрьская ул, 15</t>
  </si>
  <si>
    <t>Гороховецкий р-н, Выезд д, Полевая ул, 3</t>
  </si>
  <si>
    <t>Собинский р-н, Лакинск г, Пушкина ул, 11</t>
  </si>
  <si>
    <t>Собинский р-н, Лакинск г, Мира ул, 7а</t>
  </si>
  <si>
    <t>Собинский р-н, Лакинск г, Ленина пр-кт, 8/3</t>
  </si>
  <si>
    <t>Селивановский р-н, Новлянка д, Совхозная ул, 26</t>
  </si>
  <si>
    <t>Селивановский р-н, Малышево с, Школьная ул, 4</t>
  </si>
  <si>
    <t>Ковровский р-н, Первомайский п, 17</t>
  </si>
  <si>
    <t>Петушинский р-н, Головино д, Полевая ул, 1</t>
  </si>
  <si>
    <t>Судогодский р-н, Мошок с, Заводская ул, 26</t>
  </si>
  <si>
    <t>Владимир г, Добросельская ул, 198</t>
  </si>
  <si>
    <t>Владимир г, Никитская ул, 23</t>
  </si>
  <si>
    <t>Владимир г, Труда ул, 8</t>
  </si>
  <si>
    <t>Владимир г, Усти-на-Лабе ул, 17</t>
  </si>
  <si>
    <t>Ковров г, Ленина пр-кт, 25</t>
  </si>
  <si>
    <t>Ковров г, Муромская ул, 1</t>
  </si>
  <si>
    <t>Ковров г, Тимофея Павловского ул, 6</t>
  </si>
  <si>
    <t>Ковровский р-н, Мелехово пгт, Пионерская ул, 3</t>
  </si>
  <si>
    <t>Кольчугинский р-н, Дубки п, Совхозная ул, 4</t>
  </si>
  <si>
    <t>Кольчугинский р-н, Дубки п, Совхозная ул, 6</t>
  </si>
  <si>
    <t>Муром г, Пролетарская ул, 41</t>
  </si>
  <si>
    <t>Петушки г, Спортивная ул, 6а</t>
  </si>
  <si>
    <t>ООО "ЖКХ "УЮТ""</t>
  </si>
  <si>
    <t>ООО "ЖКХ "УЮТ" </t>
  </si>
  <si>
    <t>МКП г. Владимира "ЖКХ"</t>
  </si>
  <si>
    <t>ООО "ЖРЭП № 8" </t>
  </si>
  <si>
    <t>ООО "Наш дом" </t>
  </si>
  <si>
    <t>ООО "ЖЭК № 4"</t>
  </si>
  <si>
    <t>ООО"ЖЭК№3" </t>
  </si>
  <si>
    <t>ООО "УК Сфера"</t>
  </si>
  <si>
    <t>ООО УК "Ковровтеплострой"</t>
  </si>
  <si>
    <t>ООО "УК "Веста" </t>
  </si>
  <si>
    <t>ООО "УМД Континент" </t>
  </si>
  <si>
    <t>ООО УК "Согласие" </t>
  </si>
  <si>
    <t>ООО УК "УПРАВДОМ"</t>
  </si>
  <si>
    <t>ООО УК "ВИКА"</t>
  </si>
  <si>
    <t>ТСН "КИРОВА 30"</t>
  </si>
  <si>
    <t>ООО "Фортуна" </t>
  </si>
  <si>
    <t>ООО "РЕМСТРОЙ Южный" </t>
  </si>
  <si>
    <t>ООО «Фортуна»</t>
  </si>
  <si>
    <t>ООО "РЕМСТРОЙ ЮЖНЫЙ"</t>
  </si>
  <si>
    <t>ООО "ФОРТУНА</t>
  </si>
  <si>
    <t>ООО "ФОРТУНА"</t>
  </si>
  <si>
    <t>ТСЖ "СНОВИЦЫ"</t>
  </si>
  <si>
    <t>МУП "РСУ" г. Петушки</t>
  </si>
  <si>
    <t xml:space="preserve"> "Карла Маркса 2"</t>
  </si>
  <si>
    <t>ООО "УК ПОКРОВ"</t>
  </si>
  <si>
    <t>ООО "ЭКСПЕРТ"</t>
  </si>
  <si>
    <t>ООО "СМК-РЕКОНСТРУКЦИЯ"</t>
  </si>
  <si>
    <t>2016</t>
  </si>
  <si>
    <t>Владимир г, Верхняя Дуброва ул, 16</t>
  </si>
  <si>
    <t>Владимир г, Московское ш, 1</t>
  </si>
  <si>
    <t>Гороховец г, Краснова ул, 5</t>
  </si>
  <si>
    <t>Гороховец г, Полевая ул, 1</t>
  </si>
  <si>
    <t>Гороховецкий р-н, Торфопредприятия Большое п, Октябрьская ул, 8</t>
  </si>
  <si>
    <t>Гороховецкий р-н, Галицы п, Пролетарская ул, 34</t>
  </si>
  <si>
    <t>Ковров г, Киркижа ул, 30</t>
  </si>
  <si>
    <t>Ковров г, Лопатина ул, 23</t>
  </si>
  <si>
    <t>Ковров г, Машиностроителей ул, 11</t>
  </si>
  <si>
    <t>Вязники г, Благовещенская ул, 38</t>
  </si>
  <si>
    <t>Владимир г, Токарева ул, 10</t>
  </si>
  <si>
    <t>Владимир г, Горького ул, 57</t>
  </si>
  <si>
    <t>Владимир г, Диктора Левитана ул, 39</t>
  </si>
  <si>
    <t>Владимир г, Егорова ул, 2</t>
  </si>
  <si>
    <t>Владимир г, Дворянская ул, 13</t>
  </si>
  <si>
    <t>Владимир г, Асаткина ул, 12</t>
  </si>
  <si>
    <t>Суздальский р-н, Новоалександрово с, Студенческая ул, 6</t>
  </si>
  <si>
    <t>Гороховец г, Мира ул, 18</t>
  </si>
  <si>
    <t>Гороховец г, Советская ул, 13</t>
  </si>
  <si>
    <t>Вязники г, Соборная пл, 4</t>
  </si>
  <si>
    <t>Муром г, Мечникова ул, 81</t>
  </si>
  <si>
    <t>Петушинский р-н, Вольгинский п, Новосеменковская ул, 5</t>
  </si>
  <si>
    <t>Петушинский р-н, Пахомово д, 37</t>
  </si>
  <si>
    <t>Петушинский р-н, Городищи п, Октябрьская 2-я ул, 25</t>
  </si>
  <si>
    <t>Камешковский р-н, им Максима Горького п, Шоссейная ул, 1</t>
  </si>
  <si>
    <t>Радужный г, 1-й кв-л, 20</t>
  </si>
  <si>
    <t>Александров г, Терешковой ул, 7 корп. 2</t>
  </si>
  <si>
    <t>Гусь-Хрустальный г, Каляевская ул, 3</t>
  </si>
  <si>
    <t>Киржач г, Больничный проезд, 4</t>
  </si>
  <si>
    <t>Собинский р-н, Лакинск г, 21 Партсъезда ул, 11</t>
  </si>
  <si>
    <t>Юрьев-Польский г, Герцена ул, 13А</t>
  </si>
  <si>
    <t>Юрьев-Польский г, Герцена ул, 15</t>
  </si>
  <si>
    <t>Муромский р-н, Фабрики им П.Л.Войкова п, 25</t>
  </si>
  <si>
    <t>Муром г, Спортивная ул, 10</t>
  </si>
  <si>
    <t>Александровский р-н, Карабаново г, Мира ул, 16</t>
  </si>
  <si>
    <t>Петушинский р-н, Вольгинский п, Старовская ул, 3</t>
  </si>
  <si>
    <t>МКП Г. ВЛАДИМИРА "ЖКХ"</t>
  </si>
  <si>
    <t>ООО УК "СОГЛАСИЕ"</t>
  </si>
  <si>
    <t>округ Муром</t>
  </si>
  <si>
    <t>ЗАТО город Радужный</t>
  </si>
  <si>
    <t>Второвское</t>
  </si>
  <si>
    <t>Камешково г, Рабочая ул, 7В</t>
  </si>
  <si>
    <t>Ковровский р-н, подстанция Заря р-н, 3</t>
  </si>
  <si>
    <t>Ковровский р-н, Мелехово пгт, Советская ул, 9</t>
  </si>
  <si>
    <t>ООО "УПРАВЛЯЮЩАЯ ОРГАНИЗАЦИЯ" Г.ГУСЬ-ХРУСТАЛЬНЫЙ</t>
  </si>
  <si>
    <t>Кирпичные, блочные</t>
  </si>
  <si>
    <t>ООО "Домоуправ" </t>
  </si>
  <si>
    <t>ООО "ЖКО Роско"</t>
  </si>
  <si>
    <t>1880</t>
  </si>
  <si>
    <t>"Галицы"</t>
  </si>
  <si>
    <t>ООО "УЮТ"</t>
  </si>
  <si>
    <t>ООО "Жилфонд"</t>
  </si>
  <si>
    <t>ООО "МОНОЛИТ"</t>
  </si>
  <si>
    <t>УК "Порядок"</t>
  </si>
  <si>
    <t>Гороховец г, Ленина ул, 15</t>
  </si>
  <si>
    <t>Владимир г, Асаткина ул, 15</t>
  </si>
  <si>
    <t>Владимир г, Завадского ул, 13</t>
  </si>
  <si>
    <t>Владимир г, Юрьевец мкр, Институтский городок, 4</t>
  </si>
  <si>
    <t>Владимир г, Кирова ул, 10</t>
  </si>
  <si>
    <t>Владимир г, Полины Осипенко ул, 15</t>
  </si>
  <si>
    <t>Владимир г, Труда ул, 32</t>
  </si>
  <si>
    <t>ООО «Жилищная компания»</t>
  </si>
  <si>
    <t>ООО «УК Лидер»</t>
  </si>
  <si>
    <t>Муром г, Кленовая ул, 1/3</t>
  </si>
  <si>
    <t>Гусь-Хрустальный г, Октябрьская ул, 2</t>
  </si>
  <si>
    <t>Гусь-Хрустальный г, Ломоносова ул, 24а</t>
  </si>
  <si>
    <t>Киржач г, Совхозная ул, 1</t>
  </si>
  <si>
    <t>Александров г, Лермонтова ул, 14</t>
  </si>
  <si>
    <t>Каменные, блочные</t>
  </si>
  <si>
    <t>Петушинский р-н, Покров г, 3 Интернационала ул, 68</t>
  </si>
  <si>
    <t>ООО "МКД-СЕРВИС"</t>
  </si>
  <si>
    <t>МУП города Владимира "ГУК" </t>
  </si>
  <si>
    <t>Владимир г, Семашко ул, 13</t>
  </si>
  <si>
    <t>Ковров г, Блинова ул, 74</t>
  </si>
  <si>
    <t>Ковров г, Сосновая ул, 28</t>
  </si>
  <si>
    <t>ООО УК "Парадигма"</t>
  </si>
  <si>
    <t>ООО "УК"Парадигма"</t>
  </si>
  <si>
    <t>ООО "Наше ЖКО"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</si>
  <si>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№742 от 05.10.2018) </t>
  </si>
  <si>
    <t>Гороховец г, Ленина ул, 6</t>
  </si>
  <si>
    <t>Гороховец г, Набережная ул, 28</t>
  </si>
  <si>
    <t>Судогодский р-н, Гонобилово д, Центральная ул, 1</t>
  </si>
  <si>
    <t>Владимир г, Офицерская ул, 1</t>
  </si>
  <si>
    <t>Владимир г, Юбилейная ул, 78</t>
  </si>
  <si>
    <t>Владимир г, Даргомыжского ул, 10/20</t>
  </si>
  <si>
    <t>Владимир г, Диктора Левитана ул, 55А</t>
  </si>
  <si>
    <t>Владимир г, Лакина ул, 151</t>
  </si>
  <si>
    <t>Владимир г, Чайковского ул, 32</t>
  </si>
  <si>
    <t>Владимир г, Модорова ул, 8</t>
  </si>
  <si>
    <t>Владимир г, Фейгина ул, 6/25</t>
  </si>
  <si>
    <t>Александров г, Юбилейная ул, 2</t>
  </si>
  <si>
    <t>Александров г, 1-я Крестьянская ул, 16</t>
  </si>
  <si>
    <t>Александров г, Охотный луг ул, 23</t>
  </si>
  <si>
    <t>Александров г, Маяковского ул, 18</t>
  </si>
  <si>
    <t>Муром г, Пушкина ул, 16</t>
  </si>
  <si>
    <t>Гусь-Хрустальный г, Ленинградская ул, 1а</t>
  </si>
  <si>
    <t>Гусь-Хрустальный г, Транспортная ул, 7</t>
  </si>
  <si>
    <t>Гусь-Хрустальный г, Транспортная ул, 8</t>
  </si>
  <si>
    <t>Гусь-Хрустальный г, Фрезерная ул, 4</t>
  </si>
  <si>
    <t>Владимир г, Перекопский военный городок, 20</t>
  </si>
  <si>
    <t>Владимир г, Перекопский военный городок, 10</t>
  </si>
  <si>
    <t>Владимир г, Василисина ул, 1</t>
  </si>
  <si>
    <t>Владимир г, Доватора ул, 3А</t>
  </si>
  <si>
    <t>Владимир г, Завадского ул, 3</t>
  </si>
  <si>
    <t>Владимир г, Ленина пр-кт, 64</t>
  </si>
  <si>
    <t>Владимир г, Ленина пр-кт, 68</t>
  </si>
  <si>
    <t>Владимир г, Ставровская ул, 2Б</t>
  </si>
  <si>
    <t>Владимир г, Тихонравова ул, 10</t>
  </si>
  <si>
    <t>ООО «ЖилСтройСтандарт»</t>
  </si>
  <si>
    <t>ТСЖ «Центр»</t>
  </si>
  <si>
    <t>ООО «КЭЧ»</t>
  </si>
  <si>
    <t>ООО  «Универсал Строй»»</t>
  </si>
  <si>
    <t>ООО «Квартал»</t>
  </si>
  <si>
    <t>ООО "Жилищник</t>
  </si>
  <si>
    <t>ООО «Жилремстрой»</t>
  </si>
  <si>
    <t>ЗАО «Альтернатива»</t>
  </si>
  <si>
    <t xml:space="preserve"> ООО «ТЭК»</t>
  </si>
  <si>
    <t xml:space="preserve"> ООО «УниверсалСтрой»</t>
  </si>
  <si>
    <t xml:space="preserve"> ООО «Жилремстрой»</t>
  </si>
  <si>
    <t xml:space="preserve"> МУП г.Владимира «ГУК»</t>
  </si>
  <si>
    <t>НО</t>
  </si>
  <si>
    <t>ООО «Оникс»</t>
  </si>
  <si>
    <t xml:space="preserve"> ООО «Жилищник»</t>
  </si>
  <si>
    <t>ООО «ВУК»</t>
  </si>
  <si>
    <t>ООО "ЖКС "Алдега"</t>
  </si>
  <si>
    <t>Муром г, Филатова ул, 19</t>
  </si>
  <si>
    <t>Муром г, Цветочный б-р, 4</t>
  </si>
  <si>
    <t>Радужный г, 1-й кв-л, 24</t>
  </si>
  <si>
    <t>п Красный Октябрь ул Мира д.15</t>
  </si>
  <si>
    <t>п Красный Октябрь ул Комсомольская д.1</t>
  </si>
  <si>
    <t>х</t>
  </si>
  <si>
    <t>п Малыгино ул Юбилейная д.51</t>
  </si>
  <si>
    <t>п Мелехово ул Первомайская д.53</t>
  </si>
  <si>
    <t>г Гусь-Хрустальный ул Дружбы Народов д.8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</si>
  <si>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</t>
  </si>
  <si>
    <t xml:space="preserve">Итого по Владимирской области по 2020 году: </t>
  </si>
  <si>
    <t>Юрьев-Польский г, Шибанкова ул, 160</t>
  </si>
  <si>
    <t>Итого по Владимирской области по 2020 году:</t>
  </si>
  <si>
    <t>в том числе нераспределенный остаток</t>
  </si>
  <si>
    <t>Итого по Владимирской области на 2020 год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</si>
  <si>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от 05.10.2018 №742) </t>
  </si>
  <si>
    <t>Информация по многоквартирным домам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(данные уточняются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</si>
  <si>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в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</si>
  <si>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Перечень многоквартирных домов, по которым предоставляется дополнительная помощь при возникновении неотложной необходимости в проведении капитального ремонта общего имущества в  многоквартирных домах в форме субсидии за счет средств областного бюджета (адресное распределение указывается по мере принятия решений о предоставлении субсидии в соответствии с постановлением администрации области от 05.10.2018 №742)</t>
  </si>
  <si>
    <t>Ковров г, Волго-Донская ул, 10/1</t>
  </si>
  <si>
    <t>Ковров г, Федорова ул, 93</t>
  </si>
  <si>
    <t>Муром г, Цветочный б-р, 3</t>
  </si>
  <si>
    <t>Муром г, Советская ул, 66</t>
  </si>
  <si>
    <t>Ковров г, Брюсова ул, 52/1</t>
  </si>
  <si>
    <t>ООО"УК"ЖКО РОСКО"</t>
  </si>
  <si>
    <t>Кольчугино г, Мира ул, 15</t>
  </si>
  <si>
    <t>Кольчугино г, Луговая ул, 7</t>
  </si>
  <si>
    <t>Собинский р-н, Заречное с, Парковая ул, 5</t>
  </si>
  <si>
    <t>Собинский р-н, Заречное с, Парковая ул, 2</t>
  </si>
  <si>
    <t>Собинский р-н, Заречное с, Парковая ул, 3</t>
  </si>
  <si>
    <t>Собинский р-н, Заречное с, Парковая ул, 4</t>
  </si>
  <si>
    <t>Александров г, Совхоз Правда ул, 37</t>
  </si>
  <si>
    <t>Петушинский р-н, Костерево г, 40 лет Октября ул, 2</t>
  </si>
  <si>
    <t>Владимир г, Михайловская ул, 53</t>
  </si>
  <si>
    <t>Владимир г, Лакина ул, 159</t>
  </si>
  <si>
    <t>Владимир г, Фатьянова ул, 28</t>
  </si>
  <si>
    <t>Александров г, Стрелецкая Набережная ул, 9</t>
  </si>
  <si>
    <t>ТСЖ "Стрелецкий"</t>
  </si>
  <si>
    <t>ООО"УК ЛЮКС"</t>
  </si>
  <si>
    <t>ООО "ЖЭУ"</t>
  </si>
  <si>
    <t>ООО "ЖРЭП № 8"</t>
  </si>
  <si>
    <t>Гусь-Хрустальный р-н, Иванищи п, Южная ул, 1а</t>
  </si>
  <si>
    <t>Гусь-Хрустальный р-н, Иванищи п, Южная ул, 6</t>
  </si>
  <si>
    <t>Ковровский р-н, Гигант п, Первомайская ул, 15</t>
  </si>
  <si>
    <t>Гусь-Хрустальный г, Транспортная ул, 4а</t>
  </si>
  <si>
    <t>Петушинский р-н, Андреевское с, 11</t>
  </si>
  <si>
    <t>Каркаснозасыпной</t>
  </si>
  <si>
    <t>Владимир г, Перекопский военный городок, 8</t>
  </si>
  <si>
    <t>Владимир г, Перекопский военный городок, 14</t>
  </si>
  <si>
    <t>Муром г, Ленинградская ул, 29 корп. 2</t>
  </si>
  <si>
    <t>Владимир г, Безыменского ул, 12</t>
  </si>
  <si>
    <t>Владимир г, Усти-на-Лабе ул, 14</t>
  </si>
  <si>
    <t>Меленковский р-н, Денятино с, Механизаторов ул, 1</t>
  </si>
  <si>
    <t>Итого по Денятинское</t>
  </si>
  <si>
    <t>ТСЖ "Денятино"</t>
  </si>
  <si>
    <t>Денятинское</t>
  </si>
  <si>
    <t>Срок проведения капитального ремонта в           МКД</t>
  </si>
  <si>
    <t>замена плоской кровли на           стропильную</t>
  </si>
  <si>
    <t>капитальный ремонт внутридомовых инженерных систем вентиляции и дымоудаления при капитальном            ремонте крыш</t>
  </si>
  <si>
    <t>ремонт внутридомовых инженерных               систем теплоснабжения с заменой отопительных приборов (радиаторов) в               местах общего пользования и                    отопительных приборов (радиаторов), расположенных в жилых помещениях,         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</si>
  <si>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           канализации</t>
  </si>
  <si>
    <t>ремонт выпусков системы              водоотведения до первого                          смотрового колодца при капитальном               ремонте внутридомовых инженерных                      систем водоотведения</t>
  </si>
  <si>
    <t>установка узлов управления и                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</si>
  <si>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          капитального ремонта внутридомовых инженерных систем теплоснабжения</t>
  </si>
  <si>
    <t>авторский надзор при выполнении работ             по  МКД, имеющих статус объекта культурного наследия (памятника истории             и культуры) народов РФ</t>
  </si>
  <si>
    <t>Итого по Владимирской области за период 2020-2022 годы:</t>
  </si>
  <si>
    <t>Итого по Владимирской области в 2020 году:</t>
  </si>
  <si>
    <t>Киржачский р-н, Горка п, Шелковиков ул, 6</t>
  </si>
  <si>
    <t>Итого по Горкинское</t>
  </si>
  <si>
    <t>Информация о ранее проведенных отдельных работах по капитальному ремонту общего имущества многоквартирных домов на территории Владимирской области в период 2020- 2022 годов</t>
  </si>
  <si>
    <t>Владимир г, Стасова ул, 31</t>
  </si>
  <si>
    <t>Срок проведения капитального ремонта в МКД</t>
  </si>
  <si>
    <t>замена плоской кровли на              стропильную</t>
  </si>
  <si>
    <t>ремонт внутридомовых инженерных систем теплоснабжения с заменой отопительных приборов (радиаторов)           в местах общего пользования и отопительных приборов (радиаторов), расположенных в жилых помещениях, не имеющих отключающих        устройств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</si>
  <si>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         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</si>
  <si>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          внутридомовых инженерных систем теплоснабжения</t>
  </si>
  <si>
    <t>авторский надзор при выполнении работ по  МКД, имеющих статус объекта культурного наследия (памятника истории и культуры)          народов РФ</t>
  </si>
  <si>
    <t>Кольчугино г, Лермонтова ул, 5</t>
  </si>
  <si>
    <t>Владимир г, Тракторная ул, 4</t>
  </si>
  <si>
    <t>Владимир г, Балакирева ул, 27</t>
  </si>
  <si>
    <t>Владимир г, Безыменского ул, 11</t>
  </si>
  <si>
    <t>Владимир г, Белоконской ул, 15Б</t>
  </si>
  <si>
    <t>Владимир г, Благонравова ул, 5</t>
  </si>
  <si>
    <t>Владимир г, Большая Нижегородская ул, 27а</t>
  </si>
  <si>
    <t>Владимир г, Варваринский проезд, 3</t>
  </si>
  <si>
    <t>Владимир г, Верхняя Дуброва ул, 3</t>
  </si>
  <si>
    <t>Владимир г, Верхняя Дуброва ул, 26А</t>
  </si>
  <si>
    <t>Владимир г, Верхняя Дуброва ул, 26Г</t>
  </si>
  <si>
    <t>Владимир г, Горького ул, 125</t>
  </si>
  <si>
    <t>Владимир г, Горького ул, 129</t>
  </si>
  <si>
    <t>Владимир г, Красноармейская ул, 46</t>
  </si>
  <si>
    <t>Владимир г, Куйбышева ул, 66а</t>
  </si>
  <si>
    <t>Владимир г, Ленина пр-кт, 13Б</t>
  </si>
  <si>
    <t>Владимир г, Ленина пр-кт, 32</t>
  </si>
  <si>
    <t>Владимир г, Ленина пр-кт, 34</t>
  </si>
  <si>
    <t>Владимир г, Мира ул, 15</t>
  </si>
  <si>
    <t>Владимир г, Мира ул, 4Б</t>
  </si>
  <si>
    <t>Владимир г, Народная ул, 8</t>
  </si>
  <si>
    <t>Владимир г, Нижняя Дуброва ул, 21А</t>
  </si>
  <si>
    <t>Владимир г, Нижняя Дуброва ул, 34</t>
  </si>
  <si>
    <t>Владимир г, Нижняя Дуброва ул, 42</t>
  </si>
  <si>
    <t>Владимир г, Никитина ул, 4А</t>
  </si>
  <si>
    <t>Владимир г, Октябрьский пр-кт, 25</t>
  </si>
  <si>
    <t>Владимир г, Октябрьский пр-кт, 36</t>
  </si>
  <si>
    <t>Владимир г, Сакко и Ванцетти ул, 23Б</t>
  </si>
  <si>
    <t>Владимир г, Северная ул, 26</t>
  </si>
  <si>
    <t>Владимир г, Соколова-Соколенка ул, 16</t>
  </si>
  <si>
    <t>Владимир г, Соколова-Соколенка ул, 3Б</t>
  </si>
  <si>
    <t>Владимир г, Соколова-Соколенка ул, 29</t>
  </si>
  <si>
    <t>Владимир г, Соколова-Соколенка ул, 30</t>
  </si>
  <si>
    <t>Владимир г, Стрелецкая ул, 36А</t>
  </si>
  <si>
    <t>Владимир г, Суздальский пр-кт, 13А</t>
  </si>
  <si>
    <t>Владимир г, Тихонравова ул, 9</t>
  </si>
  <si>
    <t>Владимир г, Тихонравова ул, 11</t>
  </si>
  <si>
    <t>Владимир г, Юбилейная ул, 20</t>
  </si>
  <si>
    <t>Владимир г, Хирурга Орлова ул, 2б</t>
  </si>
  <si>
    <t>Владимир г, Чайковского ул, 25А</t>
  </si>
  <si>
    <t>Владимир г, Красноармейская ул, 43Г</t>
  </si>
  <si>
    <t>Владимир г, Безыменского ул, 4</t>
  </si>
  <si>
    <t>Владимир г, Верхняя Дуброва ул, 18Б</t>
  </si>
  <si>
    <t>Владимир г, Верхняя Дуброва ул, 38Б</t>
  </si>
  <si>
    <t>Владимир г, Диктора Левитана ул, 5</t>
  </si>
  <si>
    <t>Владимир г, Добросельская ул, 199а</t>
  </si>
  <si>
    <t>Владимир г, Добросельская ул, 207</t>
  </si>
  <si>
    <t>Владимир г, Комиссарова ул, 13</t>
  </si>
  <si>
    <t>Владимир г, Комиссарова ул, 23</t>
  </si>
  <si>
    <t>Владимир г, Лакина проезд, 8</t>
  </si>
  <si>
    <t>Владимир г, Лесной мкр, Лесная ул, 6</t>
  </si>
  <si>
    <t>Владимир г, Нижняя Дуброва ул, 32А</t>
  </si>
  <si>
    <t>Владимир г, Нижняя Дуброва ул, 46</t>
  </si>
  <si>
    <t>Владимир г, Нижняя Дуброва ул, 46Б</t>
  </si>
  <si>
    <t>Владимир г, Октябрьский пр-кт, 27</t>
  </si>
  <si>
    <t>Владимир г, Оргтруд мкр, Молодежная ул, 15</t>
  </si>
  <si>
    <t>Владимир г, Оргтруд мкр, Молодежная ул, 18</t>
  </si>
  <si>
    <t>Владимир г, Оргтруд мкр, Молодежная ул, 19</t>
  </si>
  <si>
    <t>Владимир г, Оргтруд мкр, Октябрьская ул, 27</t>
  </si>
  <si>
    <t>Владимир г, Оргтруд мкр, Строителей ул, 1</t>
  </si>
  <si>
    <t>Владимир г, Оргтруд мкр, Строителей ул, 4</t>
  </si>
  <si>
    <t>Владимир г, Полины Осипенко ул, 17</t>
  </si>
  <si>
    <t>Владимир г, Растопчина ул, 33а</t>
  </si>
  <si>
    <t>Владимир г, Растопчина ул, 55</t>
  </si>
  <si>
    <t>Владимир г, Соколова-Соколенка ул, 9</t>
  </si>
  <si>
    <t>Владимир г, Солнечная ул, 41А</t>
  </si>
  <si>
    <t>Владимир г, Суздальский пр-кт, 21</t>
  </si>
  <si>
    <t>Владимир г, Тихонравова ул, 4</t>
  </si>
  <si>
    <t>Владимир г, Тракторная ул, 5</t>
  </si>
  <si>
    <t>Владимир г, Энергетик мкр, Энергетиков ул, 6</t>
  </si>
  <si>
    <t>Владимир г, Энергетик мкр, Энергетиков ул, 9</t>
  </si>
  <si>
    <t>Владимир г, Юбилейная ул, 76А</t>
  </si>
  <si>
    <t>Владимир г, Юрьевец мкр, Михалькова ул, 2</t>
  </si>
  <si>
    <t>Владимир г, Юрьевец мкр, Михалькова ул, 5</t>
  </si>
  <si>
    <t>Александров г, Восстания 1905 г ул, 1</t>
  </si>
  <si>
    <t>Александров г, Ленина ул, 2</t>
  </si>
  <si>
    <t>Гусь-Хрустальный г, 50 лет Советской Власти пр-кт, 35</t>
  </si>
  <si>
    <t>Гусь-Хрустальный г, Карла Либкнехта ул, 5а</t>
  </si>
  <si>
    <t>Гусь-Хрустальный г, Октябрьская ул, 68</t>
  </si>
  <si>
    <t>Гусь-Хрустальный г, Транспортная ул, 16а</t>
  </si>
  <si>
    <t>Ковров г, 5 Декабря ул, 22</t>
  </si>
  <si>
    <t>Ковров г, Грибоедова ул, 7</t>
  </si>
  <si>
    <t>Ковров г, Грибоедова ул, 9</t>
  </si>
  <si>
    <t>Ковров г, Зои Космодемьянской ул, 11</t>
  </si>
  <si>
    <t>Ковров г, Киркижа ул, 20</t>
  </si>
  <si>
    <t>Ковров г, Комсомольская ул, 24</t>
  </si>
  <si>
    <t>Ковров г, Куйбышева ул, 6</t>
  </si>
  <si>
    <t>Ковров г, Ленина пр-кт, 49/1</t>
  </si>
  <si>
    <t>Ковров г, Ленина пр-кт, 5</t>
  </si>
  <si>
    <t>Ковров г, Лесная ул, 4</t>
  </si>
  <si>
    <t>Ковров г, Малеева ул, 1/1</t>
  </si>
  <si>
    <t>Ковров г, Матвеева ул, 5</t>
  </si>
  <si>
    <t>Ковров г, Машиностроителей ул, 3</t>
  </si>
  <si>
    <t>Ковров г, Маяковского ул, 4</t>
  </si>
  <si>
    <t>Ковров г, Мира пр-кт, 6</t>
  </si>
  <si>
    <t>Ковров г, Партизанская ул, 1</t>
  </si>
  <si>
    <t>Ковров г, Садовая ул, 23</t>
  </si>
  <si>
    <t>Ковров г, Сергея Лазо ул, 4</t>
  </si>
  <si>
    <t>Ковров г, Строителей ул, 12/1</t>
  </si>
  <si>
    <t>Ковров г, Строителей ул, 22</t>
  </si>
  <si>
    <t>Ковров г, Строителей ул, 33</t>
  </si>
  <si>
    <t>Ковров г, Тимофея Павловского ул, 10</t>
  </si>
  <si>
    <t>Ковров г, Волго-Донская ул, 11В</t>
  </si>
  <si>
    <t>Итого по Григорьевское</t>
  </si>
  <si>
    <t>Гусь-Хрустальный р-н, Вековка ст, 1</t>
  </si>
  <si>
    <t>Гусь-Хрустальный р-н, Вековка ст, 3</t>
  </si>
  <si>
    <t>Гусь-Хрустальный р-н, Вековка ст, 4</t>
  </si>
  <si>
    <t>Гусь-Хрустальный р-н, Вековка ст, 5</t>
  </si>
  <si>
    <t>Камешковский р-н, им Максима Горького п, Шоссейная ул, 6</t>
  </si>
  <si>
    <t>Кольчугино г, 3 Интернационала ул, 57</t>
  </si>
  <si>
    <t>Кольчугино г, 50 лет Октября ул, 26</t>
  </si>
  <si>
    <t>Кольчугино г, 50 лет Октября ул, 5А</t>
  </si>
  <si>
    <t>Кольчугино г, Белая Речка п, Новая ул, 5</t>
  </si>
  <si>
    <t>Кольчугино г, Дружбы ул, 20а</t>
  </si>
  <si>
    <t>Кольчугино г, Максимова ул, 21</t>
  </si>
  <si>
    <t>Кольчугино г, Мира ул, 3</t>
  </si>
  <si>
    <t>Кольчугино г, Веденеева ул, 12</t>
  </si>
  <si>
    <t>Кольчугино г, Добровольского ул, 15</t>
  </si>
  <si>
    <t>Кольчугино г, Добровольского ул, 17</t>
  </si>
  <si>
    <t>Кольчугино г, Добровольского ул, 19</t>
  </si>
  <si>
    <t>Кольчугино г, Добровольского ул, 27</t>
  </si>
  <si>
    <t>Кольчугино г, Коллективная ул, 41</t>
  </si>
  <si>
    <t>Кольчугино г, Московская ул, 62</t>
  </si>
  <si>
    <t>Муром г, 30 лет Победы ул, 8</t>
  </si>
  <si>
    <t>Муром г, 30 лет Победы ул, 9 корп 1</t>
  </si>
  <si>
    <t>Муром г, Автодора ул, 37</t>
  </si>
  <si>
    <t>Муром г, Воровского ул, 88</t>
  </si>
  <si>
    <t>Муром г, Ковровская ул, 12</t>
  </si>
  <si>
    <t>Муром г, Кооперативная ул, 6</t>
  </si>
  <si>
    <t>Муром г, Куйбышева ул, 36</t>
  </si>
  <si>
    <t>Муром г, Куйбышева ул, 38</t>
  </si>
  <si>
    <t>Муром г, Лаврентьева ул, 39</t>
  </si>
  <si>
    <t>Муром г, Ленинградская ул, 24</t>
  </si>
  <si>
    <t>Муром г, Муромская ул, 25</t>
  </si>
  <si>
    <t>Муром г, Нижегородская ул, 29</t>
  </si>
  <si>
    <t>Муром г, Свердлова ул, 33</t>
  </si>
  <si>
    <t>Муром г, Филатова ул, 5</t>
  </si>
  <si>
    <t>Муром г, Владимирская ул, 9</t>
  </si>
  <si>
    <t>Муром г, Комсомольская ул, 49</t>
  </si>
  <si>
    <t>Муром г, Красногвардейская ул, 40</t>
  </si>
  <si>
    <t>Муром г, Мечникова ул, 36</t>
  </si>
  <si>
    <t>Собинка г, Некрасова ул, 2А</t>
  </si>
  <si>
    <t>Собинка г, Некрасова ул, 2Б</t>
  </si>
  <si>
    <t>Собинка г, Некрасова ул, 2В</t>
  </si>
  <si>
    <t>Собинский р-н, Лакинск г, Мира ул, 89</t>
  </si>
  <si>
    <t>Суздальский р-н, Павловское с, Школьная ул, 19</t>
  </si>
  <si>
    <t>Суздальский р-н, Павловское с, Школьная ул, 20</t>
  </si>
  <si>
    <t>Информация о выполнении капитального ремонта общего имущества в многоквартирных домах со способом формирования фонда капитально ремонта - специальный счет на территории Владимирской области в период 2020-2022 годы в рамках реализации региональной программы капитального ремонта</t>
  </si>
  <si>
    <t>Муром г, Кленовая ул, 5</t>
  </si>
  <si>
    <t>Владимир г, Гастелло ул, 1</t>
  </si>
  <si>
    <t>Кольчугино г, Ломако ул, 12</t>
  </si>
  <si>
    <t>ТСЖ "Весна"</t>
  </si>
  <si>
    <t>Ковровский р-н, Старая д, Совхозная ул, 27</t>
  </si>
  <si>
    <t>Кольчугино г, Ломако ул, 16</t>
  </si>
  <si>
    <t>Кольчугино г, Ульяновская ул, 45</t>
  </si>
  <si>
    <t>ООО "Управляющая компания в ЖКХ города Кольчугино"</t>
  </si>
  <si>
    <t>ОАО "ПЭО "Сфера"</t>
  </si>
  <si>
    <t>2014</t>
  </si>
  <si>
    <t>2015</t>
  </si>
  <si>
    <t>Вязниковский р-н, Никологоры п, 40 лет Октября ул, 2</t>
  </si>
  <si>
    <t>2017</t>
  </si>
  <si>
    <t>Владимир г, Лакина ул, 133</t>
  </si>
  <si>
    <t>Вязники г, Дечинский мкр, 16</t>
  </si>
  <si>
    <t>Ковров г, Лизы Чайкиной ул, 36</t>
  </si>
  <si>
    <t>Ковров г, Лопатина ул, 61</t>
  </si>
  <si>
    <t>Ковров г, Пугачева ул, 30</t>
  </si>
  <si>
    <t>Ковров г, Моховая ул, 3</t>
  </si>
  <si>
    <t>Муром г, Ленинградская ул, 34 корп. 5</t>
  </si>
  <si>
    <t>Муром г, Первомайская ул, 13</t>
  </si>
  <si>
    <t>Камешковский р-н, Мирный п, Центральная ул, 86</t>
  </si>
  <si>
    <t>Киржач г, Магистральная ул, 1</t>
  </si>
  <si>
    <t>Петушинский р-н, Пекша д, Октябрьская ул, 2</t>
  </si>
  <si>
    <t>Гороховецкий р-н, Фоминки с, Чекунова ул, 4</t>
  </si>
  <si>
    <t>Собинка г, Мира ул, 1А</t>
  </si>
  <si>
    <t>ТСЖ "ЗОА,16"</t>
  </si>
  <si>
    <t>ООО "ЖЭЦ-Управление"</t>
  </si>
  <si>
    <t>ООО "УМД Континент"</t>
  </si>
  <si>
    <t>ООО "ОДК"</t>
  </si>
  <si>
    <t>ООО"Управдом"</t>
  </si>
  <si>
    <t>ООО Киржачское ЖЭУ №1</t>
  </si>
  <si>
    <t>ООО "СМК-Реконструкция"</t>
  </si>
  <si>
    <t>ООО УК "Спецстройгарант-1"</t>
  </si>
  <si>
    <t>Александровский р-н, Балакирево пгт, Заводская ул, 3</t>
  </si>
  <si>
    <t>Селивановский р-н, Красная Горбатка п, Свободы ул, 81</t>
  </si>
  <si>
    <t>Перечень многоквартирных домов,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</si>
  <si>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Информация по многоквартирным домам, в отношении которых принято решение о проведении капитального ремонта общего имущества в связи с возникновением аварии, иных чрезвычайных ситуаций природного или техногенного характера</t>
  </si>
  <si>
    <t>Итого по Владимирской области в 2020 году</t>
  </si>
  <si>
    <t>Александровский р-н, Струнино г, Островского ул, 3</t>
  </si>
  <si>
    <t>ООО "УК "Содружество С"</t>
  </si>
  <si>
    <t>ХВС</t>
  </si>
  <si>
    <t>ГВС</t>
  </si>
  <si>
    <t>ТЕПЛО</t>
  </si>
  <si>
    <t>ВО</t>
  </si>
  <si>
    <t>ЭЛ</t>
  </si>
  <si>
    <t>ЛИФТ</t>
  </si>
  <si>
    <t>Крыша</t>
  </si>
  <si>
    <t>Подвал</t>
  </si>
  <si>
    <t>Фасад</t>
  </si>
  <si>
    <t>Фундамент</t>
  </si>
  <si>
    <t>Реконструкция</t>
  </si>
  <si>
    <t>вентканалы</t>
  </si>
  <si>
    <t xml:space="preserve">Получатель бюджетных средств - Некоммерческая организация (проведение капитального ремонта общего имущества в связи с возникновением аварии, иных чрезвычайных ситуаций природного или техногенного характера) </t>
  </si>
  <si>
    <t>Киржачский р-н, Ефремово д, Восточная ул, 4</t>
  </si>
  <si>
    <t>Владимир г, Юбилейная ул, 56</t>
  </si>
  <si>
    <t>Александровский р-н, Балакирево пгт, 60 лет Октября ул, 10</t>
  </si>
  <si>
    <t>Владимир г, Доватора ул, 2</t>
  </si>
  <si>
    <t>Владимир г, Белоконской ул, 8</t>
  </si>
  <si>
    <t>Владимир г, Белоконской ул, 8А</t>
  </si>
  <si>
    <t>Владимир г, Судогодское ш, 31</t>
  </si>
  <si>
    <t>Гусь-Хрустальный г, Менделеева ул, 17а</t>
  </si>
  <si>
    <t>Ковров г, Брюсова ул, 52/2</t>
  </si>
  <si>
    <t>Ковров г, Генералова ул, 10</t>
  </si>
  <si>
    <t>Александров г, 2-я Стрелецкая ул, 17</t>
  </si>
  <si>
    <t>Александров г, 1-я Крестьянская ул, 12</t>
  </si>
  <si>
    <t>Александров г, Институтская ул, 18</t>
  </si>
  <si>
    <t>Александровский р-н, Балакирево пгт, Юго-Западный кв-л, 19</t>
  </si>
  <si>
    <t>Александровский р-н, Струнино г, Заречная ул, 36</t>
  </si>
  <si>
    <t>Итого по Владимирской области по 2021 году:</t>
  </si>
  <si>
    <t>Гусь-Хрустальный г, Курловская ул, 25</t>
  </si>
  <si>
    <t>Всего по субъекту:</t>
  </si>
  <si>
    <t>Сведения о многоквартирных домах, включенных в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2020-2021 годы
за счет средств регионального оператора</t>
  </si>
  <si>
    <t xml:space="preserve"> реализации региональной программы капитального ремонта общего имущества в многоквартирных домах на территории Владимирской области на 2020-2021 годы
за счет средств регионального оператора * **</t>
  </si>
  <si>
    <t>Собинский р-н, Лакинск г, Карла Маркса ул, 21</t>
  </si>
  <si>
    <t>Радужный г, 1-й кв-л, 6</t>
  </si>
  <si>
    <t>Вязники г, Новая ул, 13</t>
  </si>
  <si>
    <t>Вязники г, Киселева ул, 71</t>
  </si>
  <si>
    <t>Вязники г, Жуковского ул, 1</t>
  </si>
  <si>
    <t>Собинский р-н, Ставрово п, Южная ул, 2</t>
  </si>
  <si>
    <t>Александровский р-н, Карабаново г, Лермонтова пл, 14</t>
  </si>
  <si>
    <t>Александровский р-н, Карабаново г, Садовая ул, 7</t>
  </si>
  <si>
    <t>Александровский р-н, Карабаново г, Почтовая ул, 18</t>
  </si>
  <si>
    <t>Александровский р-н, Карабаново г, Лермонтова пл, 1</t>
  </si>
  <si>
    <t>Камешковский р-н, им Красина п, Садовая ул, 8</t>
  </si>
  <si>
    <t>Собинка г, Гагарина ул, 16</t>
  </si>
  <si>
    <t>Ковровский р-н, Красный Октябрь п, Мира ул, 15</t>
  </si>
  <si>
    <t>Александровский р-н, Карабаново г, Кооперативная ул, 24</t>
  </si>
  <si>
    <t>Собинский р-н, Ставрово п, Комсомольская ул, 3А</t>
  </si>
  <si>
    <t>Владимир г, Безыменского ул, 17а</t>
  </si>
  <si>
    <t>Владимир г, Безыменского ул, 1а</t>
  </si>
  <si>
    <t>Владимир г, Диктора Левитана ул, 42</t>
  </si>
  <si>
    <t>Владимир г, Добросельская ул, 209</t>
  </si>
  <si>
    <t>Владимир г, Егорова ул, 16а</t>
  </si>
  <si>
    <t>Владимир г, Жуковского ул, 20а</t>
  </si>
  <si>
    <t>Владимир г, Казарменная ул, 5А</t>
  </si>
  <si>
    <t>Владимир г, Комиссарова ул, 21</t>
  </si>
  <si>
    <t>Владимир г, Комиссарова ул, 22</t>
  </si>
  <si>
    <t>Владимир г, Красноармейская ул, 45</t>
  </si>
  <si>
    <t>Владимир г, Лакина ул, 141В</t>
  </si>
  <si>
    <t>Владимир г, Лакина ул, 3</t>
  </si>
  <si>
    <t>Владимир г, Ленина пр-кт, 71а</t>
  </si>
  <si>
    <t>Владимир г, Лесной мкр, Лесная ул, 10</t>
  </si>
  <si>
    <t>Владимир г, Лесной мкр, Лесная ул, 12</t>
  </si>
  <si>
    <t>Владимир г, Лесной мкр, Лесная ул, 13</t>
  </si>
  <si>
    <t>Владимир г, Ново-Ямская ул, 29А</t>
  </si>
  <si>
    <t>Владимир г, Оргтруд мкр, Октябрьская ул, 18</t>
  </si>
  <si>
    <t>Владимир г, Оргтруд мкр, Строителей ул, 3</t>
  </si>
  <si>
    <t>Владимир г, Северная ул, 28</t>
  </si>
  <si>
    <t>Владимир г, Соколова-Соколенка ул, 23</t>
  </si>
  <si>
    <t>Владимир г, Строителей пр-кт, 15Б</t>
  </si>
  <si>
    <t>Владимир г, Строителей пр-кт, 34А</t>
  </si>
  <si>
    <t>Владимир г, Строителей пр-кт, 4</t>
  </si>
  <si>
    <t>Владимир г, Суздальский пр-кт, 16</t>
  </si>
  <si>
    <t>Владимир г, Суздальский пр-кт, 26</t>
  </si>
  <si>
    <t>Владимир г, Тракторная ул, 7А</t>
  </si>
  <si>
    <t>Владимир г, Чайковского ул, 48</t>
  </si>
  <si>
    <t>Владимир г, Энергетик мкр, Садовая ул, 13</t>
  </si>
  <si>
    <t>Владимир г, Энергетик мкр, Энергетиков ул, 3</t>
  </si>
  <si>
    <t>Владимир г, 2-я Кольцевая ул, 26а</t>
  </si>
  <si>
    <t>Владимир г, 3-я Кольцевая ул, 25а</t>
  </si>
  <si>
    <t>Владимир г, Безыменского ул, 9в</t>
  </si>
  <si>
    <t>Владимир г, Безыменского ул, 9д</t>
  </si>
  <si>
    <t>Владимир г, Безыменского ул, 13б</t>
  </si>
  <si>
    <t>Владимир г, Белоконской ул, 15</t>
  </si>
  <si>
    <t>Владимир г, Большой проезд, 15а</t>
  </si>
  <si>
    <t>Владимир г, Василисина ул, 8б</t>
  </si>
  <si>
    <t>Владимир г, Василисина ул, 22а</t>
  </si>
  <si>
    <t>Владимир г, Верхняя Дуброва ул, 18</t>
  </si>
  <si>
    <t>Владимир г, Верхняя Дуброва ул, 38А</t>
  </si>
  <si>
    <t>Владимир г, Горького ул, 85А</t>
  </si>
  <si>
    <t>Владимир г, Диктора Левитана ул, 5А</t>
  </si>
  <si>
    <t>Владимир г, Егорова ул, 1</t>
  </si>
  <si>
    <t>Владимир г, Егорова ул, 10б</t>
  </si>
  <si>
    <t>Владимир г, Западная ул, 59</t>
  </si>
  <si>
    <t>Владимир г, Кирова ул, 3А</t>
  </si>
  <si>
    <t>Владимир г, Кирова ул, 6</t>
  </si>
  <si>
    <t>Владимир г, Кирова ул, 7</t>
  </si>
  <si>
    <t>Владимир г, Комиссарова ул, 4</t>
  </si>
  <si>
    <t>Владимир г, Коммунар мкр, Зеленая ул, 62</t>
  </si>
  <si>
    <t>Владимир г, Коммунар мкр, Зеленая ул, 64</t>
  </si>
  <si>
    <t>Владимир г, Коммунар мкр, Зеленая ул, 68</t>
  </si>
  <si>
    <t>Владимир г, Костерин пер, 10</t>
  </si>
  <si>
    <t>Владимир г, Куйбышева ул, 66</t>
  </si>
  <si>
    <t>Владимир г, Лакина ул, 155А</t>
  </si>
  <si>
    <t>Владимир г, Ленина пр-кт, 49</t>
  </si>
  <si>
    <t>Владимир г, Ленина пр-кт, 60</t>
  </si>
  <si>
    <t>Владимир г, Лермонтова ул, 45</t>
  </si>
  <si>
    <t>Владимир г, Мира ул, 4А</t>
  </si>
  <si>
    <t>Владимир г, Мира ул, 6</t>
  </si>
  <si>
    <t>Владимир г, Мира ул, 6Б</t>
  </si>
  <si>
    <t>Владимир г, Мира ул, 22</t>
  </si>
  <si>
    <t>Владимир г, Михайловская ул, 6</t>
  </si>
  <si>
    <t>Владимир г, Михайловская ул, 12</t>
  </si>
  <si>
    <t>Владимир г, Михайловская ул, 55</t>
  </si>
  <si>
    <t>Владимир г, Нижняя Дуброва ул, 26</t>
  </si>
  <si>
    <t>Владимир г, Нижняя Дуброва ул, 33</t>
  </si>
  <si>
    <t>Владимир г, Ново-Ямская ул, 70</t>
  </si>
  <si>
    <t>Владимир г, Офицерская ул, 9А</t>
  </si>
  <si>
    <t>Владимир г, Офицерская ул, 16</t>
  </si>
  <si>
    <t>Владимир г, Пичугина ул, 5</t>
  </si>
  <si>
    <t>Владимир г, Пичугина ул, 14</t>
  </si>
  <si>
    <t>Владимир г, Полины Осипенко ул, 11</t>
  </si>
  <si>
    <t>Владимир г, Растопчина ул, 33в</t>
  </si>
  <si>
    <t>Владимир г, Растопчина ул, 39в</t>
  </si>
  <si>
    <t>Владимир г, Растопчина ул, 61</t>
  </si>
  <si>
    <t>Владимир г, Растопчина ул, 61а</t>
  </si>
  <si>
    <t>Владимир г, Северная ул, 22</t>
  </si>
  <si>
    <t>Владимир г, Семашко ул, 8</t>
  </si>
  <si>
    <t>Владимир г, Соколова-Соколенка ул, 20</t>
  </si>
  <si>
    <t>Владимир г, Столетовых ул, 5</t>
  </si>
  <si>
    <t>Владимир г, Строителей пр-кт, 2А</t>
  </si>
  <si>
    <t>Владимир г, Строителей пр-кт, 34В</t>
  </si>
  <si>
    <t>Владимир г, Студенческая ул, 6Д</t>
  </si>
  <si>
    <t>Владимир г, Суворова ул, 11</t>
  </si>
  <si>
    <t>Владимир г, Судогодское ш, 17а</t>
  </si>
  <si>
    <t>Владимир г, Судогодское ш, 27а</t>
  </si>
  <si>
    <t>Владимир г, Сурикова ул, 14</t>
  </si>
  <si>
    <t>Владимир г, Сущевская ул, 3</t>
  </si>
  <si>
    <t>Владимир г, Сущевская ул, 7</t>
  </si>
  <si>
    <t>Владимир г, Тракторная ул, 13</t>
  </si>
  <si>
    <t>Владимир г, Университетская ул, 7</t>
  </si>
  <si>
    <t>Владимир г, Усти-на-Лабе ул, 16</t>
  </si>
  <si>
    <t>Владимир г, Усти-на-Лабе ул, 23</t>
  </si>
  <si>
    <t>Владимир г, Юбилейная ул, 12</t>
  </si>
  <si>
    <t>Владимир г, Юбилейная ул, 50</t>
  </si>
  <si>
    <t>Владимир г, Юбилейная ул, 52</t>
  </si>
  <si>
    <t>Владимир г, Юбилейная ул, 58</t>
  </si>
  <si>
    <t>Владимир г, Юбилейная ул, 68</t>
  </si>
  <si>
    <t>Владимир г, Юрьевец мкр, Школьный проезд, 4</t>
  </si>
  <si>
    <t>Александров г, Институтская ул, 8</t>
  </si>
  <si>
    <t>Александров г, Королева ул, 1</t>
  </si>
  <si>
    <t>Александров г, Королева ул, 12</t>
  </si>
  <si>
    <t>Александров г, Коссович ул, 6</t>
  </si>
  <si>
    <t>Александров г, Коссович ул, 7</t>
  </si>
  <si>
    <t>Александров г, Ленина ул, 14</t>
  </si>
  <si>
    <t>Александров г, Маяковского ул, 13</t>
  </si>
  <si>
    <t>Александров г, Октябрьская ул, 6 корп. 2</t>
  </si>
  <si>
    <t>Александров г, П.Топоркова ул, 2</t>
  </si>
  <si>
    <t>Александров г, Первомайская ул, 50</t>
  </si>
  <si>
    <t>Александров г, Революции ул, 24</t>
  </si>
  <si>
    <t>Александров г, Революции ул, 36</t>
  </si>
  <si>
    <t>Александров г, Терешковой ул, 10 корп. 2</t>
  </si>
  <si>
    <t>Александров г, Энтузиастов ул, 11</t>
  </si>
  <si>
    <t>Гусь-Хрустальный г, 50 лет Советской Власти пр-кт, 29</t>
  </si>
  <si>
    <t>Гусь-Хрустальный г, Интернациональная ул, 40б</t>
  </si>
  <si>
    <t>Гусь-Хрустальный г, Калинина ул, 41</t>
  </si>
  <si>
    <t>Гусь-Хрустальный г, Каховского ул, 10</t>
  </si>
  <si>
    <t>Гусь-Хрустальный г, Красноармейская ул, 19</t>
  </si>
  <si>
    <t>Гусь-Хрустальный г, Курловская ул, 18</t>
  </si>
  <si>
    <t>Гусь-Хрустальный г, Маяковского ул, 1а</t>
  </si>
  <si>
    <t>Гусь-Хрустальный г, Менделеева ул, 15а</t>
  </si>
  <si>
    <t>Гусь-Хрустальный г, Муравьева-Апостола ул, 11</t>
  </si>
  <si>
    <t>Гусь-Хрустальный г, Октябрьская ул, 76</t>
  </si>
  <si>
    <t>Гусь-Хрустальный г, Полевая ул, 3</t>
  </si>
  <si>
    <t>Гусь-Хрустальный г, Полярная ул, 9</t>
  </si>
  <si>
    <t>Гусь-Хрустальный г, Торфяная ул, 7</t>
  </si>
  <si>
    <t>Гусь-Хрустальный г, Торфяная ул, 15</t>
  </si>
  <si>
    <t>Гусь-Хрустальный г, Транспортная ул, 19</t>
  </si>
  <si>
    <t>Ковров г, Абельмана ул, 130</t>
  </si>
  <si>
    <t>Ковров г, Белинского ул, 1/1</t>
  </si>
  <si>
    <t>Ковров г, Ватутина ул, 49</t>
  </si>
  <si>
    <t>Ковров г, Ватутина ул, 53</t>
  </si>
  <si>
    <t>Ковров г, Ватутина ул, 55</t>
  </si>
  <si>
    <t>Ковров г, Грибоедова ул, 11</t>
  </si>
  <si>
    <t>Ковров г, Грибоедова ул, 13</t>
  </si>
  <si>
    <t>Ковров г, Еловая ул, 86/2</t>
  </si>
  <si>
    <t>Ковров г, Еловая ул, 86/9</t>
  </si>
  <si>
    <t>Ковров г, Молодогвардейская ул, 3</t>
  </si>
  <si>
    <t>Ковров г, Моховая ул, 1/3</t>
  </si>
  <si>
    <t>Ковров г, Муромская ул, 23/2</t>
  </si>
  <si>
    <t>Ковров г, Абельмана ул, 27</t>
  </si>
  <si>
    <t>Ковров г, Ватутина ул, 86</t>
  </si>
  <si>
    <t>Ковров г, Волго-Донская ул, 7а</t>
  </si>
  <si>
    <t>Ковров г, Восточная ул, 52 корп. 4</t>
  </si>
  <si>
    <t>Ковров г, Восточный проезд, 14/2</t>
  </si>
  <si>
    <t>Ковров г, Восточный проезд, 16/1</t>
  </si>
  <si>
    <t>Ковров г, Гастелло ул, 9</t>
  </si>
  <si>
    <t>Ковров г, Дегтярева ул, 19</t>
  </si>
  <si>
    <t>Ковров г, Димитрова ул, 8</t>
  </si>
  <si>
    <t>Ковров г, Димитрова ул, 16</t>
  </si>
  <si>
    <t>Ковров г, Димитрова ул, 18</t>
  </si>
  <si>
    <t>Ковров г, Еловая ул, 88</t>
  </si>
  <si>
    <t>Ковров г, Зои Космодемьянской ул, 3 корп. 1</t>
  </si>
  <si>
    <t>Ковров г, Зои Космодемьянской ул, 9</t>
  </si>
  <si>
    <t>Ковров г, Зои Космодемьянской ул, 23</t>
  </si>
  <si>
    <t>Ковров г, Калинина ул, 9</t>
  </si>
  <si>
    <t>Ковров г, Калинина ул, 20</t>
  </si>
  <si>
    <t>Ковров г, Калинина ул, 21</t>
  </si>
  <si>
    <t>Ковров г, Киркижа ул, 16</t>
  </si>
  <si>
    <t>Ковров г, Комсомольская ул, 28</t>
  </si>
  <si>
    <t>Ковров г, Комсомольская ул, 30</t>
  </si>
  <si>
    <t>Ковров г, Комсомольская ул, 34 корп. 2</t>
  </si>
  <si>
    <t>Ковров г, Комсомольская ул, 36/4</t>
  </si>
  <si>
    <t>Ковров г, Космонавтов ул, 4/3</t>
  </si>
  <si>
    <t>Ковров г, Куйбышева ул, 4</t>
  </si>
  <si>
    <t>Ковров г, Куйбышева ул, 14</t>
  </si>
  <si>
    <t>Ковров г, Куйбышева ул, 15</t>
  </si>
  <si>
    <t>Ковров г, Куйбышева ул, 18</t>
  </si>
  <si>
    <t>Ковров г, Ленина пр-кт, 46</t>
  </si>
  <si>
    <t>Ковров г, Ленина пр-кт, 49</t>
  </si>
  <si>
    <t>Ковров г, Летняя ул, 29</t>
  </si>
  <si>
    <t>Ковров г, Лопатина ул, 19</t>
  </si>
  <si>
    <t>Ковров г, Машиностроителей ул, 5</t>
  </si>
  <si>
    <t>Ковров г, Машиностроителей ул, 13</t>
  </si>
  <si>
    <t>Ковров г, Машиностроителей ул, 15</t>
  </si>
  <si>
    <t>Ковров г, Маяковского ул, 24</t>
  </si>
  <si>
    <t>Ковров г, Маяковского ул, 28</t>
  </si>
  <si>
    <t>Ковров г, Маяковского ул, 30</t>
  </si>
  <si>
    <t>Ковров г, Московская ул, 3</t>
  </si>
  <si>
    <t>Ковров г, Московская ул, 4</t>
  </si>
  <si>
    <t>Ковров г, Московская ул, 6</t>
  </si>
  <si>
    <t>Ковров г, Московская ул, 7</t>
  </si>
  <si>
    <t>Ковров г, Московская ул, 9</t>
  </si>
  <si>
    <t>Ковров г, Моховая ул, 2/9</t>
  </si>
  <si>
    <t>Ковров г, Муромская ул, 23 корп. 3</t>
  </si>
  <si>
    <t>Ковров г, Муромская ул, 31</t>
  </si>
  <si>
    <t>Ковров г, Муромская ул, 33</t>
  </si>
  <si>
    <t>Ковров г, Ногина пер, 3</t>
  </si>
  <si>
    <t>Ковров г, Ногина пер, 5</t>
  </si>
  <si>
    <t>Ковров г, Островского ул, 73</t>
  </si>
  <si>
    <t>Ковров г, Островского ул, 79</t>
  </si>
  <si>
    <t>Ковров г, Островского ул, 81</t>
  </si>
  <si>
    <t>Ковров г, Пионерская ул, 6</t>
  </si>
  <si>
    <t>Ковров г, Подлесная ул, 21</t>
  </si>
  <si>
    <t>Ковров г, Подлесная ул, 22</t>
  </si>
  <si>
    <t>Ковров г, Подлесная ул, 24</t>
  </si>
  <si>
    <t>Ковров г, Сосновая ул, 15 корп. 1</t>
  </si>
  <si>
    <t>Ковров г, Сосновая ул, 35</t>
  </si>
  <si>
    <t>Ковров г, Сосновая ул, 37</t>
  </si>
  <si>
    <t>Ковров г, Социалистическая ул, 15</t>
  </si>
  <si>
    <t>Ковров г, Строителей ул, 8</t>
  </si>
  <si>
    <t>Ковров г, Строителей ул, 9</t>
  </si>
  <si>
    <t>Ковров г, Строителей ул, 10</t>
  </si>
  <si>
    <t>Ковров г, Строителей ул, 14</t>
  </si>
  <si>
    <t>Ковров г, Строителей ул, 15/2</t>
  </si>
  <si>
    <t>Ковров г, Строителей ул, 22/2</t>
  </si>
  <si>
    <t>Ковров г, Транспортная ул, 81</t>
  </si>
  <si>
    <t>Ковров г, Фурманова ул, 27</t>
  </si>
  <si>
    <t>Ковров г, Циолковского ул, 19</t>
  </si>
  <si>
    <t>Ковров г, Циолковского ул, 40</t>
  </si>
  <si>
    <t>Ковров г, Шмидта ул, 11</t>
  </si>
  <si>
    <t>Ковров г, Ленина пр-кт, 21</t>
  </si>
  <si>
    <t>Ковров г, Никитина ул, 34</t>
  </si>
  <si>
    <t>Гусь-Хрустальный р-н, Курлово г, Володарского ул, 1</t>
  </si>
  <si>
    <t>Кольчугино г, 3 Интернационала ул, 60</t>
  </si>
  <si>
    <t>Кольчугино г, Добровольского ул, 3</t>
  </si>
  <si>
    <t>Кольчугино г, Добровольского ул, 21</t>
  </si>
  <si>
    <t>Кольчугино г, Дружбы ул, 6а</t>
  </si>
  <si>
    <t>Кольчугино г, Дружбы ул, 8</t>
  </si>
  <si>
    <t>Кольчугино г, Дружбы ул, 12</t>
  </si>
  <si>
    <t>Кольчугино г, Дружбы ул, 23</t>
  </si>
  <si>
    <t>Кольчугино г, Дружбы ул, 32</t>
  </si>
  <si>
    <t>Кольчугино г, Ломако ул, 26</t>
  </si>
  <si>
    <t>Кольчугино г, Мира ул, 1</t>
  </si>
  <si>
    <t>Кольчугино г, Мира ул, 2</t>
  </si>
  <si>
    <t>Кольчугино г, Московская ул, 60</t>
  </si>
  <si>
    <t>Кольчугино г, Октябрьская ул, 36</t>
  </si>
  <si>
    <t>Кольчугино г, Победы ул, 9</t>
  </si>
  <si>
    <t>Кольчугино г, Победы ул, 11</t>
  </si>
  <si>
    <t>Кольчугино г, Ульяновская ул, 37</t>
  </si>
  <si>
    <t>Кольчугино г, Алексеева ул, 3б</t>
  </si>
  <si>
    <t>Муром г, Ленинградская ул, 26/6</t>
  </si>
  <si>
    <t>Муром г, Пролетарская ул, 50</t>
  </si>
  <si>
    <t>Муром г, Щербакова ул, 10</t>
  </si>
  <si>
    <t>Муром г, 30 лет Победы ул, 9 корп. 2</t>
  </si>
  <si>
    <t>Муром г, Артема ул, 20</t>
  </si>
  <si>
    <t>Муром г, Вокзальная ул, 16</t>
  </si>
  <si>
    <t>Муром г, Карла Маркса ул, 50</t>
  </si>
  <si>
    <t>Муром г, Кленовая ул, 30</t>
  </si>
  <si>
    <t>Муром г, Кленовая ул, 36</t>
  </si>
  <si>
    <t>Муром г, Кооперативная ул, 8</t>
  </si>
  <si>
    <t>Муром г, Кооперативная ул, 11</t>
  </si>
  <si>
    <t>Муром г, Кооперативная ул, 13</t>
  </si>
  <si>
    <t>Муром г, Кооперативный проезд, 8</t>
  </si>
  <si>
    <t>Муром г, Куйбышева ул, 32</t>
  </si>
  <si>
    <t>Муром г, Ленина ул, 55</t>
  </si>
  <si>
    <t>Муром г, Ленина ул, 85</t>
  </si>
  <si>
    <t>Муром г, Ленинградская ул, 20</t>
  </si>
  <si>
    <t>Муром г, Меленковская ул, 7</t>
  </si>
  <si>
    <t>Муром г, Меленковская ул, 11</t>
  </si>
  <si>
    <t>Муром г, Московская ул, 47</t>
  </si>
  <si>
    <t>Муром г, Муромская ул, 23</t>
  </si>
  <si>
    <t>Муром г, Советская ул, 44</t>
  </si>
  <si>
    <t>Муром г, Совхозная ул, 15А</t>
  </si>
  <si>
    <t>Муром г, Филатова ул, 7</t>
  </si>
  <si>
    <t>Муром г, Чкалова ул, 6Б</t>
  </si>
  <si>
    <t>Муром г, Школьная ул, 1А</t>
  </si>
  <si>
    <t>Муром г, Энгельса ул, 7</t>
  </si>
  <si>
    <t>Камешково г, Свердлова ул, 9</t>
  </si>
  <si>
    <t>Камешково г, Молодежная ул, 2</t>
  </si>
  <si>
    <t>Камешково г, Ногина ул, 5</t>
  </si>
  <si>
    <t>Камешково г, Смурова ул, 10</t>
  </si>
  <si>
    <t>Камешково г, Совхозная ул, 21</t>
  </si>
  <si>
    <t>Камешково г, Школьная ул, 7</t>
  </si>
  <si>
    <t>Камешково г, Ленина ул, 6</t>
  </si>
  <si>
    <t>Юрьев-Польский г, Авангардский пер, 9</t>
  </si>
  <si>
    <t>Юрьев-Польский г, Авангардский пер, 5А</t>
  </si>
  <si>
    <t>Юрьев-Польский г, Революции ул, 9</t>
  </si>
  <si>
    <t>Юрьев-Польский г, Свободы ул, 129</t>
  </si>
  <si>
    <t>Юрьев-Польский г, Свободы ул, 133</t>
  </si>
  <si>
    <t>Юрьев-Польский г, Шибанкова ул, 116</t>
  </si>
  <si>
    <t>Вязники г, Дечинский мкр, 12а</t>
  </si>
  <si>
    <t>Вязники г, Ефимьево ул, 4</t>
  </si>
  <si>
    <t>Вязники г, Ленина ул, 19</t>
  </si>
  <si>
    <t>Вязники г, Металлистов ул, 10</t>
  </si>
  <si>
    <t>Вязники г, Спортивная ул, 8</t>
  </si>
  <si>
    <t>Вязники г, Стахановская ул, 16</t>
  </si>
  <si>
    <t>Радужный г, 1-й кв-л, 15</t>
  </si>
  <si>
    <t>Радужный г, 3-й кв-л, 26</t>
  </si>
  <si>
    <t>Радужный г, 3-й кв-л, 5</t>
  </si>
  <si>
    <t>Киржач г, Красный Октябрь мкр, Солнечный кв-л, 4</t>
  </si>
  <si>
    <t>Киржач г, Пугачева ул, 6</t>
  </si>
  <si>
    <t>Меленки г, Академика Королева ул, 25</t>
  </si>
  <si>
    <t>Итого по Ковардитское</t>
  </si>
  <si>
    <t>Муромский р-н, Ковардицы с, Молодежная ул, 11</t>
  </si>
  <si>
    <t>Петушинский р-н, Покров г, Больничный проезд, 4 корп. 2</t>
  </si>
  <si>
    <t>Петушки г, Московская ул, 5</t>
  </si>
  <si>
    <t>Петушки г, Строителей ул, 22</t>
  </si>
  <si>
    <t>Собинка г, Гагарина ул, 7</t>
  </si>
  <si>
    <t>Собинка г, Калинина ул, 2А</t>
  </si>
  <si>
    <t>Собинка г, Мира ул, 2</t>
  </si>
  <si>
    <t>Собинка г, Мира ул, 10</t>
  </si>
  <si>
    <t>Собинка г, Центральная ул, 26</t>
  </si>
  <si>
    <t>Собинский р-н, Лакинск г, 17 Партсъезда ул, 5</t>
  </si>
  <si>
    <t>Собинский р-н, Лакинск г, Парижской Коммуны ул, 31</t>
  </si>
  <si>
    <t>Собинский р-н, Лакинск г, Парковый проезд, 4</t>
  </si>
  <si>
    <t>Собинский р-н, Ставрово п, Комсомольская ул, 5</t>
  </si>
  <si>
    <t>Собинский р-н, Ставрово п, Комсомольская ул, 10</t>
  </si>
  <si>
    <t>Собинский р-н, Ставрово п, Школьная ул, 3</t>
  </si>
  <si>
    <t>Собинский р-н, Ставрово п, Школьная ул, 4</t>
  </si>
  <si>
    <t>Суздальский р-н, Боголюбово п, Западная ул, 13</t>
  </si>
  <si>
    <t>Суздальский р-н, Боголюбово п, Западная ул, 25а</t>
  </si>
  <si>
    <t>Суздальский р-н, Боголюбово п, Западная ул, 27а</t>
  </si>
  <si>
    <t>Суздальский р-н, Сокол п, 7</t>
  </si>
  <si>
    <t>Суздальский р-н, Сокол п, 14</t>
  </si>
  <si>
    <t>Суздальский р-н, Боголюбово п, Новая ул, 26</t>
  </si>
  <si>
    <t xml:space="preserve">Итого по Новоалександровское </t>
  </si>
  <si>
    <t>Суздальский р-н, Новоалександрово с, Студенческая ул, 2</t>
  </si>
  <si>
    <t>Суздальский р-н, Новоалександрово с, Студенческая ул, 3</t>
  </si>
  <si>
    <t>Суздальский р-н, Садовый п, Садовая ул, 3</t>
  </si>
  <si>
    <t>Суздальский р-н, Спасское-Городище с, Центральная ул, 12</t>
  </si>
  <si>
    <t>ООО "УК ЖРЭП"</t>
  </si>
  <si>
    <t>8</t>
  </si>
  <si>
    <t>7</t>
  </si>
  <si>
    <t>10</t>
  </si>
  <si>
    <t>МУП города Владимира "ГУК"</t>
  </si>
  <si>
    <t>12</t>
  </si>
  <si>
    <t>ООО "Ресурс"</t>
  </si>
  <si>
    <t>ООО "ГКС 1"</t>
  </si>
  <si>
    <t>ООО "Нерехта"</t>
  </si>
  <si>
    <t>Ковров г, Ковров-8 тер, 8</t>
  </si>
  <si>
    <t>Вязниковский р-н, Пировы-Городищи д, Молодежная ул, 5</t>
  </si>
  <si>
    <t>Кольчугино г, Луговая ул, 5</t>
  </si>
  <si>
    <t>ООО "ЖЭУ 2"</t>
  </si>
  <si>
    <t>Кольчугинский р-н, Бавлены п, Центральная ул, 10А</t>
  </si>
  <si>
    <t xml:space="preserve">к постановлению Департамента жилищно-коммунального хозяйства Владимирской области </t>
  </si>
  <si>
    <t>Объем финансирования в 2023 г.,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</si>
</sst>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.00_р_._-;\-* #,##0.00_р_._-;_-* &quot;-&quot;??_р_._-;_-@_-"/>
    <numFmt numFmtId="166" formatCode="[$-419]General"/>
    <numFmt numFmtId="167" formatCode="###\ ###\ ###\ ##0.00"/>
    <numFmt numFmtId="168" formatCode="###\ ###\ ###\ ##0"/>
    <numFmt numFmtId="169" formatCode="[$-419]#,##0.00"/>
  </numFmts>
  <fonts count="6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4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48"/>
      <name val="Times New Roman"/>
      <family val="1"/>
      <charset val="204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  <font>
      <sz val="4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6"/>
      <color rgb="FF000000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72"/>
      <name val="Times New Roman"/>
      <family val="1"/>
      <charset val="204"/>
    </font>
    <font>
      <sz val="72"/>
      <color indexed="8"/>
      <name val="Times New Roman"/>
      <family val="1"/>
      <charset val="204"/>
    </font>
    <font>
      <sz val="49"/>
      <color theme="1"/>
      <name val="Times New Roman"/>
      <family val="1"/>
      <charset val="204"/>
    </font>
    <font>
      <sz val="48"/>
      <color indexed="8"/>
      <name val="Times New Roman"/>
      <family val="1"/>
      <charset val="204"/>
    </font>
    <font>
      <b/>
      <sz val="48"/>
      <color indexed="81"/>
      <name val="Tahoma"/>
      <family val="2"/>
      <charset val="204"/>
    </font>
    <font>
      <sz val="48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8"/>
      <color indexed="81"/>
      <name val="Tahoma"/>
      <family val="2"/>
      <charset val="204"/>
    </font>
    <font>
      <sz val="36"/>
      <color indexed="81"/>
      <name val="Tahoma"/>
      <family val="2"/>
      <charset val="204"/>
    </font>
    <font>
      <b/>
      <sz val="14"/>
      <color indexed="81"/>
      <name val="Tahoma"/>
      <family val="2"/>
      <charset val="204"/>
    </font>
    <font>
      <b/>
      <sz val="16"/>
      <color indexed="81"/>
      <name val="Tahoma"/>
      <family val="2"/>
      <charset val="204"/>
    </font>
    <font>
      <b/>
      <sz val="18"/>
      <color indexed="81"/>
      <name val="Tahoma"/>
      <family val="2"/>
      <charset val="204"/>
    </font>
    <font>
      <sz val="24"/>
      <color theme="1"/>
      <name val="Calibri"/>
      <family val="2"/>
      <charset val="204"/>
      <scheme val="minor"/>
    </font>
    <font>
      <b/>
      <sz val="36"/>
      <color indexed="81"/>
      <name val="Tahoma"/>
      <family val="2"/>
      <charset val="204"/>
    </font>
    <font>
      <sz val="22"/>
      <color theme="1"/>
      <name val="Calibri"/>
      <family val="2"/>
      <charset val="204"/>
      <scheme val="minor"/>
    </font>
    <font>
      <sz val="48"/>
      <color rgb="FF000000"/>
      <name val="Tahoma"/>
      <family val="2"/>
      <charset val="204"/>
    </font>
    <font>
      <b/>
      <sz val="22"/>
      <color theme="1"/>
      <name val="Times New Roman"/>
      <family val="1"/>
      <charset val="204"/>
    </font>
    <font>
      <sz val="36"/>
      <color rgb="FF000000"/>
      <name val="Tahoma"/>
      <family val="2"/>
      <charset val="204"/>
    </font>
    <font>
      <b/>
      <sz val="4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4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6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11" fillId="0" borderId="0"/>
    <xf numFmtId="0" fontId="4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</cellStyleXfs>
  <cellXfs count="438">
    <xf numFmtId="0" fontId="0" fillId="0" borderId="0" xfId="0"/>
    <xf numFmtId="0" fontId="1" fillId="0" borderId="0" xfId="23" applyFont="1" applyAlignment="1">
      <alignment wrapText="1"/>
    </xf>
    <xf numFmtId="0" fontId="1" fillId="0" borderId="0" xfId="23" applyFont="1" applyAlignment="1">
      <alignment horizontal="right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right" vertical="center" wrapText="1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7" fillId="0" borderId="1" xfId="9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NumberFormat="1" applyFont="1" applyFill="1"/>
    <xf numFmtId="0" fontId="23" fillId="0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4" fontId="23" fillId="0" borderId="1" xfId="0" applyNumberFormat="1" applyFont="1" applyFill="1" applyBorder="1" applyAlignment="1">
      <alignment horizontal="right" wrapText="1"/>
    </xf>
    <xf numFmtId="4" fontId="23" fillId="0" borderId="1" xfId="0" applyNumberFormat="1" applyFont="1" applyFill="1" applyBorder="1" applyAlignment="1">
      <alignment horizontal="right"/>
    </xf>
    <xf numFmtId="4" fontId="28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center"/>
    </xf>
    <xf numFmtId="1" fontId="23" fillId="0" borderId="5" xfId="0" applyNumberFormat="1" applyFont="1" applyFill="1" applyBorder="1" applyAlignment="1">
      <alignment horizontal="center"/>
    </xf>
    <xf numFmtId="4" fontId="25" fillId="0" borderId="1" xfId="10" applyNumberFormat="1" applyFont="1" applyFill="1" applyBorder="1" applyAlignment="1">
      <alignment horizontal="right" wrapText="1"/>
    </xf>
    <xf numFmtId="4" fontId="25" fillId="0" borderId="1" xfId="22" applyNumberFormat="1" applyFont="1" applyFill="1" applyBorder="1" applyAlignment="1">
      <alignment horizontal="right"/>
    </xf>
    <xf numFmtId="4" fontId="25" fillId="0" borderId="1" xfId="1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/>
    </xf>
    <xf numFmtId="3" fontId="2" fillId="0" borderId="0" xfId="0" applyNumberFormat="1" applyFont="1" applyFill="1" applyAlignment="1">
      <alignment horizontal="center"/>
    </xf>
    <xf numFmtId="0" fontId="1" fillId="0" borderId="1" xfId="23" applyFont="1" applyBorder="1" applyAlignment="1">
      <alignment horizontal="center" vertical="center" wrapText="1"/>
    </xf>
    <xf numFmtId="4" fontId="1" fillId="0" borderId="1" xfId="0" applyNumberFormat="1" applyFont="1" applyBorder="1"/>
    <xf numFmtId="0" fontId="29" fillId="0" borderId="0" xfId="0" applyFont="1" applyFill="1" applyAlignment="1">
      <alignment wrapText="1"/>
    </xf>
    <xf numFmtId="0" fontId="30" fillId="0" borderId="1" xfId="9" applyNumberFormat="1" applyFont="1" applyFill="1" applyBorder="1" applyAlignment="1">
      <alignment horizontal="center" vertical="center"/>
    </xf>
    <xf numFmtId="4" fontId="30" fillId="0" borderId="1" xfId="9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33" fillId="0" borderId="1" xfId="0" applyFont="1" applyBorder="1" applyAlignment="1">
      <alignment horizontal="center" wrapText="1"/>
    </xf>
    <xf numFmtId="167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left"/>
    </xf>
    <xf numFmtId="167" fontId="15" fillId="0" borderId="1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0" fontId="30" fillId="0" borderId="0" xfId="19" applyFont="1" applyFill="1" applyAlignment="1">
      <alignment wrapText="1"/>
    </xf>
    <xf numFmtId="0" fontId="30" fillId="0" borderId="0" xfId="19" applyFont="1" applyFill="1" applyAlignment="1">
      <alignment horizontal="center" wrapText="1"/>
    </xf>
    <xf numFmtId="0" fontId="30" fillId="0" borderId="0" xfId="19" applyFont="1" applyFill="1" applyAlignment="1">
      <alignment vertical="center" wrapText="1"/>
    </xf>
    <xf numFmtId="0" fontId="30" fillId="0" borderId="1" xfId="29" applyFont="1" applyFill="1" applyBorder="1" applyAlignment="1">
      <alignment horizontal="center" vertical="center"/>
    </xf>
    <xf numFmtId="1" fontId="30" fillId="0" borderId="1" xfId="29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26" fillId="0" borderId="11" xfId="0" applyFont="1" applyFill="1" applyBorder="1" applyAlignment="1">
      <alignment horizontal="center" vertical="center" textRotation="90" wrapText="1"/>
    </xf>
    <xf numFmtId="0" fontId="26" fillId="0" borderId="1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0" fillId="0" borderId="0" xfId="0" applyNumberFormat="1" applyFill="1"/>
    <xf numFmtId="0" fontId="28" fillId="0" borderId="1" xfId="28" applyFont="1" applyFill="1" applyBorder="1" applyAlignment="1">
      <alignment horizontal="center"/>
    </xf>
    <xf numFmtId="4" fontId="23" fillId="0" borderId="1" xfId="0" applyNumberFormat="1" applyFont="1" applyFill="1" applyBorder="1" applyAlignment="1"/>
    <xf numFmtId="4" fontId="23" fillId="0" borderId="1" xfId="0" applyNumberFormat="1" applyFont="1" applyFill="1" applyBorder="1" applyAlignment="1">
      <alignment horizontal="center"/>
    </xf>
    <xf numFmtId="10" fontId="23" fillId="0" borderId="1" xfId="0" applyNumberFormat="1" applyFont="1" applyFill="1" applyBorder="1" applyAlignment="1">
      <alignment horizontal="center"/>
    </xf>
    <xf numFmtId="0" fontId="28" fillId="0" borderId="1" xfId="28" applyFont="1" applyFill="1" applyBorder="1" applyAlignment="1">
      <alignment horizontal="left"/>
    </xf>
    <xf numFmtId="4" fontId="23" fillId="0" borderId="0" xfId="0" applyNumberFormat="1" applyFont="1" applyFill="1"/>
    <xf numFmtId="0" fontId="23" fillId="0" borderId="1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/>
    </xf>
    <xf numFmtId="0" fontId="23" fillId="0" borderId="1" xfId="0" applyFont="1" applyFill="1" applyBorder="1" applyAlignment="1">
      <alignment horizontal="right"/>
    </xf>
    <xf numFmtId="0" fontId="2" fillId="0" borderId="0" xfId="0" applyFont="1" applyFill="1" applyAlignment="1">
      <alignment horizontal="center" wrapText="1"/>
    </xf>
    <xf numFmtId="3" fontId="23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horizontal="center"/>
    </xf>
    <xf numFmtId="3" fontId="14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3" fontId="19" fillId="0" borderId="0" xfId="0" applyNumberFormat="1" applyFont="1" applyFill="1" applyAlignment="1">
      <alignment horizontal="right"/>
    </xf>
    <xf numFmtId="3" fontId="27" fillId="0" borderId="0" xfId="0" applyNumberFormat="1" applyFont="1" applyFill="1" applyAlignment="1">
      <alignment horizontal="right"/>
    </xf>
    <xf numFmtId="3" fontId="26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/>
    <xf numFmtId="0" fontId="28" fillId="0" borderId="1" xfId="0" applyNumberFormat="1" applyFont="1" applyFill="1" applyBorder="1" applyAlignment="1">
      <alignment horizontal="right" wrapText="1"/>
    </xf>
    <xf numFmtId="0" fontId="25" fillId="0" borderId="1" xfId="10" applyNumberFormat="1" applyFont="1" applyFill="1" applyBorder="1" applyAlignment="1">
      <alignment horizontal="right"/>
    </xf>
    <xf numFmtId="3" fontId="15" fillId="0" borderId="1" xfId="0" applyNumberFormat="1" applyFont="1" applyBorder="1" applyAlignment="1">
      <alignment horizontal="center" wrapText="1"/>
    </xf>
    <xf numFmtId="0" fontId="23" fillId="0" borderId="5" xfId="0" applyFont="1" applyFill="1" applyBorder="1" applyAlignment="1">
      <alignment horizontal="center" wrapText="1"/>
    </xf>
    <xf numFmtId="4" fontId="23" fillId="0" borderId="1" xfId="0" applyNumberFormat="1" applyFont="1" applyFill="1" applyBorder="1" applyAlignment="1">
      <alignment horizontal="right" vertical="center" readingOrder="1"/>
    </xf>
    <xf numFmtId="0" fontId="30" fillId="0" borderId="1" xfId="0" applyFont="1" applyFill="1" applyBorder="1" applyAlignment="1">
      <alignment horizontal="left"/>
    </xf>
    <xf numFmtId="0" fontId="35" fillId="0" borderId="1" xfId="28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/>
    </xf>
    <xf numFmtId="4" fontId="37" fillId="0" borderId="1" xfId="0" applyNumberFormat="1" applyFont="1" applyFill="1" applyBorder="1" applyAlignment="1">
      <alignment horizontal="right"/>
    </xf>
    <xf numFmtId="4" fontId="37" fillId="0" borderId="1" xfId="0" applyNumberFormat="1" applyFont="1" applyFill="1" applyBorder="1"/>
    <xf numFmtId="0" fontId="30" fillId="0" borderId="1" xfId="0" applyFont="1" applyFill="1" applyBorder="1" applyAlignment="1">
      <alignment horizontal="left" vertical="center"/>
    </xf>
    <xf numFmtId="0" fontId="35" fillId="0" borderId="1" xfId="28" applyFont="1" applyFill="1" applyBorder="1" applyAlignment="1">
      <alignment horizontal="left" vertical="center"/>
    </xf>
    <xf numFmtId="3" fontId="37" fillId="0" borderId="1" xfId="0" applyNumberFormat="1" applyFont="1" applyFill="1" applyBorder="1"/>
    <xf numFmtId="0" fontId="37" fillId="0" borderId="1" xfId="0" applyNumberFormat="1" applyFont="1" applyFill="1" applyBorder="1" applyAlignment="1">
      <alignment horizontal="center"/>
    </xf>
    <xf numFmtId="0" fontId="15" fillId="0" borderId="1" xfId="0" applyNumberFormat="1" applyFont="1" applyBorder="1" applyAlignment="1">
      <alignment horizontal="center" wrapText="1"/>
    </xf>
    <xf numFmtId="4" fontId="1" fillId="0" borderId="1" xfId="0" applyNumberFormat="1" applyFont="1" applyFill="1" applyBorder="1" applyAlignment="1">
      <alignment horizontal="center"/>
    </xf>
    <xf numFmtId="4" fontId="14" fillId="0" borderId="1" xfId="0" applyNumberFormat="1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/>
    </xf>
    <xf numFmtId="4" fontId="28" fillId="0" borderId="1" xfId="0" applyNumberFormat="1" applyFont="1" applyFill="1" applyBorder="1" applyAlignment="1">
      <alignment horizontal="right"/>
    </xf>
    <xf numFmtId="4" fontId="0" fillId="0" borderId="0" xfId="0" applyNumberFormat="1"/>
    <xf numFmtId="0" fontId="23" fillId="0" borderId="1" xfId="0" applyFont="1" applyFill="1" applyBorder="1"/>
    <xf numFmtId="0" fontId="23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/>
    <xf numFmtId="0" fontId="24" fillId="0" borderId="1" xfId="0" applyFont="1" applyFill="1" applyBorder="1" applyAlignment="1">
      <alignment horizontal="left"/>
    </xf>
    <xf numFmtId="0" fontId="23" fillId="0" borderId="0" xfId="0" applyFont="1" applyFill="1"/>
    <xf numFmtId="4" fontId="30" fillId="0" borderId="0" xfId="9" applyNumberFormat="1" applyFont="1" applyFill="1" applyBorder="1" applyAlignment="1">
      <alignment horizontal="center" vertical="center" textRotation="90" wrapText="1"/>
    </xf>
    <xf numFmtId="4" fontId="30" fillId="0" borderId="0" xfId="9" applyNumberFormat="1" applyFont="1" applyFill="1" applyBorder="1" applyAlignment="1">
      <alignment horizontal="center" vertical="center" wrapText="1"/>
    </xf>
    <xf numFmtId="4" fontId="30" fillId="0" borderId="0" xfId="9" applyNumberFormat="1" applyFont="1" applyFill="1" applyBorder="1" applyAlignment="1">
      <alignment horizontal="center" vertical="center"/>
    </xf>
    <xf numFmtId="0" fontId="30" fillId="0" borderId="0" xfId="9" applyFont="1" applyFill="1" applyBorder="1" applyAlignment="1">
      <alignment horizontal="center" vertical="center"/>
    </xf>
    <xf numFmtId="43" fontId="0" fillId="0" borderId="0" xfId="31" applyFont="1" applyFill="1"/>
    <xf numFmtId="0" fontId="4" fillId="0" borderId="0" xfId="23"/>
    <xf numFmtId="4" fontId="9" fillId="0" borderId="1" xfId="0" applyNumberFormat="1" applyFont="1" applyBorder="1" applyAlignment="1">
      <alignment horizontal="center"/>
    </xf>
    <xf numFmtId="3" fontId="9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7" fillId="0" borderId="1" xfId="0" applyFont="1" applyBorder="1"/>
    <xf numFmtId="0" fontId="25" fillId="0" borderId="1" xfId="0" applyFont="1" applyFill="1" applyBorder="1" applyAlignment="1">
      <alignment horizontal="left" vertical="center"/>
    </xf>
    <xf numFmtId="4" fontId="23" fillId="0" borderId="1" xfId="0" applyNumberFormat="1" applyFont="1" applyFill="1" applyBorder="1"/>
    <xf numFmtId="0" fontId="37" fillId="0" borderId="1" xfId="0" applyFont="1" applyFill="1" applyBorder="1" applyAlignment="1">
      <alignment horizontal="center" vertical="center"/>
    </xf>
    <xf numFmtId="4" fontId="37" fillId="0" borderId="1" xfId="0" applyNumberFormat="1" applyFont="1" applyFill="1" applyBorder="1" applyAlignment="1">
      <alignment horizontal="right" vertical="center"/>
    </xf>
    <xf numFmtId="3" fontId="37" fillId="0" borderId="1" xfId="0" applyNumberFormat="1" applyFont="1" applyFill="1" applyBorder="1" applyAlignment="1">
      <alignment horizontal="right" vertical="center"/>
    </xf>
    <xf numFmtId="0" fontId="37" fillId="0" borderId="1" xfId="0" applyFont="1" applyFill="1" applyBorder="1" applyAlignment="1">
      <alignment horizontal="center" vertical="center" wrapText="1"/>
    </xf>
    <xf numFmtId="4" fontId="37" fillId="0" borderId="1" xfId="0" applyNumberFormat="1" applyFont="1" applyFill="1" applyBorder="1" applyAlignment="1">
      <alignment vertical="center"/>
    </xf>
    <xf numFmtId="0" fontId="37" fillId="0" borderId="1" xfId="0" applyFont="1" applyFill="1" applyBorder="1" applyAlignment="1">
      <alignment horizontal="left" vertical="center"/>
    </xf>
    <xf numFmtId="0" fontId="38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/>
    </xf>
    <xf numFmtId="3" fontId="37" fillId="0" borderId="1" xfId="0" applyNumberFormat="1" applyFont="1" applyFill="1" applyBorder="1" applyAlignment="1">
      <alignment vertical="center"/>
    </xf>
    <xf numFmtId="0" fontId="37" fillId="0" borderId="1" xfId="0" applyFont="1" applyFill="1" applyBorder="1" applyAlignment="1">
      <alignment horizontal="left" vertical="center" wrapText="1"/>
    </xf>
    <xf numFmtId="0" fontId="35" fillId="0" borderId="1" xfId="28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4" fontId="23" fillId="0" borderId="1" xfId="8" applyNumberFormat="1" applyFont="1" applyFill="1" applyBorder="1" applyAlignment="1">
      <alignment horizontal="right"/>
    </xf>
    <xf numFmtId="0" fontId="24" fillId="0" borderId="1" xfId="0" applyFont="1" applyFill="1" applyBorder="1" applyAlignment="1">
      <alignment horizontal="left" vertical="center" wrapText="1"/>
    </xf>
    <xf numFmtId="0" fontId="45" fillId="0" borderId="0" xfId="28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" fontId="23" fillId="0" borderId="1" xfId="0" applyNumberFormat="1" applyFont="1" applyFill="1" applyBorder="1" applyAlignment="1">
      <alignment horizontal="right" vertical="center" wrapText="1"/>
    </xf>
    <xf numFmtId="0" fontId="23" fillId="0" borderId="1" xfId="0" applyFont="1" applyFill="1" applyBorder="1" applyAlignment="1">
      <alignment horizontal="right" vertical="center"/>
    </xf>
    <xf numFmtId="4" fontId="21" fillId="0" borderId="1" xfId="8" applyNumberFormat="1" applyFont="1" applyFill="1" applyBorder="1" applyAlignment="1">
      <alignment horizontal="center" vertical="center"/>
    </xf>
    <xf numFmtId="4" fontId="21" fillId="0" borderId="0" xfId="8" applyNumberFormat="1" applyFont="1" applyFill="1" applyAlignment="1">
      <alignment horizontal="center" vertical="center"/>
    </xf>
    <xf numFmtId="0" fontId="23" fillId="0" borderId="1" xfId="0" applyFont="1" applyFill="1" applyBorder="1" applyAlignment="1">
      <alignment horizontal="left" vertical="center"/>
    </xf>
    <xf numFmtId="4" fontId="23" fillId="0" borderId="0" xfId="0" applyNumberFormat="1" applyFont="1" applyFill="1" applyAlignment="1">
      <alignment horizontal="center" vertical="center" wrapText="1"/>
    </xf>
    <xf numFmtId="0" fontId="28" fillId="0" borderId="1" xfId="28" applyFont="1" applyFill="1" applyBorder="1" applyAlignment="1">
      <alignment horizontal="center" vertical="center"/>
    </xf>
    <xf numFmtId="4" fontId="23" fillId="0" borderId="5" xfId="0" applyNumberFormat="1" applyFont="1" applyFill="1" applyBorder="1" applyAlignment="1">
      <alignment horizontal="right" vertical="center"/>
    </xf>
    <xf numFmtId="4" fontId="23" fillId="0" borderId="1" xfId="0" applyNumberFormat="1" applyFont="1" applyFill="1" applyBorder="1" applyAlignment="1">
      <alignment horizontal="right" vertical="center"/>
    </xf>
    <xf numFmtId="164" fontId="0" fillId="0" borderId="0" xfId="0" applyNumberFormat="1" applyFill="1"/>
    <xf numFmtId="0" fontId="4" fillId="0" borderId="0" xfId="24"/>
    <xf numFmtId="0" fontId="58" fillId="0" borderId="0" xfId="24" applyFont="1"/>
    <xf numFmtId="0" fontId="8" fillId="0" borderId="0" xfId="24" applyFont="1" applyAlignment="1">
      <alignment horizontal="right"/>
    </xf>
    <xf numFmtId="0" fontId="19" fillId="0" borderId="0" xfId="24" applyFont="1" applyAlignment="1">
      <alignment horizontal="right"/>
    </xf>
    <xf numFmtId="0" fontId="4" fillId="0" borderId="0" xfId="24" applyAlignment="1">
      <alignment horizontal="center"/>
    </xf>
    <xf numFmtId="0" fontId="37" fillId="0" borderId="0" xfId="24" applyFont="1"/>
    <xf numFmtId="0" fontId="43" fillId="0" borderId="1" xfId="8" applyFont="1" applyBorder="1" applyAlignment="1">
      <alignment horizontal="center" vertical="center" textRotation="90" wrapText="1"/>
    </xf>
    <xf numFmtId="4" fontId="43" fillId="0" borderId="1" xfId="24" applyNumberFormat="1" applyFont="1" applyBorder="1" applyAlignment="1">
      <alignment horizontal="center" vertical="center" wrapText="1"/>
    </xf>
    <xf numFmtId="0" fontId="43" fillId="0" borderId="1" xfId="24" applyFont="1" applyBorder="1" applyAlignment="1">
      <alignment horizontal="center" vertical="center" wrapText="1"/>
    </xf>
    <xf numFmtId="0" fontId="37" fillId="0" borderId="1" xfId="24" applyFont="1" applyBorder="1" applyAlignment="1">
      <alignment horizontal="center" wrapText="1"/>
    </xf>
    <xf numFmtId="0" fontId="43" fillId="0" borderId="1" xfId="24" applyFont="1" applyBorder="1" applyAlignment="1">
      <alignment horizontal="center" wrapText="1"/>
    </xf>
    <xf numFmtId="0" fontId="37" fillId="0" borderId="6" xfId="24" applyFont="1" applyBorder="1" applyAlignment="1">
      <alignment horizontal="left"/>
    </xf>
    <xf numFmtId="4" fontId="37" fillId="0" borderId="1" xfId="24" applyNumberFormat="1" applyFont="1" applyBorder="1" applyAlignment="1">
      <alignment horizontal="right" wrapText="1"/>
    </xf>
    <xf numFmtId="0" fontId="37" fillId="0" borderId="1" xfId="24" applyFont="1" applyBorder="1" applyAlignment="1">
      <alignment horizontal="right" wrapText="1"/>
    </xf>
    <xf numFmtId="0" fontId="37" fillId="0" borderId="1" xfId="24" applyFont="1" applyBorder="1" applyAlignment="1">
      <alignment horizontal="left"/>
    </xf>
    <xf numFmtId="0" fontId="37" fillId="0" borderId="1" xfId="24" applyFont="1" applyBorder="1" applyAlignment="1">
      <alignment horizontal="center"/>
    </xf>
    <xf numFmtId="0" fontId="37" fillId="0" borderId="1" xfId="24" applyFont="1" applyBorder="1"/>
    <xf numFmtId="4" fontId="37" fillId="0" borderId="1" xfId="24" applyNumberFormat="1" applyFont="1" applyBorder="1"/>
    <xf numFmtId="0" fontId="4" fillId="0" borderId="0" xfId="23" applyFill="1"/>
    <xf numFmtId="0" fontId="40" fillId="0" borderId="0" xfId="0" applyFont="1" applyFill="1"/>
    <xf numFmtId="0" fontId="43" fillId="0" borderId="1" xfId="8" applyFont="1" applyFill="1" applyBorder="1" applyAlignment="1">
      <alignment horizontal="center" vertical="center" textRotation="90" wrapText="1"/>
    </xf>
    <xf numFmtId="0" fontId="40" fillId="0" borderId="0" xfId="0" applyFont="1" applyFill="1" applyAlignment="1">
      <alignment vertical="center"/>
    </xf>
    <xf numFmtId="4" fontId="40" fillId="0" borderId="1" xfId="0" applyNumberFormat="1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5" fillId="0" borderId="0" xfId="8" applyFill="1"/>
    <xf numFmtId="4" fontId="25" fillId="0" borderId="1" xfId="0" applyNumberFormat="1" applyFont="1" applyFill="1" applyBorder="1" applyAlignment="1">
      <alignment horizontal="right" wrapText="1"/>
    </xf>
    <xf numFmtId="0" fontId="37" fillId="0" borderId="0" xfId="0" applyFont="1" applyFill="1" applyAlignment="1">
      <alignment horizontal="right"/>
    </xf>
    <xf numFmtId="0" fontId="37" fillId="0" borderId="0" xfId="0" applyFont="1" applyFill="1" applyAlignment="1">
      <alignment horizontal="right" vertical="center" wrapText="1"/>
    </xf>
    <xf numFmtId="0" fontId="62" fillId="0" borderId="0" xfId="0" applyFont="1" applyFill="1" applyAlignment="1">
      <alignment horizontal="center" vertical="center" wrapText="1"/>
    </xf>
    <xf numFmtId="4" fontId="37" fillId="0" borderId="0" xfId="9" applyNumberFormat="1" applyFont="1" applyFill="1" applyBorder="1" applyAlignment="1">
      <alignment horizontal="center" vertical="center" textRotation="90" wrapText="1"/>
    </xf>
    <xf numFmtId="4" fontId="37" fillId="0" borderId="0" xfId="9" applyNumberFormat="1" applyFont="1" applyFill="1" applyBorder="1" applyAlignment="1">
      <alignment horizontal="center" vertical="center" wrapText="1"/>
    </xf>
    <xf numFmtId="4" fontId="37" fillId="0" borderId="0" xfId="9" applyNumberFormat="1" applyFont="1" applyFill="1" applyBorder="1" applyAlignment="1">
      <alignment horizontal="center" vertical="center"/>
    </xf>
    <xf numFmtId="0" fontId="37" fillId="0" borderId="0" xfId="9" applyFont="1" applyFill="1" applyBorder="1" applyAlignment="1">
      <alignment horizontal="center" vertical="center"/>
    </xf>
    <xf numFmtId="4" fontId="37" fillId="0" borderId="1" xfId="0" applyNumberFormat="1" applyFont="1" applyFill="1" applyBorder="1" applyAlignment="1">
      <alignment horizontal="right" vertical="center" wrapText="1"/>
    </xf>
    <xf numFmtId="0" fontId="37" fillId="0" borderId="1" xfId="0" applyFont="1" applyFill="1" applyBorder="1" applyAlignment="1">
      <alignment horizontal="right" vertical="center"/>
    </xf>
    <xf numFmtId="4" fontId="37" fillId="0" borderId="5" xfId="0" applyNumberFormat="1" applyFont="1" applyFill="1" applyBorder="1" applyAlignment="1">
      <alignment horizontal="right" vertical="center"/>
    </xf>
    <xf numFmtId="0" fontId="37" fillId="0" borderId="0" xfId="0" applyFont="1" applyFill="1"/>
    <xf numFmtId="4" fontId="37" fillId="0" borderId="0" xfId="0" applyNumberFormat="1" applyFont="1" applyFill="1"/>
    <xf numFmtId="4" fontId="43" fillId="0" borderId="1" xfId="0" applyNumberFormat="1" applyFont="1" applyFill="1" applyBorder="1" applyAlignment="1">
      <alignment horizontal="right"/>
    </xf>
    <xf numFmtId="4" fontId="24" fillId="0" borderId="1" xfId="0" applyNumberFormat="1" applyFont="1" applyFill="1" applyBorder="1" applyAlignment="1">
      <alignment horizontal="right" wrapText="1"/>
    </xf>
    <xf numFmtId="4" fontId="24" fillId="0" borderId="1" xfId="0" applyNumberFormat="1" applyFont="1" applyFill="1" applyBorder="1" applyAlignment="1"/>
    <xf numFmtId="4" fontId="24" fillId="0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23" fillId="0" borderId="1" xfId="0" applyFont="1" applyFill="1" applyBorder="1" applyAlignment="1">
      <alignment horizontal="left" vertical="center" wrapText="1"/>
    </xf>
    <xf numFmtId="0" fontId="23" fillId="0" borderId="1" xfId="0" applyNumberFormat="1" applyFont="1" applyFill="1" applyBorder="1" applyAlignment="1">
      <alignment horizontal="right" vertical="center"/>
    </xf>
    <xf numFmtId="1" fontId="23" fillId="0" borderId="1" xfId="0" applyNumberFormat="1" applyFont="1" applyFill="1" applyBorder="1" applyAlignment="1">
      <alignment horizontal="center" vertical="center"/>
    </xf>
    <xf numFmtId="1" fontId="23" fillId="0" borderId="5" xfId="0" applyNumberFormat="1" applyFont="1" applyFill="1" applyBorder="1" applyAlignment="1">
      <alignment horizontal="center" vertical="center"/>
    </xf>
    <xf numFmtId="4" fontId="23" fillId="0" borderId="0" xfId="0" applyNumberFormat="1" applyFont="1" applyFill="1" applyAlignment="1">
      <alignment vertical="center"/>
    </xf>
    <xf numFmtId="0" fontId="64" fillId="0" borderId="1" xfId="28" applyFont="1" applyFill="1" applyBorder="1" applyAlignment="1">
      <alignment horizontal="left"/>
    </xf>
    <xf numFmtId="4" fontId="25" fillId="0" borderId="1" xfId="0" applyNumberFormat="1" applyFont="1" applyFill="1" applyBorder="1"/>
    <xf numFmtId="0" fontId="33" fillId="0" borderId="1" xfId="0" applyFont="1" applyBorder="1" applyAlignment="1">
      <alignment horizontal="right"/>
    </xf>
    <xf numFmtId="0" fontId="33" fillId="0" borderId="1" xfId="0" applyFont="1" applyBorder="1" applyAlignment="1">
      <alignment horizontal="right" wrapText="1"/>
    </xf>
    <xf numFmtId="167" fontId="33" fillId="0" borderId="1" xfId="0" applyNumberFormat="1" applyFont="1" applyBorder="1" applyAlignment="1">
      <alignment horizontal="center"/>
    </xf>
    <xf numFmtId="1" fontId="33" fillId="0" borderId="1" xfId="0" applyNumberFormat="1" applyFont="1" applyBorder="1" applyAlignment="1">
      <alignment horizontal="center" wrapText="1"/>
    </xf>
    <xf numFmtId="4" fontId="33" fillId="0" borderId="1" xfId="0" applyNumberFormat="1" applyFont="1" applyBorder="1" applyAlignment="1">
      <alignment horizontal="center"/>
    </xf>
    <xf numFmtId="167" fontId="33" fillId="0" borderId="1" xfId="0" applyNumberFormat="1" applyFont="1" applyBorder="1" applyAlignment="1">
      <alignment horizontal="center" wrapText="1"/>
    </xf>
    <xf numFmtId="3" fontId="33" fillId="0" borderId="1" xfId="0" applyNumberFormat="1" applyFont="1" applyBorder="1" applyAlignment="1">
      <alignment horizontal="center" wrapText="1"/>
    </xf>
    <xf numFmtId="0" fontId="43" fillId="0" borderId="1" xfId="0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 wrapText="1"/>
    </xf>
    <xf numFmtId="3" fontId="43" fillId="0" borderId="1" xfId="0" applyNumberFormat="1" applyFont="1" applyFill="1" applyBorder="1" applyAlignment="1">
      <alignment horizontal="right"/>
    </xf>
    <xf numFmtId="3" fontId="43" fillId="0" borderId="1" xfId="0" applyNumberFormat="1" applyFont="1" applyFill="1" applyBorder="1" applyAlignment="1">
      <alignment horizontal="center"/>
    </xf>
    <xf numFmtId="1" fontId="35" fillId="0" borderId="1" xfId="28" applyNumberFormat="1" applyFont="1" applyFill="1" applyBorder="1" applyAlignment="1">
      <alignment horizontal="center"/>
    </xf>
    <xf numFmtId="167" fontId="30" fillId="0" borderId="1" xfId="0" applyNumberFormat="1" applyFont="1" applyFill="1" applyBorder="1" applyAlignment="1">
      <alignment horizontal="left" wrapText="1"/>
    </xf>
    <xf numFmtId="0" fontId="58" fillId="0" borderId="0" xfId="0" applyFont="1" applyFill="1"/>
    <xf numFmtId="0" fontId="60" fillId="0" borderId="0" xfId="0" applyFont="1" applyFill="1"/>
    <xf numFmtId="4" fontId="43" fillId="0" borderId="1" xfId="0" applyNumberFormat="1" applyFont="1" applyFill="1" applyBorder="1" applyAlignment="1">
      <alignment horizontal="center"/>
    </xf>
    <xf numFmtId="0" fontId="65" fillId="0" borderId="0" xfId="0" applyFont="1" applyFill="1"/>
    <xf numFmtId="4" fontId="28" fillId="0" borderId="1" xfId="10" applyNumberFormat="1" applyFont="1" applyFill="1" applyBorder="1" applyAlignment="1">
      <alignment horizontal="right" wrapText="1"/>
    </xf>
    <xf numFmtId="0" fontId="28" fillId="0" borderId="1" xfId="0" applyNumberFormat="1" applyFont="1" applyFill="1" applyBorder="1" applyAlignment="1">
      <alignment horizontal="right"/>
    </xf>
    <xf numFmtId="1" fontId="28" fillId="0" borderId="1" xfId="0" applyNumberFormat="1" applyFont="1" applyFill="1" applyBorder="1" applyAlignment="1">
      <alignment horizontal="center"/>
    </xf>
    <xf numFmtId="1" fontId="28" fillId="0" borderId="5" xfId="0" applyNumberFormat="1" applyFont="1" applyFill="1" applyBorder="1" applyAlignment="1">
      <alignment horizontal="center"/>
    </xf>
    <xf numFmtId="4" fontId="28" fillId="0" borderId="0" xfId="0" applyNumberFormat="1" applyFont="1" applyFill="1"/>
    <xf numFmtId="3" fontId="1" fillId="0" borderId="3" xfId="0" applyNumberFormat="1" applyFont="1" applyFill="1" applyBorder="1" applyAlignment="1">
      <alignment horizontal="center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0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0" fontId="4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30" fillId="0" borderId="0" xfId="19" applyFont="1" applyFill="1" applyAlignment="1">
      <alignment horizontal="right" wrapText="1"/>
    </xf>
    <xf numFmtId="0" fontId="25" fillId="0" borderId="1" xfId="0" applyFont="1" applyFill="1" applyBorder="1" applyAlignment="1">
      <alignment horizontal="right"/>
    </xf>
    <xf numFmtId="4" fontId="25" fillId="0" borderId="1" xfId="8" applyNumberFormat="1" applyFont="1" applyFill="1" applyBorder="1" applyAlignment="1">
      <alignment horizontal="right"/>
    </xf>
    <xf numFmtId="4" fontId="23" fillId="0" borderId="1" xfId="0" applyNumberFormat="1" applyFont="1" applyFill="1" applyBorder="1" applyAlignment="1">
      <alignment vertical="center" wrapText="1"/>
    </xf>
    <xf numFmtId="0" fontId="48" fillId="0" borderId="1" xfId="0" applyFont="1" applyFill="1" applyBorder="1" applyAlignment="1">
      <alignment horizontal="right"/>
    </xf>
    <xf numFmtId="169" fontId="25" fillId="0" borderId="1" xfId="10" applyNumberFormat="1" applyFont="1" applyFill="1" applyBorder="1" applyAlignment="1">
      <alignment horizontal="right"/>
    </xf>
    <xf numFmtId="0" fontId="28" fillId="0" borderId="1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3" fillId="0" borderId="0" xfId="0" applyFont="1" applyFill="1" applyAlignment="1">
      <alignment vertical="center"/>
    </xf>
    <xf numFmtId="4" fontId="47" fillId="0" borderId="1" xfId="0" applyNumberFormat="1" applyFont="1" applyFill="1" applyBorder="1" applyAlignment="1">
      <alignment horizontal="right" vertical="center"/>
    </xf>
    <xf numFmtId="4" fontId="24" fillId="0" borderId="0" xfId="0" applyNumberFormat="1" applyFont="1" applyFill="1" applyAlignment="1">
      <alignment vertical="center"/>
    </xf>
    <xf numFmtId="0" fontId="28" fillId="0" borderId="0" xfId="0" applyFont="1" applyFill="1" applyAlignment="1">
      <alignment vertical="center"/>
    </xf>
    <xf numFmtId="4" fontId="25" fillId="0" borderId="1" xfId="0" applyNumberFormat="1" applyFont="1" applyFill="1" applyBorder="1" applyAlignment="1">
      <alignment horizontal="right" vertical="center"/>
    </xf>
    <xf numFmtId="0" fontId="31" fillId="0" borderId="1" xfId="0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4" fontId="37" fillId="0" borderId="0" xfId="0" applyNumberFormat="1" applyFont="1" applyFill="1" applyAlignment="1">
      <alignment vertical="center"/>
    </xf>
    <xf numFmtId="0" fontId="37" fillId="0" borderId="0" xfId="0" applyFont="1" applyFill="1" applyAlignment="1">
      <alignment vertical="center"/>
    </xf>
    <xf numFmtId="0" fontId="31" fillId="0" borderId="0" xfId="0" applyFont="1" applyFill="1" applyAlignment="1">
      <alignment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/>
    </xf>
    <xf numFmtId="0" fontId="4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4" fontId="43" fillId="0" borderId="0" xfId="0" applyNumberFormat="1" applyFont="1" applyFill="1" applyAlignment="1">
      <alignment vertical="center"/>
    </xf>
    <xf numFmtId="0" fontId="41" fillId="0" borderId="0" xfId="0" applyFont="1" applyFill="1" applyAlignment="1">
      <alignment horizontal="left" vertical="center"/>
    </xf>
    <xf numFmtId="0" fontId="40" fillId="0" borderId="1" xfId="0" applyFont="1" applyFill="1" applyBorder="1" applyAlignment="1">
      <alignment horizontal="center" vertical="center"/>
    </xf>
    <xf numFmtId="0" fontId="30" fillId="0" borderId="1" xfId="19" applyFont="1" applyFill="1" applyBorder="1" applyAlignment="1">
      <alignment horizontal="left"/>
    </xf>
    <xf numFmtId="0" fontId="30" fillId="0" borderId="1" xfId="19" applyFont="1" applyFill="1" applyBorder="1"/>
    <xf numFmtId="4" fontId="15" fillId="0" borderId="1" xfId="19" applyNumberFormat="1" applyFont="1" applyFill="1" applyBorder="1" applyAlignment="1">
      <alignment horizontal="right" wrapText="1"/>
    </xf>
    <xf numFmtId="1" fontId="15" fillId="0" borderId="1" xfId="19" applyNumberFormat="1" applyFont="1" applyFill="1" applyBorder="1" applyAlignment="1">
      <alignment horizontal="right" wrapText="1"/>
    </xf>
    <xf numFmtId="4" fontId="15" fillId="0" borderId="1" xfId="19" applyNumberFormat="1" applyFont="1" applyFill="1" applyBorder="1" applyAlignment="1">
      <alignment horizontal="center" wrapText="1"/>
    </xf>
    <xf numFmtId="4" fontId="15" fillId="0" borderId="1" xfId="19" applyNumberFormat="1" applyFont="1" applyFill="1" applyBorder="1"/>
    <xf numFmtId="1" fontId="15" fillId="0" borderId="1" xfId="19" applyNumberFormat="1" applyFont="1" applyFill="1" applyBorder="1"/>
    <xf numFmtId="0" fontId="15" fillId="0" borderId="1" xfId="19" applyFont="1" applyFill="1" applyBorder="1" applyAlignment="1">
      <alignment horizontal="center"/>
    </xf>
    <xf numFmtId="4" fontId="15" fillId="0" borderId="1" xfId="19" applyNumberFormat="1" applyFont="1" applyFill="1" applyBorder="1" applyAlignment="1">
      <alignment horizontal="right"/>
    </xf>
    <xf numFmtId="1" fontId="15" fillId="0" borderId="1" xfId="19" applyNumberFormat="1" applyFont="1" applyFill="1" applyBorder="1" applyAlignment="1">
      <alignment horizontal="right"/>
    </xf>
    <xf numFmtId="0" fontId="30" fillId="0" borderId="1" xfId="0" applyFont="1" applyFill="1" applyBorder="1"/>
    <xf numFmtId="0" fontId="30" fillId="0" borderId="6" xfId="19" applyFont="1" applyFill="1" applyBorder="1" applyAlignment="1">
      <alignment horizontal="left"/>
    </xf>
    <xf numFmtId="4" fontId="23" fillId="0" borderId="1" xfId="0" applyNumberFormat="1" applyFont="1" applyFill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right" vertical="center" wrapText="1"/>
    </xf>
    <xf numFmtId="168" fontId="23" fillId="0" borderId="5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168" fontId="23" fillId="0" borderId="1" xfId="0" applyNumberFormat="1" applyFont="1" applyFill="1" applyBorder="1" applyAlignment="1">
      <alignment horizontal="left"/>
    </xf>
    <xf numFmtId="167" fontId="31" fillId="0" borderId="1" xfId="0" applyNumberFormat="1" applyFont="1" applyFill="1" applyBorder="1" applyAlignment="1">
      <alignment wrapText="1"/>
    </xf>
    <xf numFmtId="0" fontId="23" fillId="0" borderId="5" xfId="0" applyFont="1" applyFill="1" applyBorder="1" applyAlignment="1">
      <alignment horizontal="center"/>
    </xf>
    <xf numFmtId="167" fontId="23" fillId="0" borderId="1" xfId="0" applyNumberFormat="1" applyFont="1" applyFill="1" applyBorder="1" applyAlignment="1">
      <alignment horizontal="left" wrapText="1"/>
    </xf>
    <xf numFmtId="167" fontId="23" fillId="0" borderId="1" xfId="0" applyNumberFormat="1" applyFont="1" applyFill="1" applyBorder="1" applyAlignment="1">
      <alignment horizontal="right"/>
    </xf>
    <xf numFmtId="0" fontId="28" fillId="0" borderId="1" xfId="28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0" fontId="35" fillId="0" borderId="1" xfId="28" applyFont="1" applyFill="1" applyBorder="1" applyAlignment="1">
      <alignment horizontal="left"/>
    </xf>
    <xf numFmtId="168" fontId="30" fillId="0" borderId="1" xfId="0" applyNumberFormat="1" applyFont="1" applyFill="1" applyBorder="1" applyAlignment="1">
      <alignment horizontal="left"/>
    </xf>
    <xf numFmtId="0" fontId="45" fillId="0" borderId="6" xfId="28" applyFont="1" applyFill="1" applyBorder="1" applyAlignment="1">
      <alignment horizontal="center" vertical="center"/>
    </xf>
    <xf numFmtId="0" fontId="45" fillId="0" borderId="7" xfId="28" applyFont="1" applyFill="1" applyBorder="1" applyAlignment="1">
      <alignment horizontal="center" vertical="center"/>
    </xf>
    <xf numFmtId="0" fontId="45" fillId="0" borderId="5" xfId="28" applyFont="1" applyFill="1" applyBorder="1" applyAlignment="1">
      <alignment horizontal="center" vertical="center"/>
    </xf>
    <xf numFmtId="0" fontId="46" fillId="0" borderId="6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center" vertical="center" wrapText="1"/>
    </xf>
    <xf numFmtId="0" fontId="46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2" fontId="26" fillId="0" borderId="1" xfId="0" applyNumberFormat="1" applyFont="1" applyFill="1" applyBorder="1" applyAlignment="1">
      <alignment horizontal="center" vertical="center" textRotation="90" wrapText="1"/>
    </xf>
    <xf numFmtId="1" fontId="21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right"/>
    </xf>
    <xf numFmtId="0" fontId="27" fillId="0" borderId="0" xfId="0" applyFont="1" applyFill="1" applyAlignment="1">
      <alignment horizontal="right" vertical="center" wrapText="1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textRotation="90" wrapText="1"/>
    </xf>
    <xf numFmtId="2" fontId="26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4" fontId="26" fillId="0" borderId="1" xfId="0" applyNumberFormat="1" applyFont="1" applyFill="1" applyBorder="1" applyAlignment="1">
      <alignment horizontal="center" vertical="center" textRotation="90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left" vertical="center" wrapText="1"/>
    </xf>
    <xf numFmtId="0" fontId="30" fillId="0" borderId="5" xfId="0" applyFont="1" applyFill="1" applyBorder="1" applyAlignment="1">
      <alignment horizontal="left" vertical="center" wrapText="1"/>
    </xf>
    <xf numFmtId="4" fontId="30" fillId="0" borderId="1" xfId="9" applyNumberFormat="1" applyFont="1" applyFill="1" applyBorder="1" applyAlignment="1">
      <alignment horizontal="center" vertical="center" textRotation="90" wrapText="1"/>
    </xf>
    <xf numFmtId="4" fontId="30" fillId="0" borderId="1" xfId="9" applyNumberFormat="1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 textRotation="90" wrapText="1"/>
    </xf>
    <xf numFmtId="0" fontId="30" fillId="0" borderId="1" xfId="9" applyFont="1" applyFill="1" applyBorder="1" applyAlignment="1">
      <alignment horizontal="center" vertical="center" wrapText="1"/>
    </xf>
    <xf numFmtId="0" fontId="30" fillId="0" borderId="1" xfId="9" applyFont="1" applyFill="1" applyBorder="1" applyAlignment="1">
      <alignment horizontal="center" vertical="center"/>
    </xf>
    <xf numFmtId="0" fontId="30" fillId="0" borderId="1" xfId="9" applyFont="1" applyFill="1" applyBorder="1" applyAlignment="1">
      <alignment horizontal="center" textRotation="90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right"/>
    </xf>
    <xf numFmtId="0" fontId="30" fillId="0" borderId="0" xfId="0" applyFont="1" applyFill="1" applyAlignment="1">
      <alignment horizontal="right" vertical="center" wrapText="1"/>
    </xf>
    <xf numFmtId="0" fontId="30" fillId="0" borderId="1" xfId="9" applyNumberFormat="1" applyFont="1" applyFill="1" applyBorder="1" applyAlignment="1">
      <alignment horizontal="center" vertical="center" textRotation="90" wrapText="1"/>
    </xf>
    <xf numFmtId="0" fontId="30" fillId="0" borderId="1" xfId="9" applyNumberFormat="1" applyFont="1" applyFill="1" applyBorder="1" applyAlignment="1">
      <alignment horizontal="center" vertical="center" wrapText="1"/>
    </xf>
    <xf numFmtId="0" fontId="1" fillId="0" borderId="6" xfId="23" applyFont="1" applyBorder="1" applyAlignment="1">
      <alignment horizontal="center" vertical="center" wrapText="1"/>
    </xf>
    <xf numFmtId="0" fontId="1" fillId="0" borderId="7" xfId="23" applyFont="1" applyBorder="1" applyAlignment="1">
      <alignment horizontal="center" vertical="center" wrapText="1"/>
    </xf>
    <xf numFmtId="0" fontId="1" fillId="0" borderId="5" xfId="23" applyFont="1" applyBorder="1" applyAlignment="1">
      <alignment horizontal="center" vertical="center" wrapText="1"/>
    </xf>
    <xf numFmtId="0" fontId="1" fillId="0" borderId="6" xfId="23" applyFont="1" applyBorder="1" applyAlignment="1">
      <alignment wrapText="1"/>
    </xf>
    <xf numFmtId="0" fontId="1" fillId="0" borderId="5" xfId="23" applyFont="1" applyBorder="1" applyAlignment="1">
      <alignment wrapText="1"/>
    </xf>
    <xf numFmtId="0" fontId="9" fillId="0" borderId="0" xfId="23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left" vertical="center"/>
    </xf>
    <xf numFmtId="1" fontId="9" fillId="0" borderId="5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top" wrapText="1"/>
    </xf>
    <xf numFmtId="0" fontId="1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2" fontId="43" fillId="0" borderId="1" xfId="0" applyNumberFormat="1" applyFont="1" applyFill="1" applyBorder="1" applyAlignment="1">
      <alignment horizontal="center" vertical="center" textRotation="90" wrapText="1"/>
    </xf>
    <xf numFmtId="0" fontId="24" fillId="0" borderId="8" xfId="23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4" fontId="43" fillId="0" borderId="2" xfId="0" applyNumberFormat="1" applyFont="1" applyFill="1" applyBorder="1" applyAlignment="1">
      <alignment horizontal="center" vertical="center" textRotation="90" wrapText="1"/>
    </xf>
    <xf numFmtId="4" fontId="43" fillId="0" borderId="3" xfId="0" applyNumberFormat="1" applyFont="1" applyFill="1" applyBorder="1" applyAlignment="1">
      <alignment horizontal="center" vertical="center" textRotation="90" wrapText="1"/>
    </xf>
    <xf numFmtId="4" fontId="43" fillId="0" borderId="4" xfId="0" applyNumberFormat="1" applyFont="1" applyFill="1" applyBorder="1" applyAlignment="1">
      <alignment horizontal="center" vertical="center" textRotation="90" wrapText="1"/>
    </xf>
    <xf numFmtId="0" fontId="43" fillId="0" borderId="6" xfId="0" applyFont="1" applyFill="1" applyBorder="1" applyAlignment="1">
      <alignment horizontal="center" vertical="center" wrapText="1"/>
    </xf>
    <xf numFmtId="0" fontId="43" fillId="0" borderId="7" xfId="0" applyFont="1" applyFill="1" applyBorder="1" applyAlignment="1">
      <alignment horizontal="center" vertical="center" wrapText="1"/>
    </xf>
    <xf numFmtId="0" fontId="43" fillId="0" borderId="5" xfId="0" applyFont="1" applyFill="1" applyBorder="1" applyAlignment="1">
      <alignment horizontal="center" vertical="center" wrapText="1"/>
    </xf>
    <xf numFmtId="0" fontId="15" fillId="0" borderId="1" xfId="33" applyFont="1" applyFill="1" applyBorder="1" applyAlignment="1">
      <alignment horizontal="center" vertical="center" textRotation="90" wrapText="1"/>
    </xf>
    <xf numFmtId="0" fontId="43" fillId="0" borderId="1" xfId="0" applyFont="1" applyFill="1" applyBorder="1" applyAlignment="1">
      <alignment horizontal="center" vertical="center" textRotation="90" wrapText="1"/>
    </xf>
    <xf numFmtId="0" fontId="30" fillId="0" borderId="1" xfId="24" applyFont="1" applyBorder="1" applyAlignment="1">
      <alignment horizontal="center" vertical="center" wrapText="1"/>
    </xf>
    <xf numFmtId="4" fontId="43" fillId="0" borderId="2" xfId="24" applyNumberFormat="1" applyFont="1" applyBorder="1" applyAlignment="1">
      <alignment horizontal="center" vertical="center" textRotation="90" wrapText="1"/>
    </xf>
    <xf numFmtId="4" fontId="43" fillId="0" borderId="3" xfId="24" applyNumberFormat="1" applyFont="1" applyBorder="1" applyAlignment="1">
      <alignment horizontal="center" vertical="center" textRotation="90" wrapText="1"/>
    </xf>
    <xf numFmtId="4" fontId="43" fillId="0" borderId="4" xfId="24" applyNumberFormat="1" applyFont="1" applyBorder="1" applyAlignment="1">
      <alignment horizontal="center" vertical="center" textRotation="90" wrapText="1"/>
    </xf>
    <xf numFmtId="0" fontId="43" fillId="0" borderId="1" xfId="24" applyFont="1" applyBorder="1" applyAlignment="1">
      <alignment horizontal="center" vertical="center" wrapText="1"/>
    </xf>
    <xf numFmtId="2" fontId="43" fillId="0" borderId="9" xfId="24" applyNumberFormat="1" applyFont="1" applyBorder="1" applyAlignment="1">
      <alignment horizontal="center" vertical="center" wrapText="1"/>
    </xf>
    <xf numFmtId="2" fontId="43" fillId="0" borderId="13" xfId="24" applyNumberFormat="1" applyFont="1" applyBorder="1" applyAlignment="1">
      <alignment horizontal="center" vertical="center" wrapText="1"/>
    </xf>
    <xf numFmtId="2" fontId="43" fillId="0" borderId="2" xfId="24" applyNumberFormat="1" applyFont="1" applyBorder="1" applyAlignment="1">
      <alignment horizontal="center" vertical="center" textRotation="90" wrapText="1"/>
    </xf>
    <xf numFmtId="2" fontId="43" fillId="0" borderId="4" xfId="24" applyNumberFormat="1" applyFont="1" applyBorder="1" applyAlignment="1">
      <alignment horizontal="center" vertical="center" textRotation="90" wrapText="1"/>
    </xf>
    <xf numFmtId="0" fontId="58" fillId="0" borderId="0" xfId="24" applyFont="1" applyAlignment="1">
      <alignment horizontal="center"/>
    </xf>
    <xf numFmtId="0" fontId="7" fillId="0" borderId="0" xfId="24" applyFont="1" applyAlignment="1">
      <alignment horizontal="right"/>
    </xf>
    <xf numFmtId="0" fontId="24" fillId="0" borderId="8" xfId="24" applyFont="1" applyBorder="1" applyAlignment="1">
      <alignment horizontal="center" vertical="center" wrapText="1"/>
    </xf>
    <xf numFmtId="0" fontId="43" fillId="0" borderId="1" xfId="32" applyFont="1" applyBorder="1" applyAlignment="1">
      <alignment horizontal="center" vertical="center" textRotation="90" wrapText="1"/>
    </xf>
    <xf numFmtId="0" fontId="43" fillId="0" borderId="1" xfId="24" applyFont="1" applyBorder="1" applyAlignment="1">
      <alignment horizontal="center" vertical="center" textRotation="90" wrapText="1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" vertical="top" wrapText="1"/>
    </xf>
    <xf numFmtId="0" fontId="21" fillId="0" borderId="0" xfId="0" applyFont="1" applyFill="1" applyAlignment="1">
      <alignment horizontal="left" wrapText="1"/>
    </xf>
    <xf numFmtId="0" fontId="21" fillId="0" borderId="8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4" fontId="26" fillId="0" borderId="3" xfId="0" applyNumberFormat="1" applyFont="1" applyFill="1" applyBorder="1" applyAlignment="1">
      <alignment horizontal="center" vertical="center" wrapText="1"/>
    </xf>
    <xf numFmtId="4" fontId="26" fillId="0" borderId="4" xfId="0" applyNumberFormat="1" applyFont="1" applyFill="1" applyBorder="1" applyAlignment="1">
      <alignment horizontal="center" vertical="center" wrapText="1"/>
    </xf>
    <xf numFmtId="2" fontId="26" fillId="0" borderId="1" xfId="19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textRotation="90" wrapText="1"/>
    </xf>
    <xf numFmtId="0" fontId="26" fillId="0" borderId="3" xfId="0" applyFont="1" applyFill="1" applyBorder="1" applyAlignment="1">
      <alignment horizontal="center" vertical="center" textRotation="90" wrapText="1"/>
    </xf>
    <xf numFmtId="0" fontId="26" fillId="0" borderId="4" xfId="0" applyFont="1" applyFill="1" applyBorder="1" applyAlignment="1">
      <alignment horizontal="center" vertical="center" textRotation="90" wrapText="1"/>
    </xf>
    <xf numFmtId="0" fontId="23" fillId="0" borderId="1" xfId="0" applyFont="1" applyFill="1" applyBorder="1" applyAlignment="1">
      <alignment horizontal="center" vertical="center"/>
    </xf>
    <xf numFmtId="2" fontId="26" fillId="0" borderId="2" xfId="19" applyNumberFormat="1" applyFont="1" applyFill="1" applyBorder="1" applyAlignment="1">
      <alignment horizontal="center" vertical="center" textRotation="90" wrapText="1"/>
    </xf>
    <xf numFmtId="2" fontId="26" fillId="0" borderId="4" xfId="19" applyNumberFormat="1" applyFont="1" applyFill="1" applyBorder="1" applyAlignment="1">
      <alignment horizontal="center" vertical="center" textRotation="90" wrapText="1"/>
    </xf>
    <xf numFmtId="0" fontId="26" fillId="0" borderId="9" xfId="0" applyFont="1" applyFill="1" applyBorder="1" applyAlignment="1">
      <alignment horizontal="center" vertical="center" wrapText="1"/>
    </xf>
    <xf numFmtId="0" fontId="26" fillId="0" borderId="10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168" fontId="23" fillId="0" borderId="6" xfId="0" applyNumberFormat="1" applyFont="1" applyFill="1" applyBorder="1" applyAlignment="1">
      <alignment horizontal="left"/>
    </xf>
    <xf numFmtId="168" fontId="23" fillId="0" borderId="5" xfId="0" applyNumberFormat="1" applyFont="1" applyFill="1" applyBorder="1" applyAlignment="1">
      <alignment horizontal="left"/>
    </xf>
    <xf numFmtId="2" fontId="26" fillId="0" borderId="2" xfId="0" applyNumberFormat="1" applyFont="1" applyFill="1" applyBorder="1" applyAlignment="1">
      <alignment horizontal="center" vertical="center" textRotation="90" wrapText="1"/>
    </xf>
    <xf numFmtId="2" fontId="26" fillId="0" borderId="4" xfId="0" applyNumberFormat="1" applyFont="1" applyFill="1" applyBorder="1" applyAlignment="1">
      <alignment horizontal="center" vertical="center" textRotation="90" wrapText="1"/>
    </xf>
    <xf numFmtId="0" fontId="30" fillId="0" borderId="2" xfId="29" applyFont="1" applyFill="1" applyBorder="1" applyAlignment="1">
      <alignment horizontal="center" vertical="center" wrapText="1"/>
    </xf>
    <xf numFmtId="0" fontId="30" fillId="0" borderId="3" xfId="29" applyFont="1" applyFill="1" applyBorder="1" applyAlignment="1">
      <alignment horizontal="center" vertical="center" wrapText="1"/>
    </xf>
    <xf numFmtId="0" fontId="30" fillId="0" borderId="4" xfId="29" applyFont="1" applyFill="1" applyBorder="1" applyAlignment="1">
      <alignment horizontal="center" vertical="center" wrapText="1"/>
    </xf>
    <xf numFmtId="0" fontId="30" fillId="0" borderId="1" xfId="29" applyFont="1" applyFill="1" applyBorder="1" applyAlignment="1">
      <alignment horizontal="center" textRotation="90" wrapText="1"/>
    </xf>
    <xf numFmtId="0" fontId="30" fillId="0" borderId="1" xfId="29" applyFont="1" applyFill="1" applyBorder="1" applyAlignment="1">
      <alignment horizontal="center" wrapText="1"/>
    </xf>
    <xf numFmtId="0" fontId="30" fillId="0" borderId="1" xfId="29" applyFont="1" applyFill="1" applyBorder="1" applyAlignment="1">
      <alignment horizontal="center" vertical="center" textRotation="90" wrapText="1"/>
    </xf>
    <xf numFmtId="0" fontId="30" fillId="0" borderId="1" xfId="29" applyFont="1" applyFill="1" applyBorder="1" applyAlignment="1">
      <alignment vertical="center" wrapText="1"/>
    </xf>
    <xf numFmtId="0" fontId="30" fillId="0" borderId="1" xfId="29" applyFont="1" applyFill="1" applyBorder="1" applyAlignment="1">
      <alignment vertical="center"/>
    </xf>
    <xf numFmtId="0" fontId="30" fillId="0" borderId="2" xfId="29" applyFont="1" applyFill="1" applyBorder="1" applyAlignment="1">
      <alignment horizontal="center" vertical="center" textRotation="90" wrapText="1"/>
    </xf>
    <xf numFmtId="0" fontId="30" fillId="0" borderId="4" xfId="29" applyFont="1" applyFill="1" applyBorder="1" applyAlignment="1">
      <alignment horizontal="center" vertical="center"/>
    </xf>
    <xf numFmtId="0" fontId="30" fillId="0" borderId="4" xfId="29" applyFont="1" applyFill="1" applyBorder="1" applyAlignment="1">
      <alignment vertical="center" wrapText="1"/>
    </xf>
    <xf numFmtId="0" fontId="26" fillId="0" borderId="6" xfId="29" applyFont="1" applyFill="1" applyBorder="1" applyAlignment="1">
      <alignment horizontal="center" vertical="center"/>
    </xf>
    <xf numFmtId="0" fontId="26" fillId="0" borderId="7" xfId="29" applyFont="1" applyFill="1" applyBorder="1" applyAlignment="1">
      <alignment horizontal="center" vertical="center"/>
    </xf>
    <xf numFmtId="0" fontId="26" fillId="0" borderId="5" xfId="29" applyFont="1" applyFill="1" applyBorder="1" applyAlignment="1">
      <alignment horizontal="center" vertical="center"/>
    </xf>
    <xf numFmtId="0" fontId="30" fillId="0" borderId="0" xfId="19" applyFont="1" applyFill="1" applyAlignment="1">
      <alignment horizontal="right" wrapText="1"/>
    </xf>
    <xf numFmtId="0" fontId="30" fillId="0" borderId="0" xfId="19" applyFont="1" applyFill="1" applyAlignment="1">
      <alignment horizontal="right" vertical="center" wrapText="1"/>
    </xf>
    <xf numFmtId="0" fontId="39" fillId="0" borderId="0" xfId="19" applyFont="1" applyFill="1" applyAlignment="1">
      <alignment horizontal="center" vertical="center" wrapText="1"/>
    </xf>
    <xf numFmtId="0" fontId="30" fillId="0" borderId="1" xfId="29" applyFont="1" applyFill="1" applyBorder="1" applyAlignment="1">
      <alignment horizontal="center" vertical="center" wrapText="1"/>
    </xf>
    <xf numFmtId="0" fontId="30" fillId="0" borderId="3" xfId="29" applyFont="1" applyFill="1" applyBorder="1" applyAlignment="1">
      <alignment vertical="center" wrapText="1"/>
    </xf>
    <xf numFmtId="0" fontId="30" fillId="0" borderId="4" xfId="29" applyFont="1" applyFill="1" applyBorder="1" applyAlignment="1">
      <alignment vertical="center"/>
    </xf>
    <xf numFmtId="0" fontId="30" fillId="0" borderId="2" xfId="29" applyFont="1" applyFill="1" applyBorder="1" applyAlignment="1">
      <alignment horizontal="center" textRotation="90" wrapText="1"/>
    </xf>
    <xf numFmtId="0" fontId="30" fillId="0" borderId="3" xfId="29" applyFont="1" applyFill="1" applyBorder="1" applyAlignment="1">
      <alignment horizontal="center" wrapText="1"/>
    </xf>
    <xf numFmtId="0" fontId="30" fillId="0" borderId="4" xfId="29" applyFont="1" applyFill="1" applyBorder="1" applyAlignment="1">
      <alignment horizontal="center" wrapText="1"/>
    </xf>
    <xf numFmtId="0" fontId="30" fillId="0" borderId="3" xfId="29" applyFont="1" applyFill="1" applyBorder="1" applyAlignment="1">
      <alignment horizontal="center" textRotation="90" wrapText="1"/>
    </xf>
    <xf numFmtId="0" fontId="30" fillId="0" borderId="4" xfId="29" applyFont="1" applyFill="1" applyBorder="1" applyAlignment="1">
      <alignment horizontal="center" textRotation="90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0" xfId="19" applyFont="1" applyAlignment="1">
      <alignment horizontal="right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wrapText="1"/>
    </xf>
    <xf numFmtId="0" fontId="16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</cellXfs>
  <cellStyles count="34">
    <cellStyle name="Excel Built-in Normal" xfId="10" xr:uid="{00000000-0005-0000-0000-000000000000}"/>
    <cellStyle name="Excel Built-in Normal 1" xfId="22" xr:uid="{00000000-0005-0000-0000-000001000000}"/>
    <cellStyle name="Excel Built-in Normal 2 2" xfId="14" xr:uid="{00000000-0005-0000-0000-000002000000}"/>
    <cellStyle name="Обычный" xfId="0" builtinId="0"/>
    <cellStyle name="Обычный 10" xfId="11" xr:uid="{00000000-0005-0000-0000-000004000000}"/>
    <cellStyle name="Обычный 11" xfId="19" xr:uid="{00000000-0005-0000-0000-000005000000}"/>
    <cellStyle name="Обычный 13" xfId="17" xr:uid="{00000000-0005-0000-0000-000006000000}"/>
    <cellStyle name="Обычный 14" xfId="1" xr:uid="{00000000-0005-0000-0000-000007000000}"/>
    <cellStyle name="Обычный 15" xfId="24" xr:uid="{00000000-0005-0000-0000-000008000000}"/>
    <cellStyle name="Обычный 17" xfId="6" xr:uid="{00000000-0005-0000-0000-000009000000}"/>
    <cellStyle name="Обычный 18" xfId="4" xr:uid="{00000000-0005-0000-0000-00000A000000}"/>
    <cellStyle name="Обычный 19" xfId="5" xr:uid="{00000000-0005-0000-0000-00000B000000}"/>
    <cellStyle name="Обычный 2" xfId="9" xr:uid="{00000000-0005-0000-0000-00000C000000}"/>
    <cellStyle name="Обычный 2 10" xfId="12" xr:uid="{00000000-0005-0000-0000-00000D000000}"/>
    <cellStyle name="Обычный 2 2 2" xfId="16" xr:uid="{00000000-0005-0000-0000-00000E000000}"/>
    <cellStyle name="Обычный 2 3" xfId="26" xr:uid="{00000000-0005-0000-0000-00000F000000}"/>
    <cellStyle name="Обычный 2 6" xfId="33" xr:uid="{00000000-0005-0000-0000-000010000000}"/>
    <cellStyle name="Обычный 2 8" xfId="29" xr:uid="{00000000-0005-0000-0000-000011000000}"/>
    <cellStyle name="Обычный 2 9" xfId="32" xr:uid="{00000000-0005-0000-0000-000012000000}"/>
    <cellStyle name="Обычный 21" xfId="7" xr:uid="{00000000-0005-0000-0000-000013000000}"/>
    <cellStyle name="Обычный 3" xfId="2" xr:uid="{00000000-0005-0000-0000-000014000000}"/>
    <cellStyle name="Обычный 3 16" xfId="8" xr:uid="{00000000-0005-0000-0000-000015000000}"/>
    <cellStyle name="Обычный 3 2" xfId="27" xr:uid="{00000000-0005-0000-0000-000016000000}"/>
    <cellStyle name="Обычный 3 3" xfId="15" xr:uid="{00000000-0005-0000-0000-000017000000}"/>
    <cellStyle name="Обычный 4" xfId="3" xr:uid="{00000000-0005-0000-0000-000018000000}"/>
    <cellStyle name="Обычный 4 2" xfId="13" xr:uid="{00000000-0005-0000-0000-000019000000}"/>
    <cellStyle name="Обычный 4 2 2 2" xfId="23" xr:uid="{00000000-0005-0000-0000-00001A000000}"/>
    <cellStyle name="Обычный 5" xfId="20" xr:uid="{00000000-0005-0000-0000-00001B000000}"/>
    <cellStyle name="Обычный 6" xfId="18" xr:uid="{00000000-0005-0000-0000-00001C000000}"/>
    <cellStyle name="Обычный 8" xfId="30" xr:uid="{00000000-0005-0000-0000-00001D000000}"/>
    <cellStyle name="Обычный 9" xfId="21" xr:uid="{00000000-0005-0000-0000-00001E000000}"/>
    <cellStyle name="Обычный_Лист1" xfId="28" xr:uid="{00000000-0005-0000-0000-00001F000000}"/>
    <cellStyle name="Финансовый" xfId="31" builtinId="3"/>
    <cellStyle name="Финансовый 2" xfId="25" xr:uid="{00000000-0005-0000-0000-000021000000}"/>
  </cellStyles>
  <dxfs count="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0099"/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P1298"/>
  <sheetViews>
    <sheetView view="pageBreakPreview" topLeftCell="A12" zoomScale="20" zoomScaleNormal="20" zoomScaleSheetLayoutView="20" workbookViewId="0">
      <pane xSplit="3" ySplit="7" topLeftCell="D1276" activePane="bottomRight" state="frozen"/>
      <selection activeCell="B12" sqref="B12"/>
      <selection pane="topRight" activeCell="D12" sqref="D12"/>
      <selection pane="bottomLeft" activeCell="B19" sqref="B19"/>
      <selection pane="bottomRight" activeCell="C1285" sqref="C1285"/>
    </sheetView>
  </sheetViews>
  <sheetFormatPr defaultColWidth="9.140625" defaultRowHeight="15" x14ac:dyDescent="0.25"/>
  <cols>
    <col min="1" max="1" width="7.28515625" style="20" hidden="1" customWidth="1"/>
    <col min="2" max="2" width="17" style="21" bestFit="1" customWidth="1"/>
    <col min="3" max="3" width="255.7109375" style="22" bestFit="1" customWidth="1"/>
    <col min="4" max="4" width="75.85546875" style="20" customWidth="1"/>
    <col min="5" max="5" width="56.5703125" style="20" customWidth="1"/>
    <col min="6" max="6" width="53" style="20" customWidth="1"/>
    <col min="7" max="8" width="58.7109375" style="20" customWidth="1"/>
    <col min="9" max="9" width="58" style="20" customWidth="1"/>
    <col min="10" max="10" width="49.42578125" style="20" customWidth="1"/>
    <col min="11" max="11" width="32.28515625" style="83" customWidth="1"/>
    <col min="12" max="12" width="64.42578125" style="20" customWidth="1"/>
    <col min="13" max="13" width="50.140625" style="20" customWidth="1"/>
    <col min="14" max="14" width="70.28515625" style="20" customWidth="1"/>
    <col min="15" max="15" width="43" style="20" customWidth="1"/>
    <col min="16" max="16" width="61.85546875" style="20" customWidth="1"/>
    <col min="17" max="17" width="48.7109375" style="20" customWidth="1"/>
    <col min="18" max="18" width="63" style="20" customWidth="1"/>
    <col min="19" max="19" width="34.42578125" style="20" customWidth="1"/>
    <col min="20" max="20" width="58.28515625" style="20" customWidth="1"/>
    <col min="21" max="21" width="55.140625" style="20" customWidth="1"/>
    <col min="22" max="22" width="54.42578125" style="20" customWidth="1"/>
    <col min="23" max="23" width="75.85546875" style="20" customWidth="1"/>
    <col min="24" max="24" width="46.5703125" style="20" customWidth="1"/>
    <col min="25" max="25" width="33.7109375" style="20" customWidth="1"/>
    <col min="26" max="26" width="54.42578125" style="20" customWidth="1"/>
    <col min="27" max="27" width="85.85546875" style="20" customWidth="1"/>
    <col min="28" max="28" width="58.7109375" style="20" customWidth="1"/>
    <col min="29" max="29" width="55.140625" style="20" customWidth="1"/>
    <col min="30" max="30" width="53.7109375" style="20" customWidth="1"/>
    <col min="31" max="31" width="53" style="20" customWidth="1"/>
    <col min="32" max="34" width="38.85546875" style="21" customWidth="1"/>
    <col min="35" max="48" width="9.140625" style="20" hidden="1" customWidth="1"/>
    <col min="49" max="49" width="68.42578125" style="20" hidden="1" customWidth="1"/>
    <col min="50" max="75" width="9.140625" style="20" hidden="1" customWidth="1"/>
    <col min="76" max="77" width="9.140625" style="20"/>
    <col min="78" max="78" width="66.28515625" style="20" hidden="1" customWidth="1"/>
    <col min="79" max="79" width="0" style="20" hidden="1" customWidth="1"/>
    <col min="80" max="80" width="66.5703125" style="20" hidden="1" customWidth="1"/>
    <col min="81" max="81" width="74.140625" style="20" hidden="1" customWidth="1"/>
    <col min="82" max="82" width="55.5703125" style="20" hidden="1" customWidth="1"/>
    <col min="83" max="83" width="45.140625" style="20" hidden="1" customWidth="1"/>
    <col min="84" max="84" width="22.28515625" style="20" hidden="1" customWidth="1"/>
    <col min="85" max="86" width="0" style="20" hidden="1" customWidth="1"/>
    <col min="87" max="16384" width="9.140625" style="20"/>
  </cols>
  <sheetData>
    <row r="1" spans="2:34" ht="91.5" x14ac:dyDescent="1.25">
      <c r="B1" s="17"/>
      <c r="C1" s="18"/>
      <c r="D1" s="19"/>
      <c r="E1" s="19"/>
      <c r="F1" s="19"/>
      <c r="G1" s="19"/>
      <c r="H1" s="19"/>
      <c r="I1" s="19"/>
      <c r="J1" s="19"/>
      <c r="K1" s="80"/>
      <c r="L1" s="19"/>
      <c r="M1" s="19"/>
      <c r="N1" s="19"/>
      <c r="O1" s="19"/>
      <c r="P1" s="19"/>
      <c r="Q1" s="19"/>
      <c r="R1" s="19"/>
      <c r="S1" s="19"/>
      <c r="T1" s="19"/>
      <c r="U1" s="19"/>
      <c r="V1" s="232"/>
      <c r="W1" s="304" t="s">
        <v>982</v>
      </c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</row>
    <row r="2" spans="2:34" ht="143.25" customHeight="1" x14ac:dyDescent="0.45">
      <c r="B2" s="17"/>
      <c r="C2" s="18"/>
      <c r="D2" s="19"/>
      <c r="E2" s="19"/>
      <c r="F2" s="19"/>
      <c r="G2" s="19"/>
      <c r="H2" s="19"/>
      <c r="I2" s="19"/>
      <c r="J2" s="19"/>
      <c r="K2" s="80"/>
      <c r="L2" s="19"/>
      <c r="M2" s="19"/>
      <c r="N2" s="19"/>
      <c r="O2" s="19"/>
      <c r="P2" s="19"/>
      <c r="Q2" s="19"/>
      <c r="R2" s="19"/>
      <c r="S2" s="19"/>
      <c r="T2" s="19"/>
      <c r="U2" s="19"/>
      <c r="V2" s="305" t="s">
        <v>2306</v>
      </c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</row>
    <row r="3" spans="2:34" ht="154.5" customHeight="1" x14ac:dyDescent="1.25">
      <c r="B3" s="27"/>
      <c r="C3" s="28"/>
      <c r="D3" s="232"/>
      <c r="E3" s="232"/>
      <c r="F3" s="232"/>
      <c r="G3" s="232"/>
      <c r="H3" s="232"/>
      <c r="I3" s="232"/>
      <c r="J3" s="232"/>
      <c r="K3" s="81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305" t="s">
        <v>983</v>
      </c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</row>
    <row r="4" spans="2:34" ht="90" x14ac:dyDescent="1.1499999999999999">
      <c r="B4" s="306" t="s">
        <v>984</v>
      </c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  <c r="AG4" s="306"/>
      <c r="AH4" s="306"/>
    </row>
    <row r="5" spans="2:34" ht="90" x14ac:dyDescent="0.25">
      <c r="B5" s="307" t="s">
        <v>985</v>
      </c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  <c r="T5" s="307"/>
      <c r="U5" s="307"/>
      <c r="V5" s="307"/>
      <c r="W5" s="307"/>
      <c r="X5" s="307"/>
      <c r="Y5" s="307"/>
      <c r="Z5" s="307"/>
      <c r="AA5" s="307"/>
      <c r="AB5" s="307"/>
      <c r="AC5" s="307"/>
      <c r="AD5" s="307"/>
      <c r="AE5" s="307"/>
      <c r="AF5" s="307"/>
      <c r="AG5" s="307"/>
      <c r="AH5" s="307"/>
    </row>
    <row r="6" spans="2:34" ht="90" x14ac:dyDescent="0.25">
      <c r="B6" s="307" t="s">
        <v>989</v>
      </c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  <c r="AD6" s="307"/>
      <c r="AE6" s="307"/>
      <c r="AF6" s="307"/>
      <c r="AG6" s="307"/>
      <c r="AH6" s="307"/>
    </row>
    <row r="7" spans="2:34" x14ac:dyDescent="0.25">
      <c r="B7" s="303" t="s">
        <v>986</v>
      </c>
      <c r="C7" s="308" t="s">
        <v>1012</v>
      </c>
      <c r="D7" s="308"/>
      <c r="E7" s="308"/>
      <c r="F7" s="308"/>
      <c r="G7" s="308"/>
      <c r="H7" s="308"/>
      <c r="I7" s="308"/>
      <c r="J7" s="308"/>
      <c r="K7" s="308"/>
      <c r="L7" s="308"/>
      <c r="M7" s="308"/>
      <c r="N7" s="308"/>
      <c r="O7" s="308"/>
      <c r="P7" s="308"/>
      <c r="Q7" s="308"/>
      <c r="R7" s="308"/>
      <c r="S7" s="308"/>
      <c r="T7" s="308"/>
      <c r="U7" s="308"/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</row>
    <row r="8" spans="2:34" ht="117.75" customHeight="1" x14ac:dyDescent="0.25">
      <c r="B8" s="303"/>
      <c r="C8" s="308"/>
      <c r="D8" s="308"/>
      <c r="E8" s="308"/>
      <c r="F8" s="308"/>
      <c r="G8" s="308"/>
      <c r="H8" s="308"/>
      <c r="I8" s="308"/>
      <c r="J8" s="308"/>
      <c r="K8" s="308"/>
      <c r="L8" s="308"/>
      <c r="M8" s="308"/>
      <c r="N8" s="308"/>
      <c r="O8" s="308"/>
      <c r="P8" s="308"/>
      <c r="Q8" s="308"/>
      <c r="R8" s="308"/>
      <c r="S8" s="308"/>
      <c r="T8" s="308"/>
      <c r="U8" s="308"/>
      <c r="V8" s="308"/>
      <c r="W8" s="308"/>
      <c r="X8" s="308"/>
      <c r="Y8" s="308"/>
      <c r="Z8" s="308"/>
      <c r="AA8" s="308"/>
      <c r="AB8" s="308"/>
      <c r="AC8" s="308"/>
      <c r="AD8" s="308"/>
      <c r="AE8" s="308"/>
      <c r="AF8" s="308"/>
      <c r="AG8" s="308"/>
      <c r="AH8" s="308"/>
    </row>
    <row r="9" spans="2:34" ht="117.75" customHeight="1" x14ac:dyDescent="0.25">
      <c r="B9" s="231" t="s">
        <v>987</v>
      </c>
      <c r="C9" s="308" t="s">
        <v>988</v>
      </c>
      <c r="D9" s="308"/>
      <c r="E9" s="308"/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08"/>
      <c r="V9" s="308"/>
      <c r="W9" s="308"/>
      <c r="X9" s="308"/>
      <c r="Y9" s="308"/>
      <c r="Z9" s="308"/>
      <c r="AA9" s="308"/>
      <c r="AB9" s="308"/>
      <c r="AC9" s="308"/>
      <c r="AD9" s="308"/>
      <c r="AE9" s="308"/>
      <c r="AF9" s="308"/>
      <c r="AG9" s="308"/>
      <c r="AH9" s="308"/>
    </row>
    <row r="10" spans="2:34" hidden="1" x14ac:dyDescent="0.25"/>
    <row r="11" spans="2:34" ht="90.75" hidden="1" customHeight="1" x14ac:dyDescent="0.25">
      <c r="B11" s="312" t="s">
        <v>6</v>
      </c>
      <c r="C11" s="312" t="s">
        <v>7</v>
      </c>
      <c r="D11" s="311" t="s">
        <v>8</v>
      </c>
      <c r="E11" s="312" t="s">
        <v>990</v>
      </c>
      <c r="F11" s="312"/>
      <c r="G11" s="312"/>
      <c r="H11" s="312"/>
      <c r="I11" s="312"/>
      <c r="J11" s="312"/>
      <c r="K11" s="312"/>
      <c r="L11" s="312"/>
      <c r="M11" s="312"/>
      <c r="N11" s="312"/>
      <c r="O11" s="312"/>
      <c r="P11" s="312"/>
      <c r="Q11" s="312"/>
      <c r="R11" s="312"/>
      <c r="S11" s="312"/>
      <c r="T11" s="312"/>
      <c r="U11" s="310" t="s">
        <v>9</v>
      </c>
      <c r="V11" s="310"/>
      <c r="W11" s="310"/>
      <c r="X11" s="310"/>
      <c r="Y11" s="310"/>
      <c r="Z11" s="310"/>
      <c r="AA11" s="310"/>
      <c r="AB11" s="310"/>
      <c r="AC11" s="310"/>
      <c r="AD11" s="310"/>
      <c r="AE11" s="310"/>
      <c r="AF11" s="309" t="s">
        <v>10</v>
      </c>
      <c r="AG11" s="309" t="s">
        <v>11</v>
      </c>
      <c r="AH11" s="309" t="s">
        <v>12</v>
      </c>
    </row>
    <row r="12" spans="2:34" ht="90.75" customHeight="1" x14ac:dyDescent="0.25">
      <c r="B12" s="312"/>
      <c r="C12" s="312"/>
      <c r="D12" s="311"/>
      <c r="E12" s="312" t="s">
        <v>13</v>
      </c>
      <c r="F12" s="312"/>
      <c r="G12" s="312"/>
      <c r="H12" s="312"/>
      <c r="I12" s="312"/>
      <c r="J12" s="312"/>
      <c r="K12" s="312" t="s">
        <v>14</v>
      </c>
      <c r="L12" s="312"/>
      <c r="M12" s="312" t="s">
        <v>15</v>
      </c>
      <c r="N12" s="312"/>
      <c r="O12" s="312" t="s">
        <v>16</v>
      </c>
      <c r="P12" s="312"/>
      <c r="Q12" s="312" t="s">
        <v>17</v>
      </c>
      <c r="R12" s="312"/>
      <c r="S12" s="312" t="s">
        <v>18</v>
      </c>
      <c r="T12" s="312"/>
      <c r="U12" s="302" t="s">
        <v>19</v>
      </c>
      <c r="V12" s="302" t="s">
        <v>20</v>
      </c>
      <c r="W12" s="302" t="s">
        <v>21</v>
      </c>
      <c r="X12" s="302" t="s">
        <v>22</v>
      </c>
      <c r="Y12" s="302" t="s">
        <v>23</v>
      </c>
      <c r="Z12" s="302" t="s">
        <v>24</v>
      </c>
      <c r="AA12" s="302" t="s">
        <v>25</v>
      </c>
      <c r="AB12" s="302" t="s">
        <v>26</v>
      </c>
      <c r="AC12" s="302" t="s">
        <v>27</v>
      </c>
      <c r="AD12" s="314" t="s">
        <v>28</v>
      </c>
      <c r="AE12" s="302" t="s">
        <v>29</v>
      </c>
      <c r="AF12" s="309"/>
      <c r="AG12" s="309"/>
      <c r="AH12" s="309"/>
    </row>
    <row r="13" spans="2:34" ht="18.75" customHeight="1" x14ac:dyDescent="0.25">
      <c r="B13" s="312"/>
      <c r="C13" s="312"/>
      <c r="D13" s="311"/>
      <c r="E13" s="309" t="s">
        <v>30</v>
      </c>
      <c r="F13" s="309" t="s">
        <v>31</v>
      </c>
      <c r="G13" s="309" t="s">
        <v>32</v>
      </c>
      <c r="H13" s="309" t="s">
        <v>33</v>
      </c>
      <c r="I13" s="309" t="s">
        <v>34</v>
      </c>
      <c r="J13" s="309" t="s">
        <v>35</v>
      </c>
      <c r="K13" s="312"/>
      <c r="L13" s="312"/>
      <c r="M13" s="312"/>
      <c r="N13" s="312"/>
      <c r="O13" s="312"/>
      <c r="P13" s="312"/>
      <c r="Q13" s="312"/>
      <c r="R13" s="312"/>
      <c r="S13" s="312"/>
      <c r="T13" s="312"/>
      <c r="U13" s="302"/>
      <c r="V13" s="302"/>
      <c r="W13" s="302"/>
      <c r="X13" s="302"/>
      <c r="Y13" s="302"/>
      <c r="Z13" s="302"/>
      <c r="AA13" s="302"/>
      <c r="AB13" s="302"/>
      <c r="AC13" s="302"/>
      <c r="AD13" s="314"/>
      <c r="AE13" s="302"/>
      <c r="AF13" s="309"/>
      <c r="AG13" s="309"/>
      <c r="AH13" s="309"/>
    </row>
    <row r="14" spans="2:34" ht="18.75" customHeight="1" x14ac:dyDescent="0.25">
      <c r="B14" s="312"/>
      <c r="C14" s="312"/>
      <c r="D14" s="311"/>
      <c r="E14" s="309"/>
      <c r="F14" s="309"/>
      <c r="G14" s="309"/>
      <c r="H14" s="309"/>
      <c r="I14" s="309"/>
      <c r="J14" s="309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02"/>
      <c r="V14" s="302"/>
      <c r="W14" s="302"/>
      <c r="X14" s="302"/>
      <c r="Y14" s="302"/>
      <c r="Z14" s="302"/>
      <c r="AA14" s="302"/>
      <c r="AB14" s="302"/>
      <c r="AC14" s="302"/>
      <c r="AD14" s="314"/>
      <c r="AE14" s="302"/>
      <c r="AF14" s="309"/>
      <c r="AG14" s="309"/>
      <c r="AH14" s="309"/>
    </row>
    <row r="15" spans="2:34" ht="18.75" customHeight="1" x14ac:dyDescent="0.25">
      <c r="B15" s="312"/>
      <c r="C15" s="312"/>
      <c r="D15" s="311"/>
      <c r="E15" s="309"/>
      <c r="F15" s="309"/>
      <c r="G15" s="309"/>
      <c r="H15" s="309"/>
      <c r="I15" s="309"/>
      <c r="J15" s="309"/>
      <c r="K15" s="312"/>
      <c r="L15" s="312"/>
      <c r="M15" s="312"/>
      <c r="N15" s="312"/>
      <c r="O15" s="312"/>
      <c r="P15" s="312"/>
      <c r="Q15" s="312"/>
      <c r="R15" s="312"/>
      <c r="S15" s="312"/>
      <c r="T15" s="312"/>
      <c r="U15" s="302"/>
      <c r="V15" s="302"/>
      <c r="W15" s="302"/>
      <c r="X15" s="302"/>
      <c r="Y15" s="302"/>
      <c r="Z15" s="302"/>
      <c r="AA15" s="302"/>
      <c r="AB15" s="302"/>
      <c r="AC15" s="302"/>
      <c r="AD15" s="314"/>
      <c r="AE15" s="302"/>
      <c r="AF15" s="309"/>
      <c r="AG15" s="309"/>
      <c r="AH15" s="309"/>
    </row>
    <row r="16" spans="2:34" ht="409.5" customHeight="1" x14ac:dyDescent="0.25">
      <c r="B16" s="312"/>
      <c r="C16" s="312"/>
      <c r="D16" s="311"/>
      <c r="E16" s="309"/>
      <c r="F16" s="309"/>
      <c r="G16" s="309"/>
      <c r="H16" s="309"/>
      <c r="I16" s="309"/>
      <c r="J16" s="309"/>
      <c r="K16" s="312"/>
      <c r="L16" s="312"/>
      <c r="M16" s="312"/>
      <c r="N16" s="312"/>
      <c r="O16" s="312"/>
      <c r="P16" s="312"/>
      <c r="Q16" s="312"/>
      <c r="R16" s="312"/>
      <c r="S16" s="312"/>
      <c r="T16" s="312"/>
      <c r="U16" s="302"/>
      <c r="V16" s="302"/>
      <c r="W16" s="302"/>
      <c r="X16" s="302"/>
      <c r="Y16" s="302"/>
      <c r="Z16" s="302"/>
      <c r="AA16" s="302"/>
      <c r="AB16" s="302"/>
      <c r="AC16" s="302"/>
      <c r="AD16" s="314"/>
      <c r="AE16" s="302"/>
      <c r="AF16" s="309"/>
      <c r="AG16" s="309"/>
      <c r="AH16" s="309"/>
    </row>
    <row r="17" spans="1:84" ht="80.25" customHeight="1" x14ac:dyDescent="0.25">
      <c r="B17" s="313"/>
      <c r="C17" s="313"/>
      <c r="D17" s="227" t="s">
        <v>36</v>
      </c>
      <c r="E17" s="227" t="s">
        <v>36</v>
      </c>
      <c r="F17" s="227" t="s">
        <v>36</v>
      </c>
      <c r="G17" s="227" t="s">
        <v>36</v>
      </c>
      <c r="H17" s="227" t="s">
        <v>36</v>
      </c>
      <c r="I17" s="227" t="s">
        <v>36</v>
      </c>
      <c r="J17" s="227" t="s">
        <v>36</v>
      </c>
      <c r="K17" s="82" t="s">
        <v>37</v>
      </c>
      <c r="L17" s="228" t="s">
        <v>36</v>
      </c>
      <c r="M17" s="228" t="s">
        <v>38</v>
      </c>
      <c r="N17" s="228" t="s">
        <v>36</v>
      </c>
      <c r="O17" s="228" t="s">
        <v>38</v>
      </c>
      <c r="P17" s="228" t="s">
        <v>36</v>
      </c>
      <c r="Q17" s="228" t="s">
        <v>38</v>
      </c>
      <c r="R17" s="228" t="s">
        <v>36</v>
      </c>
      <c r="S17" s="228" t="s">
        <v>39</v>
      </c>
      <c r="T17" s="228" t="s">
        <v>36</v>
      </c>
      <c r="U17" s="228" t="s">
        <v>36</v>
      </c>
      <c r="V17" s="230" t="s">
        <v>36</v>
      </c>
      <c r="W17" s="228" t="s">
        <v>36</v>
      </c>
      <c r="X17" s="228" t="s">
        <v>36</v>
      </c>
      <c r="Y17" s="227" t="s">
        <v>36</v>
      </c>
      <c r="Z17" s="228" t="s">
        <v>36</v>
      </c>
      <c r="AA17" s="228" t="s">
        <v>36</v>
      </c>
      <c r="AB17" s="228" t="s">
        <v>36</v>
      </c>
      <c r="AC17" s="228" t="s">
        <v>36</v>
      </c>
      <c r="AD17" s="227" t="s">
        <v>36</v>
      </c>
      <c r="AE17" s="228" t="s">
        <v>36</v>
      </c>
      <c r="AF17" s="309"/>
      <c r="AG17" s="309"/>
      <c r="AH17" s="309"/>
    </row>
    <row r="18" spans="1:84" ht="59.25" customHeight="1" x14ac:dyDescent="0.25">
      <c r="B18" s="228">
        <v>1</v>
      </c>
      <c r="C18" s="228">
        <v>2</v>
      </c>
      <c r="D18" s="228">
        <v>3</v>
      </c>
      <c r="E18" s="228">
        <v>4</v>
      </c>
      <c r="F18" s="228">
        <v>5</v>
      </c>
      <c r="G18" s="228">
        <v>6</v>
      </c>
      <c r="H18" s="228">
        <v>7</v>
      </c>
      <c r="I18" s="228">
        <v>8</v>
      </c>
      <c r="J18" s="228">
        <v>9</v>
      </c>
      <c r="K18" s="82">
        <v>10</v>
      </c>
      <c r="L18" s="228">
        <v>11</v>
      </c>
      <c r="M18" s="228">
        <v>12</v>
      </c>
      <c r="N18" s="228">
        <v>13</v>
      </c>
      <c r="O18" s="228">
        <v>14</v>
      </c>
      <c r="P18" s="228">
        <v>15</v>
      </c>
      <c r="Q18" s="228">
        <v>16</v>
      </c>
      <c r="R18" s="228">
        <v>17</v>
      </c>
      <c r="S18" s="228">
        <v>18</v>
      </c>
      <c r="T18" s="228">
        <v>19</v>
      </c>
      <c r="U18" s="228">
        <v>20</v>
      </c>
      <c r="V18" s="228">
        <v>21</v>
      </c>
      <c r="W18" s="228">
        <v>22</v>
      </c>
      <c r="X18" s="228">
        <v>23</v>
      </c>
      <c r="Y18" s="228">
        <v>24</v>
      </c>
      <c r="Z18" s="228">
        <v>25</v>
      </c>
      <c r="AA18" s="228">
        <v>26</v>
      </c>
      <c r="AB18" s="228">
        <v>27</v>
      </c>
      <c r="AC18" s="228">
        <v>28</v>
      </c>
      <c r="AD18" s="228">
        <v>29</v>
      </c>
      <c r="AE18" s="228">
        <v>30</v>
      </c>
      <c r="AF18" s="228">
        <v>31</v>
      </c>
      <c r="AG18" s="228">
        <v>32</v>
      </c>
      <c r="AH18" s="228">
        <v>33</v>
      </c>
    </row>
    <row r="19" spans="1:84" ht="99" customHeight="1" x14ac:dyDescent="0.85">
      <c r="B19" s="24" t="s">
        <v>758</v>
      </c>
      <c r="C19" s="105"/>
      <c r="D19" s="193">
        <f t="shared" ref="D19:AE19" si="0">D20+D556+D1004</f>
        <v>3290609973.6500006</v>
      </c>
      <c r="E19" s="30">
        <f t="shared" si="0"/>
        <v>10164616.710000001</v>
      </c>
      <c r="F19" s="30">
        <f t="shared" si="0"/>
        <v>13417832.539999999</v>
      </c>
      <c r="G19" s="30">
        <f t="shared" si="0"/>
        <v>102183973.30000001</v>
      </c>
      <c r="H19" s="30">
        <f t="shared" si="0"/>
        <v>19465560.859999999</v>
      </c>
      <c r="I19" s="30">
        <f t="shared" si="0"/>
        <v>41309098.5</v>
      </c>
      <c r="J19" s="30">
        <f t="shared" si="0"/>
        <v>0</v>
      </c>
      <c r="K19" s="106">
        <f t="shared" si="0"/>
        <v>185</v>
      </c>
      <c r="L19" s="30">
        <f t="shared" si="0"/>
        <v>330465826.94999999</v>
      </c>
      <c r="M19" s="30">
        <f t="shared" si="0"/>
        <v>502588.35000000003</v>
      </c>
      <c r="N19" s="30">
        <f t="shared" si="0"/>
        <v>2198416903.2700005</v>
      </c>
      <c r="O19" s="30">
        <f t="shared" si="0"/>
        <v>2724</v>
      </c>
      <c r="P19" s="30">
        <f t="shared" si="0"/>
        <v>9121851.1499999985</v>
      </c>
      <c r="Q19" s="30">
        <f t="shared" si="0"/>
        <v>125535.31200000001</v>
      </c>
      <c r="R19" s="30">
        <f t="shared" si="0"/>
        <v>354967251.37</v>
      </c>
      <c r="S19" s="30">
        <f t="shared" si="0"/>
        <v>1343.54</v>
      </c>
      <c r="T19" s="30">
        <f t="shared" si="0"/>
        <v>27702399.589999996</v>
      </c>
      <c r="U19" s="30">
        <f t="shared" si="0"/>
        <v>62624175.820000008</v>
      </c>
      <c r="V19" s="30">
        <f t="shared" si="0"/>
        <v>550198.58000000007</v>
      </c>
      <c r="W19" s="30">
        <f t="shared" si="0"/>
        <v>0</v>
      </c>
      <c r="X19" s="30">
        <f t="shared" si="0"/>
        <v>0</v>
      </c>
      <c r="Y19" s="30">
        <f t="shared" si="0"/>
        <v>0</v>
      </c>
      <c r="Z19" s="30">
        <f t="shared" si="0"/>
        <v>0</v>
      </c>
      <c r="AA19" s="30">
        <f t="shared" si="0"/>
        <v>400000</v>
      </c>
      <c r="AB19" s="30">
        <f t="shared" si="0"/>
        <v>0</v>
      </c>
      <c r="AC19" s="30">
        <f t="shared" si="0"/>
        <v>39463479.540000007</v>
      </c>
      <c r="AD19" s="30">
        <f t="shared" si="0"/>
        <v>77116805.469999999</v>
      </c>
      <c r="AE19" s="30">
        <f t="shared" si="0"/>
        <v>3240000</v>
      </c>
      <c r="AF19" s="72" t="s">
        <v>757</v>
      </c>
      <c r="AG19" s="72" t="s">
        <v>757</v>
      </c>
      <c r="AH19" s="87" t="s">
        <v>757</v>
      </c>
      <c r="BZ19" s="71">
        <v>3277602434.1900005</v>
      </c>
    </row>
    <row r="20" spans="1:84" ht="87.75" customHeight="1" x14ac:dyDescent="0.85">
      <c r="B20" s="24" t="s">
        <v>759</v>
      </c>
      <c r="C20" s="105"/>
      <c r="D20" s="194">
        <f t="shared" ref="D20:AE20" si="1">D21+D126+D157+D203+D241+D247+D274+D287+D280+D294+D297+D303+D309+D311+D327+D344+D350+D356+D353+D360+D363+D365+D383+D380+D385+D387+D392+D395+D397+D402+D412+D404+D414+D418+D422+D424+D428+D435+D441+D444+D457+D459+D463+D465+D467+D473+D485+D494+D503+D509+D511+D514+D517+D519+D522+D528+D530+D533+D535+D545+D550+D553+D292+D461+D496+D455+D498</f>
        <v>1112243634.7800002</v>
      </c>
      <c r="E20" s="67">
        <f t="shared" si="1"/>
        <v>4124043.09</v>
      </c>
      <c r="F20" s="67">
        <f t="shared" si="1"/>
        <v>4286185.58</v>
      </c>
      <c r="G20" s="67">
        <f t="shared" si="1"/>
        <v>47178097.130000003</v>
      </c>
      <c r="H20" s="67">
        <f t="shared" si="1"/>
        <v>4376797.2700000005</v>
      </c>
      <c r="I20" s="67">
        <f t="shared" si="1"/>
        <v>12329670.109999999</v>
      </c>
      <c r="J20" s="67">
        <f t="shared" si="1"/>
        <v>0</v>
      </c>
      <c r="K20" s="107">
        <f t="shared" si="1"/>
        <v>146</v>
      </c>
      <c r="L20" s="67">
        <f t="shared" si="1"/>
        <v>249138974.69000003</v>
      </c>
      <c r="M20" s="67">
        <f t="shared" si="1"/>
        <v>166409.43000000005</v>
      </c>
      <c r="N20" s="67">
        <f t="shared" si="1"/>
        <v>626125161.31000006</v>
      </c>
      <c r="O20" s="67">
        <f t="shared" si="1"/>
        <v>1520</v>
      </c>
      <c r="P20" s="67">
        <f t="shared" si="1"/>
        <v>6195832.9299999997</v>
      </c>
      <c r="Q20" s="67">
        <f t="shared" si="1"/>
        <v>47545.942000000017</v>
      </c>
      <c r="R20" s="67">
        <f t="shared" si="1"/>
        <v>123536263.82000001</v>
      </c>
      <c r="S20" s="67">
        <f t="shared" si="1"/>
        <v>19.07</v>
      </c>
      <c r="T20" s="67">
        <f t="shared" si="1"/>
        <v>210458.31</v>
      </c>
      <c r="U20" s="67">
        <f t="shared" si="1"/>
        <v>4132272.85</v>
      </c>
      <c r="V20" s="67">
        <f t="shared" si="1"/>
        <v>340198.58</v>
      </c>
      <c r="W20" s="67">
        <f t="shared" si="1"/>
        <v>0</v>
      </c>
      <c r="X20" s="67">
        <f t="shared" si="1"/>
        <v>0</v>
      </c>
      <c r="Y20" s="67">
        <f t="shared" si="1"/>
        <v>0</v>
      </c>
      <c r="Z20" s="67">
        <f t="shared" si="1"/>
        <v>0</v>
      </c>
      <c r="AA20" s="67">
        <f t="shared" si="1"/>
        <v>0</v>
      </c>
      <c r="AB20" s="67">
        <f t="shared" si="1"/>
        <v>0</v>
      </c>
      <c r="AC20" s="67">
        <f t="shared" si="1"/>
        <v>9560835.1600000001</v>
      </c>
      <c r="AD20" s="67">
        <f t="shared" si="1"/>
        <v>19868843.949999996</v>
      </c>
      <c r="AE20" s="67">
        <f t="shared" si="1"/>
        <v>840000</v>
      </c>
      <c r="AF20" s="72" t="s">
        <v>757</v>
      </c>
      <c r="AG20" s="72" t="s">
        <v>757</v>
      </c>
      <c r="AH20" s="87" t="s">
        <v>757</v>
      </c>
      <c r="BZ20" s="71">
        <v>1686794801.2800004</v>
      </c>
    </row>
    <row r="21" spans="1:84" ht="61.5" x14ac:dyDescent="0.85">
      <c r="B21" s="24" t="s">
        <v>1094</v>
      </c>
      <c r="C21" s="136"/>
      <c r="D21" s="194">
        <f t="shared" ref="D21:AE21" si="2">SUM(D22:D125)</f>
        <v>278633187.87000012</v>
      </c>
      <c r="E21" s="67">
        <f t="shared" si="2"/>
        <v>87007.41</v>
      </c>
      <c r="F21" s="67">
        <f t="shared" si="2"/>
        <v>0</v>
      </c>
      <c r="G21" s="67">
        <f t="shared" si="2"/>
        <v>0</v>
      </c>
      <c r="H21" s="67">
        <f t="shared" si="2"/>
        <v>126575.53</v>
      </c>
      <c r="I21" s="67">
        <f t="shared" si="2"/>
        <v>0</v>
      </c>
      <c r="J21" s="67">
        <f t="shared" si="2"/>
        <v>0</v>
      </c>
      <c r="K21" s="107">
        <f t="shared" si="2"/>
        <v>44</v>
      </c>
      <c r="L21" s="67">
        <f t="shared" si="2"/>
        <v>78683233.189999998</v>
      </c>
      <c r="M21" s="67">
        <f t="shared" si="2"/>
        <v>41483.26</v>
      </c>
      <c r="N21" s="67">
        <f t="shared" si="2"/>
        <v>140172160.37999997</v>
      </c>
      <c r="O21" s="67">
        <f t="shared" si="2"/>
        <v>0</v>
      </c>
      <c r="P21" s="67">
        <f t="shared" si="2"/>
        <v>0</v>
      </c>
      <c r="Q21" s="67">
        <f t="shared" si="2"/>
        <v>20625.309999999998</v>
      </c>
      <c r="R21" s="67">
        <f t="shared" si="2"/>
        <v>50012218.130000003</v>
      </c>
      <c r="S21" s="67">
        <f t="shared" si="2"/>
        <v>0</v>
      </c>
      <c r="T21" s="67">
        <f t="shared" si="2"/>
        <v>0</v>
      </c>
      <c r="U21" s="67">
        <f t="shared" si="2"/>
        <v>4132272.85</v>
      </c>
      <c r="V21" s="67">
        <f t="shared" si="2"/>
        <v>0</v>
      </c>
      <c r="W21" s="67">
        <f t="shared" si="2"/>
        <v>0</v>
      </c>
      <c r="X21" s="67">
        <f t="shared" si="2"/>
        <v>0</v>
      </c>
      <c r="Y21" s="67">
        <f t="shared" si="2"/>
        <v>0</v>
      </c>
      <c r="Z21" s="67">
        <f t="shared" si="2"/>
        <v>0</v>
      </c>
      <c r="AA21" s="67">
        <f t="shared" si="2"/>
        <v>0</v>
      </c>
      <c r="AB21" s="67">
        <f t="shared" si="2"/>
        <v>0</v>
      </c>
      <c r="AC21" s="67">
        <f t="shared" si="2"/>
        <v>2614766.4799999991</v>
      </c>
      <c r="AD21" s="67">
        <f t="shared" si="2"/>
        <v>2804953.9</v>
      </c>
      <c r="AE21" s="67">
        <f t="shared" si="2"/>
        <v>0</v>
      </c>
      <c r="AF21" s="72" t="s">
        <v>757</v>
      </c>
      <c r="AG21" s="72" t="s">
        <v>757</v>
      </c>
      <c r="AH21" s="87" t="s">
        <v>757</v>
      </c>
      <c r="BZ21" s="71">
        <v>383462452.64000016</v>
      </c>
    </row>
    <row r="22" spans="1:84" ht="61.5" x14ac:dyDescent="0.85">
      <c r="A22" s="20">
        <v>1</v>
      </c>
      <c r="B22" s="66">
        <f>SUBTOTAL(103,$A$22:A22)</f>
        <v>1</v>
      </c>
      <c r="C22" s="24" t="s">
        <v>481</v>
      </c>
      <c r="D22" s="31">
        <f>E22+F22+G22+H22+I22+J22+L22+N22+P22+R22+T22+U22+V22+W22+X22+Y22+Z22+AA22+AB22+AC22+AD22+AE22</f>
        <v>2167261.7599999998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74">
        <v>0</v>
      </c>
      <c r="L22" s="31">
        <v>0</v>
      </c>
      <c r="M22" s="31">
        <v>433.51</v>
      </c>
      <c r="N22" s="31">
        <v>2075821.44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31137.32</v>
      </c>
      <c r="AD22" s="179">
        <v>60303</v>
      </c>
      <c r="AE22" s="31">
        <v>0</v>
      </c>
      <c r="AF22" s="34">
        <v>2020</v>
      </c>
      <c r="AG22" s="34">
        <v>2020</v>
      </c>
      <c r="AH22" s="34">
        <v>2020</v>
      </c>
      <c r="AT22" s="20" t="e">
        <f t="shared" ref="AT22:AT35" si="3">VLOOKUP(C22,AW:AX,2,FALSE)</f>
        <v>#N/A</v>
      </c>
      <c r="AW22" s="20" t="s">
        <v>496</v>
      </c>
      <c r="AX22" s="20">
        <v>1</v>
      </c>
      <c r="BZ22" s="71"/>
      <c r="CD22" s="20" t="e">
        <f t="shared" ref="CD22:CD39" si="4">VLOOKUP(C22,CE:CF,2,FALSE)</f>
        <v>#N/A</v>
      </c>
      <c r="CE22" s="109" t="s">
        <v>486</v>
      </c>
      <c r="CF22" s="109">
        <v>644</v>
      </c>
    </row>
    <row r="23" spans="1:84" ht="61.5" x14ac:dyDescent="0.85">
      <c r="A23" s="20">
        <v>1</v>
      </c>
      <c r="B23" s="66">
        <f>SUBTOTAL(103,$A$22:A23)</f>
        <v>2</v>
      </c>
      <c r="C23" s="24" t="s">
        <v>1070</v>
      </c>
      <c r="D23" s="31">
        <f t="shared" ref="D23:D77" si="5">E23+F23+G23+H23+I23+J23+L23+N23+P23+R23+T23+U23+V23+W23+X23+Y23+Z23+AA23+AB23+AC23+AD23+AE23</f>
        <v>69778.55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3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9">
        <v>69778.55</v>
      </c>
      <c r="AE23" s="31">
        <v>0</v>
      </c>
      <c r="AF23" s="34">
        <v>2020</v>
      </c>
      <c r="AG23" s="35" t="s">
        <v>270</v>
      </c>
      <c r="AH23" s="35" t="s">
        <v>270</v>
      </c>
      <c r="AT23" s="20" t="e">
        <f t="shared" si="3"/>
        <v>#N/A</v>
      </c>
      <c r="AW23" s="20" t="s">
        <v>393</v>
      </c>
      <c r="AX23" s="20">
        <v>1</v>
      </c>
      <c r="BZ23" s="71"/>
      <c r="CD23" s="20" t="e">
        <f t="shared" si="4"/>
        <v>#N/A</v>
      </c>
      <c r="CE23" s="109" t="s">
        <v>494</v>
      </c>
      <c r="CF23" s="109">
        <v>761.5</v>
      </c>
    </row>
    <row r="24" spans="1:84" ht="61.5" x14ac:dyDescent="0.85">
      <c r="A24" s="20">
        <v>1</v>
      </c>
      <c r="B24" s="66">
        <f>SUBTOTAL(103,$A$22:A24)</f>
        <v>3</v>
      </c>
      <c r="C24" s="24" t="s">
        <v>482</v>
      </c>
      <c r="D24" s="31">
        <f t="shared" si="5"/>
        <v>1775379.67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241">
        <v>1</v>
      </c>
      <c r="L24" s="39">
        <v>1775379.67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4" t="s">
        <v>270</v>
      </c>
      <c r="AG24" s="34">
        <v>2020</v>
      </c>
      <c r="AH24" s="35" t="s">
        <v>270</v>
      </c>
      <c r="AT24" s="20" t="e">
        <f t="shared" si="3"/>
        <v>#N/A</v>
      </c>
      <c r="AW24" s="20" t="s">
        <v>626</v>
      </c>
      <c r="AX24" s="20">
        <v>1</v>
      </c>
      <c r="BZ24" s="71"/>
      <c r="CD24" s="20" t="e">
        <f t="shared" si="4"/>
        <v>#N/A</v>
      </c>
      <c r="CE24" s="109" t="s">
        <v>512</v>
      </c>
      <c r="CF24" s="109">
        <v>342</v>
      </c>
    </row>
    <row r="25" spans="1:84" ht="61.5" x14ac:dyDescent="0.85">
      <c r="A25" s="20">
        <v>1</v>
      </c>
      <c r="B25" s="66">
        <f>SUBTOTAL(103,$A$22:A25)</f>
        <v>4</v>
      </c>
      <c r="C25" s="24" t="s">
        <v>484</v>
      </c>
      <c r="D25" s="31">
        <f t="shared" si="5"/>
        <v>2444609.75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3">
        <v>0</v>
      </c>
      <c r="L25" s="31">
        <v>0</v>
      </c>
      <c r="M25" s="39">
        <v>632.16999999999996</v>
      </c>
      <c r="N25" s="39">
        <v>2411333.36</v>
      </c>
      <c r="O25" s="31">
        <v>0</v>
      </c>
      <c r="P25" s="31">
        <v>0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33276.39</v>
      </c>
      <c r="AD25" s="31">
        <v>0</v>
      </c>
      <c r="AE25" s="31">
        <v>0</v>
      </c>
      <c r="AF25" s="34" t="s">
        <v>270</v>
      </c>
      <c r="AG25" s="34">
        <v>2020</v>
      </c>
      <c r="AH25" s="35">
        <v>2020</v>
      </c>
      <c r="AT25" s="20" t="e">
        <f t="shared" si="3"/>
        <v>#N/A</v>
      </c>
      <c r="AW25" s="20" t="s">
        <v>404</v>
      </c>
      <c r="AX25" s="20">
        <v>1</v>
      </c>
      <c r="BZ25" s="71"/>
      <c r="CD25" s="20" t="e">
        <f t="shared" si="4"/>
        <v>#N/A</v>
      </c>
      <c r="CE25" s="109" t="s">
        <v>520</v>
      </c>
      <c r="CF25" s="109">
        <v>2070.63</v>
      </c>
    </row>
    <row r="26" spans="1:84" ht="61.5" x14ac:dyDescent="0.85">
      <c r="A26" s="20">
        <v>1</v>
      </c>
      <c r="B26" s="66">
        <f>SUBTOTAL(103,$A$22:A26)</f>
        <v>5</v>
      </c>
      <c r="C26" s="24" t="s">
        <v>485</v>
      </c>
      <c r="D26" s="31">
        <f t="shared" si="5"/>
        <v>1178315.53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3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499.8</v>
      </c>
      <c r="R26" s="31">
        <v>1162276.1200000001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9">
        <v>16039.41</v>
      </c>
      <c r="AD26" s="31">
        <v>0</v>
      </c>
      <c r="AE26" s="31">
        <v>0</v>
      </c>
      <c r="AF26" s="34" t="s">
        <v>270</v>
      </c>
      <c r="AG26" s="34">
        <v>2020</v>
      </c>
      <c r="AH26" s="35">
        <v>2020</v>
      </c>
      <c r="AT26" s="20" t="e">
        <f t="shared" si="3"/>
        <v>#N/A</v>
      </c>
      <c r="AW26" s="20" t="s">
        <v>620</v>
      </c>
      <c r="AX26" s="20">
        <v>1</v>
      </c>
      <c r="BZ26" s="71"/>
      <c r="CD26" s="20" t="e">
        <f t="shared" si="4"/>
        <v>#N/A</v>
      </c>
      <c r="CE26" s="109" t="s">
        <v>523</v>
      </c>
      <c r="CF26" s="109">
        <v>600</v>
      </c>
    </row>
    <row r="27" spans="1:84" ht="61.5" x14ac:dyDescent="0.85">
      <c r="A27" s="20">
        <v>1</v>
      </c>
      <c r="B27" s="66">
        <f>SUBTOTAL(103,$A$22:A27)</f>
        <v>6</v>
      </c>
      <c r="C27" s="24" t="s">
        <v>486</v>
      </c>
      <c r="D27" s="31">
        <f t="shared" si="5"/>
        <v>1996366.9600000002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3">
        <v>0</v>
      </c>
      <c r="L27" s="31">
        <v>0</v>
      </c>
      <c r="M27" s="39">
        <v>612</v>
      </c>
      <c r="N27" s="179">
        <v>1969192.11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179">
        <v>27174.85</v>
      </c>
      <c r="AD27" s="31">
        <v>0</v>
      </c>
      <c r="AE27" s="31">
        <v>0</v>
      </c>
      <c r="AF27" s="34" t="s">
        <v>270</v>
      </c>
      <c r="AG27" s="34">
        <v>2020</v>
      </c>
      <c r="AH27" s="35">
        <v>2020</v>
      </c>
      <c r="AT27" s="20" t="e">
        <f t="shared" si="3"/>
        <v>#N/A</v>
      </c>
      <c r="AW27" s="20" t="s">
        <v>619</v>
      </c>
      <c r="AX27" s="20">
        <v>1</v>
      </c>
      <c r="BZ27" s="71"/>
      <c r="CD27" s="20">
        <f t="shared" si="4"/>
        <v>644</v>
      </c>
      <c r="CE27" s="109" t="s">
        <v>1376</v>
      </c>
      <c r="CF27" s="109">
        <v>334.02</v>
      </c>
    </row>
    <row r="28" spans="1:84" ht="61.5" x14ac:dyDescent="0.85">
      <c r="A28" s="20">
        <v>1</v>
      </c>
      <c r="B28" s="66">
        <f>SUBTOTAL(103,$A$22:A28)</f>
        <v>7</v>
      </c>
      <c r="C28" s="24" t="s">
        <v>488</v>
      </c>
      <c r="D28" s="31">
        <f t="shared" si="5"/>
        <v>3053881.53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3">
        <v>0</v>
      </c>
      <c r="L28" s="31">
        <v>0</v>
      </c>
      <c r="M28" s="39">
        <v>713.67</v>
      </c>
      <c r="N28" s="39">
        <v>2950406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40715.589999999997</v>
      </c>
      <c r="AD28" s="39">
        <v>62759.94</v>
      </c>
      <c r="AE28" s="31">
        <v>0</v>
      </c>
      <c r="AF28" s="34">
        <v>2020</v>
      </c>
      <c r="AG28" s="34">
        <v>2020</v>
      </c>
      <c r="AH28" s="35">
        <v>2020</v>
      </c>
      <c r="AT28" s="20" t="e">
        <f t="shared" si="3"/>
        <v>#N/A</v>
      </c>
      <c r="AW28" s="20" t="s">
        <v>236</v>
      </c>
      <c r="AX28" s="20">
        <v>1</v>
      </c>
      <c r="BZ28" s="71"/>
      <c r="CD28" s="20" t="e">
        <f t="shared" si="4"/>
        <v>#N/A</v>
      </c>
      <c r="CE28" s="109" t="s">
        <v>1127</v>
      </c>
      <c r="CF28" s="109">
        <v>1124.75</v>
      </c>
    </row>
    <row r="29" spans="1:84" ht="61.5" x14ac:dyDescent="0.85">
      <c r="A29" s="20">
        <v>1</v>
      </c>
      <c r="B29" s="66">
        <f>SUBTOTAL(103,$A$22:A29)</f>
        <v>8</v>
      </c>
      <c r="C29" s="24" t="s">
        <v>489</v>
      </c>
      <c r="D29" s="31">
        <f t="shared" si="5"/>
        <v>2008550.03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74">
        <v>0</v>
      </c>
      <c r="L29" s="31">
        <v>0</v>
      </c>
      <c r="M29" s="31">
        <v>591</v>
      </c>
      <c r="N29" s="31">
        <v>1921468.16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28822.02</v>
      </c>
      <c r="AD29" s="39">
        <v>58259.85</v>
      </c>
      <c r="AE29" s="31">
        <v>0</v>
      </c>
      <c r="AF29" s="34">
        <v>2020</v>
      </c>
      <c r="AG29" s="34">
        <v>2020</v>
      </c>
      <c r="AH29" s="34">
        <v>2020</v>
      </c>
      <c r="AT29" s="20" t="e">
        <f t="shared" si="3"/>
        <v>#N/A</v>
      </c>
      <c r="AW29" s="20" t="s">
        <v>129</v>
      </c>
      <c r="AX29" s="20">
        <v>1</v>
      </c>
      <c r="BZ29" s="71"/>
      <c r="CD29" s="20" t="e">
        <f t="shared" si="4"/>
        <v>#N/A</v>
      </c>
      <c r="CE29" s="109" t="s">
        <v>450</v>
      </c>
      <c r="CF29" s="109">
        <v>555.39</v>
      </c>
    </row>
    <row r="30" spans="1:84" ht="61.5" x14ac:dyDescent="0.85">
      <c r="A30" s="20">
        <v>1</v>
      </c>
      <c r="B30" s="66">
        <f>SUBTOTAL(103,$A$22:A30)</f>
        <v>9</v>
      </c>
      <c r="C30" s="24" t="s">
        <v>490</v>
      </c>
      <c r="D30" s="31">
        <f t="shared" si="5"/>
        <v>98784.97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3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0</v>
      </c>
      <c r="AD30" s="39">
        <v>98784.97</v>
      </c>
      <c r="AE30" s="31">
        <v>0</v>
      </c>
      <c r="AF30" s="34">
        <v>2020</v>
      </c>
      <c r="AG30" s="34" t="s">
        <v>270</v>
      </c>
      <c r="AH30" s="34" t="s">
        <v>270</v>
      </c>
      <c r="AT30" s="20" t="e">
        <f t="shared" si="3"/>
        <v>#N/A</v>
      </c>
      <c r="AW30" s="20" t="s">
        <v>433</v>
      </c>
      <c r="AX30" s="20">
        <v>1</v>
      </c>
      <c r="BZ30" s="71"/>
      <c r="CD30" s="20" t="e">
        <f t="shared" si="4"/>
        <v>#N/A</v>
      </c>
      <c r="CE30" s="109" t="s">
        <v>453</v>
      </c>
      <c r="CF30" s="109">
        <v>865.12</v>
      </c>
    </row>
    <row r="31" spans="1:84" ht="61.5" x14ac:dyDescent="0.85">
      <c r="A31" s="20">
        <v>1</v>
      </c>
      <c r="B31" s="66">
        <f>SUBTOTAL(103,$A$22:A31)</f>
        <v>10</v>
      </c>
      <c r="C31" s="24" t="s">
        <v>491</v>
      </c>
      <c r="D31" s="31">
        <f t="shared" si="5"/>
        <v>3124667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3">
        <v>0</v>
      </c>
      <c r="L31" s="31">
        <v>0</v>
      </c>
      <c r="M31" s="39">
        <v>1089.8</v>
      </c>
      <c r="N31" s="39">
        <v>3124667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4" t="s">
        <v>270</v>
      </c>
      <c r="AG31" s="34">
        <v>2020</v>
      </c>
      <c r="AH31" s="34" t="s">
        <v>270</v>
      </c>
      <c r="AT31" s="20" t="e">
        <f t="shared" si="3"/>
        <v>#N/A</v>
      </c>
      <c r="AW31" s="20" t="s">
        <v>793</v>
      </c>
      <c r="AX31" s="20">
        <v>1</v>
      </c>
      <c r="BZ31" s="71"/>
      <c r="CD31" s="20">
        <f t="shared" si="4"/>
        <v>1089.8</v>
      </c>
      <c r="CE31" s="109" t="s">
        <v>455</v>
      </c>
      <c r="CF31" s="109">
        <v>860.91</v>
      </c>
    </row>
    <row r="32" spans="1:84" ht="61.5" x14ac:dyDescent="0.85">
      <c r="A32" s="20">
        <v>1</v>
      </c>
      <c r="B32" s="66">
        <f>SUBTOTAL(103,$A$22:A32)</f>
        <v>11</v>
      </c>
      <c r="C32" s="24" t="s">
        <v>492</v>
      </c>
      <c r="D32" s="31">
        <f t="shared" si="5"/>
        <v>89397.8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3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9">
        <v>89397.8</v>
      </c>
      <c r="AE32" s="31">
        <v>0</v>
      </c>
      <c r="AF32" s="34">
        <v>2020</v>
      </c>
      <c r="AG32" s="34" t="s">
        <v>270</v>
      </c>
      <c r="AH32" s="34" t="s">
        <v>270</v>
      </c>
      <c r="AT32" s="20" t="e">
        <f t="shared" si="3"/>
        <v>#N/A</v>
      </c>
      <c r="AW32" s="20" t="s">
        <v>792</v>
      </c>
      <c r="AX32" s="20">
        <v>1</v>
      </c>
      <c r="BZ32" s="71"/>
      <c r="CD32" s="20" t="e">
        <f t="shared" si="4"/>
        <v>#N/A</v>
      </c>
      <c r="CE32" s="109" t="s">
        <v>776</v>
      </c>
      <c r="CF32" s="109">
        <v>1319.27</v>
      </c>
    </row>
    <row r="33" spans="1:84" ht="61.5" x14ac:dyDescent="0.85">
      <c r="A33" s="20">
        <v>1</v>
      </c>
      <c r="B33" s="66">
        <f>SUBTOTAL(103,$A$22:A33)</f>
        <v>12</v>
      </c>
      <c r="C33" s="24" t="s">
        <v>494</v>
      </c>
      <c r="D33" s="31">
        <f t="shared" si="5"/>
        <v>2353912.86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3">
        <v>0</v>
      </c>
      <c r="L33" s="31">
        <v>0</v>
      </c>
      <c r="M33" s="39">
        <v>740.47</v>
      </c>
      <c r="N33" s="39">
        <v>2321871.04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9">
        <v>32041.82</v>
      </c>
      <c r="AD33" s="31">
        <v>0</v>
      </c>
      <c r="AE33" s="31">
        <v>0</v>
      </c>
      <c r="AF33" s="34" t="s">
        <v>270</v>
      </c>
      <c r="AG33" s="34">
        <v>2020</v>
      </c>
      <c r="AH33" s="35">
        <v>2020</v>
      </c>
      <c r="AT33" s="20" t="e">
        <f t="shared" si="3"/>
        <v>#N/A</v>
      </c>
      <c r="AW33" s="20" t="s">
        <v>674</v>
      </c>
      <c r="AX33" s="20">
        <v>1</v>
      </c>
      <c r="BZ33" s="71"/>
      <c r="CD33" s="20">
        <f t="shared" si="4"/>
        <v>761.5</v>
      </c>
      <c r="CE33" s="109" t="s">
        <v>669</v>
      </c>
      <c r="CF33" s="109">
        <v>900</v>
      </c>
    </row>
    <row r="34" spans="1:84" ht="61.5" x14ac:dyDescent="0.85">
      <c r="A34" s="20">
        <v>1</v>
      </c>
      <c r="B34" s="66">
        <f>SUBTOTAL(103,$A$22:A34)</f>
        <v>13</v>
      </c>
      <c r="C34" s="24" t="s">
        <v>495</v>
      </c>
      <c r="D34" s="31">
        <f t="shared" si="5"/>
        <v>2593330.65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3">
        <v>0</v>
      </c>
      <c r="L34" s="31">
        <v>0</v>
      </c>
      <c r="M34" s="39">
        <v>940</v>
      </c>
      <c r="N34" s="39">
        <v>2593330.65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31">
        <v>0</v>
      </c>
      <c r="AF34" s="34" t="s">
        <v>270</v>
      </c>
      <c r="AG34" s="34">
        <v>2020</v>
      </c>
      <c r="AH34" s="35" t="s">
        <v>270</v>
      </c>
      <c r="AT34" s="20" t="e">
        <f t="shared" si="3"/>
        <v>#N/A</v>
      </c>
      <c r="AW34" s="20" t="s">
        <v>222</v>
      </c>
      <c r="AX34" s="20">
        <v>1</v>
      </c>
      <c r="BZ34" s="71"/>
      <c r="CD34" s="20">
        <f t="shared" si="4"/>
        <v>1041.5</v>
      </c>
      <c r="CE34" s="109" t="s">
        <v>670</v>
      </c>
      <c r="CF34" s="109">
        <v>900</v>
      </c>
    </row>
    <row r="35" spans="1:84" ht="61.5" x14ac:dyDescent="0.85">
      <c r="A35" s="20">
        <v>1</v>
      </c>
      <c r="B35" s="66">
        <f>SUBTOTAL(103,$A$22:A35)</f>
        <v>14</v>
      </c>
      <c r="C35" s="24" t="s">
        <v>496</v>
      </c>
      <c r="D35" s="31">
        <f t="shared" si="5"/>
        <v>14343008.560000001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241">
        <v>8</v>
      </c>
      <c r="L35" s="39">
        <f>3587787.94+6*1792536.77</f>
        <v>14343008.560000001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4" t="s">
        <v>270</v>
      </c>
      <c r="AG35" s="34">
        <v>2020</v>
      </c>
      <c r="AH35" s="35" t="s">
        <v>270</v>
      </c>
      <c r="AT35" s="20">
        <f t="shared" si="3"/>
        <v>1</v>
      </c>
      <c r="BZ35" s="71"/>
      <c r="CD35" s="20" t="e">
        <f t="shared" si="4"/>
        <v>#N/A</v>
      </c>
      <c r="CE35" s="109" t="s">
        <v>1568</v>
      </c>
      <c r="CF35" s="109">
        <v>870</v>
      </c>
    </row>
    <row r="36" spans="1:84" ht="61.5" x14ac:dyDescent="0.85">
      <c r="A36" s="20">
        <v>1</v>
      </c>
      <c r="B36" s="66">
        <f>SUBTOTAL(103,$A$22:A36)</f>
        <v>15</v>
      </c>
      <c r="C36" s="24" t="s">
        <v>497</v>
      </c>
      <c r="D36" s="31">
        <f t="shared" si="5"/>
        <v>721831.31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3">
        <v>0</v>
      </c>
      <c r="L36" s="31">
        <v>0</v>
      </c>
      <c r="M36" s="39">
        <v>250</v>
      </c>
      <c r="N36" s="179">
        <v>712005.63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9825.68</v>
      </c>
      <c r="AD36" s="31">
        <v>0</v>
      </c>
      <c r="AE36" s="31">
        <v>0</v>
      </c>
      <c r="AF36" s="34" t="s">
        <v>270</v>
      </c>
      <c r="AG36" s="34">
        <v>2020</v>
      </c>
      <c r="AH36" s="35">
        <v>2020</v>
      </c>
      <c r="BZ36" s="71"/>
      <c r="CD36" s="20" t="e">
        <f t="shared" si="4"/>
        <v>#N/A</v>
      </c>
      <c r="CE36" s="109" t="s">
        <v>121</v>
      </c>
      <c r="CF36" s="109">
        <v>313.10000000000002</v>
      </c>
    </row>
    <row r="37" spans="1:84" ht="61.5" x14ac:dyDescent="0.85">
      <c r="A37" s="20">
        <v>1</v>
      </c>
      <c r="B37" s="66">
        <f>SUBTOTAL(103,$A$22:A37)</f>
        <v>16</v>
      </c>
      <c r="C37" s="24" t="s">
        <v>502</v>
      </c>
      <c r="D37" s="31">
        <f t="shared" si="5"/>
        <v>4205685.74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3">
        <v>0</v>
      </c>
      <c r="L37" s="31">
        <v>0</v>
      </c>
      <c r="M37" s="31">
        <v>1100</v>
      </c>
      <c r="N37" s="31">
        <v>4143532.75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62152.99</v>
      </c>
      <c r="AD37" s="31">
        <v>0</v>
      </c>
      <c r="AE37" s="31">
        <v>0</v>
      </c>
      <c r="AF37" s="34" t="s">
        <v>270</v>
      </c>
      <c r="AG37" s="34">
        <v>2020</v>
      </c>
      <c r="AH37" s="35">
        <v>2020</v>
      </c>
      <c r="AT37" s="20" t="e">
        <f>VLOOKUP(C37,AW:AX,2,FALSE)</f>
        <v>#N/A</v>
      </c>
      <c r="BZ37" s="71"/>
      <c r="CD37" s="20" t="e">
        <f t="shared" si="4"/>
        <v>#N/A</v>
      </c>
      <c r="CE37" s="109" t="s">
        <v>153</v>
      </c>
      <c r="CF37" s="109">
        <v>1035.9000000000001</v>
      </c>
    </row>
    <row r="38" spans="1:84" ht="61.5" x14ac:dyDescent="0.85">
      <c r="A38" s="20">
        <v>1</v>
      </c>
      <c r="B38" s="66">
        <f>SUBTOTAL(103,$A$22:A38)</f>
        <v>17</v>
      </c>
      <c r="C38" s="24" t="s">
        <v>1639</v>
      </c>
      <c r="D38" s="31">
        <f t="shared" si="5"/>
        <v>2349201.9300000002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3">
        <v>0</v>
      </c>
      <c r="L38" s="31">
        <v>0</v>
      </c>
      <c r="M38" s="39">
        <v>626.64</v>
      </c>
      <c r="N38" s="31">
        <v>2314484.66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34717.269999999997</v>
      </c>
      <c r="AD38" s="31">
        <v>0</v>
      </c>
      <c r="AE38" s="31">
        <v>0</v>
      </c>
      <c r="AF38" s="34" t="s">
        <v>270</v>
      </c>
      <c r="AG38" s="34">
        <v>2020</v>
      </c>
      <c r="AH38" s="35">
        <v>2020</v>
      </c>
      <c r="BZ38" s="71"/>
      <c r="CD38" s="20" t="e">
        <f t="shared" si="4"/>
        <v>#N/A</v>
      </c>
      <c r="CE38" s="109" t="s">
        <v>491</v>
      </c>
      <c r="CF38" s="109">
        <v>1089.8</v>
      </c>
    </row>
    <row r="39" spans="1:84" ht="61.5" x14ac:dyDescent="0.85">
      <c r="A39" s="20">
        <v>1</v>
      </c>
      <c r="B39" s="66">
        <f>SUBTOTAL(103,$A$22:A39)</f>
        <v>18</v>
      </c>
      <c r="C39" s="24" t="s">
        <v>503</v>
      </c>
      <c r="D39" s="31">
        <f t="shared" si="5"/>
        <v>2988276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3">
        <v>0</v>
      </c>
      <c r="L39" s="31">
        <v>0</v>
      </c>
      <c r="M39" s="39">
        <v>980</v>
      </c>
      <c r="N39" s="39">
        <v>2988276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4" t="s">
        <v>270</v>
      </c>
      <c r="AG39" s="34">
        <v>2020</v>
      </c>
      <c r="AH39" s="35" t="s">
        <v>270</v>
      </c>
      <c r="AT39" s="20" t="e">
        <f>VLOOKUP(C39,AW:AX,2,FALSE)</f>
        <v>#N/A</v>
      </c>
      <c r="BZ39" s="71"/>
      <c r="CD39" s="20" t="e">
        <f t="shared" si="4"/>
        <v>#N/A</v>
      </c>
      <c r="CE39" s="109" t="s">
        <v>495</v>
      </c>
      <c r="CF39" s="109">
        <v>1041.5</v>
      </c>
    </row>
    <row r="40" spans="1:84" ht="61.5" x14ac:dyDescent="0.85">
      <c r="A40" s="20">
        <v>1</v>
      </c>
      <c r="B40" s="66">
        <f>SUBTOTAL(103,$A$22:A40)</f>
        <v>19</v>
      </c>
      <c r="C40" s="24" t="s">
        <v>505</v>
      </c>
      <c r="D40" s="31">
        <f t="shared" si="5"/>
        <v>56688.3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74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9">
        <v>56688.3</v>
      </c>
      <c r="AE40" s="31">
        <v>0</v>
      </c>
      <c r="AF40" s="34">
        <v>2020</v>
      </c>
      <c r="AG40" s="34" t="s">
        <v>270</v>
      </c>
      <c r="AH40" s="35" t="s">
        <v>270</v>
      </c>
      <c r="AR40" s="20" t="e">
        <f>VLOOKUP(C40,AU:AV,2,FALSE)</f>
        <v>#N/A</v>
      </c>
      <c r="BX40" s="71"/>
      <c r="CB40" s="20" t="e">
        <f>VLOOKUP(C40,CC:CD,2,FALSE)</f>
        <v>#N/A</v>
      </c>
      <c r="CC40" s="109" t="s">
        <v>521</v>
      </c>
      <c r="CD40" s="109">
        <v>777.1</v>
      </c>
    </row>
    <row r="41" spans="1:84" ht="61.5" x14ac:dyDescent="0.85">
      <c r="A41" s="20">
        <v>1</v>
      </c>
      <c r="B41" s="66">
        <f>SUBTOTAL(103,$A$22:A41)</f>
        <v>20</v>
      </c>
      <c r="C41" s="24" t="s">
        <v>506</v>
      </c>
      <c r="D41" s="31">
        <f t="shared" si="5"/>
        <v>89064.28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3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179">
        <v>89064.28</v>
      </c>
      <c r="AE41" s="31">
        <v>0</v>
      </c>
      <c r="AF41" s="34">
        <v>2020</v>
      </c>
      <c r="AG41" s="34" t="s">
        <v>270</v>
      </c>
      <c r="AH41" s="35" t="s">
        <v>270</v>
      </c>
      <c r="AT41" s="20" t="e">
        <f t="shared" ref="AT41:AT47" si="6">VLOOKUP(C41,AW:AX,2,FALSE)</f>
        <v>#N/A</v>
      </c>
      <c r="BZ41" s="71"/>
      <c r="CD41" s="20" t="e">
        <f t="shared" ref="CD41:CD72" si="7">VLOOKUP(C41,CE:CF,2,FALSE)</f>
        <v>#N/A</v>
      </c>
      <c r="CE41" s="109" t="s">
        <v>522</v>
      </c>
      <c r="CF41" s="109">
        <v>1000</v>
      </c>
    </row>
    <row r="42" spans="1:84" ht="61.5" x14ac:dyDescent="0.85">
      <c r="A42" s="20">
        <v>1</v>
      </c>
      <c r="B42" s="66">
        <f>SUBTOTAL(103,$A$22:A42)</f>
        <v>21</v>
      </c>
      <c r="C42" s="24" t="s">
        <v>507</v>
      </c>
      <c r="D42" s="31">
        <f t="shared" si="5"/>
        <v>2641217.09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3">
        <v>0</v>
      </c>
      <c r="L42" s="31">
        <v>0</v>
      </c>
      <c r="M42" s="31">
        <v>780</v>
      </c>
      <c r="N42" s="31">
        <v>2522475.65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9">
        <v>34810.160000000003</v>
      </c>
      <c r="AD42" s="179">
        <v>83931.28</v>
      </c>
      <c r="AE42" s="31">
        <v>0</v>
      </c>
      <c r="AF42" s="34">
        <v>2020</v>
      </c>
      <c r="AG42" s="34">
        <v>2020</v>
      </c>
      <c r="AH42" s="35">
        <v>2020</v>
      </c>
      <c r="AT42" s="20" t="e">
        <f t="shared" si="6"/>
        <v>#N/A</v>
      </c>
      <c r="BZ42" s="71"/>
      <c r="CD42" s="20" t="e">
        <f t="shared" si="7"/>
        <v>#N/A</v>
      </c>
      <c r="CE42" s="109" t="s">
        <v>525</v>
      </c>
      <c r="CF42" s="109">
        <v>800</v>
      </c>
    </row>
    <row r="43" spans="1:84" ht="61.5" x14ac:dyDescent="0.85">
      <c r="A43" s="20">
        <v>1</v>
      </c>
      <c r="B43" s="66">
        <f>SUBTOTAL(103,$A$22:A43)</f>
        <v>22</v>
      </c>
      <c r="C43" s="24" t="s">
        <v>508</v>
      </c>
      <c r="D43" s="31">
        <f t="shared" si="5"/>
        <v>12240735.73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241">
        <v>7</v>
      </c>
      <c r="L43" s="39">
        <v>12240735.73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4" t="s">
        <v>270</v>
      </c>
      <c r="AG43" s="34">
        <v>2020</v>
      </c>
      <c r="AH43" s="35" t="s">
        <v>270</v>
      </c>
      <c r="AT43" s="20" t="e">
        <f t="shared" si="6"/>
        <v>#N/A</v>
      </c>
      <c r="BZ43" s="71"/>
      <c r="CD43" s="20" t="e">
        <f t="shared" si="7"/>
        <v>#N/A</v>
      </c>
      <c r="CE43" s="109" t="s">
        <v>528</v>
      </c>
      <c r="CF43" s="109">
        <v>1180.0999999999999</v>
      </c>
    </row>
    <row r="44" spans="1:84" ht="61.5" x14ac:dyDescent="0.85">
      <c r="A44" s="20">
        <v>1</v>
      </c>
      <c r="B44" s="66">
        <f>SUBTOTAL(103,$A$22:A44)</f>
        <v>23</v>
      </c>
      <c r="C44" s="24" t="s">
        <v>509</v>
      </c>
      <c r="D44" s="31">
        <f t="shared" si="5"/>
        <v>3433160.05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241">
        <v>2</v>
      </c>
      <c r="L44" s="39">
        <f>1657599.77+1775560.28</f>
        <v>3433160.05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4" t="s">
        <v>270</v>
      </c>
      <c r="AG44" s="34">
        <v>2020</v>
      </c>
      <c r="AH44" s="35" t="s">
        <v>270</v>
      </c>
      <c r="AT44" s="20" t="e">
        <f t="shared" si="6"/>
        <v>#N/A</v>
      </c>
      <c r="BZ44" s="71"/>
      <c r="CD44" s="20" t="e">
        <f t="shared" si="7"/>
        <v>#N/A</v>
      </c>
      <c r="CE44" s="109" t="s">
        <v>1378</v>
      </c>
      <c r="CF44" s="109">
        <v>789</v>
      </c>
    </row>
    <row r="45" spans="1:84" ht="61.5" x14ac:dyDescent="0.85">
      <c r="A45" s="20">
        <v>1</v>
      </c>
      <c r="B45" s="66">
        <f>SUBTOTAL(103,$A$22:A45)</f>
        <v>24</v>
      </c>
      <c r="C45" s="24" t="s">
        <v>510</v>
      </c>
      <c r="D45" s="31">
        <f t="shared" si="5"/>
        <v>1772747.75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241">
        <v>1</v>
      </c>
      <c r="L45" s="39">
        <v>1772747.75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4" t="s">
        <v>270</v>
      </c>
      <c r="AG45" s="34">
        <v>2020</v>
      </c>
      <c r="AH45" s="35" t="s">
        <v>270</v>
      </c>
      <c r="AT45" s="20" t="e">
        <f t="shared" si="6"/>
        <v>#N/A</v>
      </c>
      <c r="BZ45" s="71"/>
      <c r="CD45" s="20" t="e">
        <f t="shared" si="7"/>
        <v>#N/A</v>
      </c>
      <c r="CE45" s="109" t="s">
        <v>1101</v>
      </c>
      <c r="CF45" s="109">
        <v>1147.7</v>
      </c>
    </row>
    <row r="46" spans="1:84" ht="61.5" x14ac:dyDescent="0.85">
      <c r="A46" s="20">
        <v>1</v>
      </c>
      <c r="B46" s="66">
        <f>SUBTOTAL(103,$A$22:A46)</f>
        <v>25</v>
      </c>
      <c r="C46" s="24" t="s">
        <v>511</v>
      </c>
      <c r="D46" s="31">
        <f t="shared" si="5"/>
        <v>3542647.46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241">
        <v>2</v>
      </c>
      <c r="L46" s="39">
        <f>1771323.73+1771323.73</f>
        <v>3542647.46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4" t="s">
        <v>270</v>
      </c>
      <c r="AG46" s="34">
        <v>2020</v>
      </c>
      <c r="AH46" s="35" t="s">
        <v>270</v>
      </c>
      <c r="AT46" s="20" t="e">
        <f t="shared" si="6"/>
        <v>#N/A</v>
      </c>
      <c r="BZ46" s="71"/>
      <c r="CD46" s="20" t="e">
        <f t="shared" si="7"/>
        <v>#N/A</v>
      </c>
      <c r="CE46" s="109" t="s">
        <v>1102</v>
      </c>
      <c r="CF46" s="109">
        <v>218.8</v>
      </c>
    </row>
    <row r="47" spans="1:84" ht="61.5" x14ac:dyDescent="0.85">
      <c r="A47" s="20">
        <v>1</v>
      </c>
      <c r="B47" s="66">
        <f>SUBTOTAL(103,$A$22:A47)</f>
        <v>26</v>
      </c>
      <c r="C47" s="24" t="s">
        <v>512</v>
      </c>
      <c r="D47" s="31">
        <f t="shared" si="5"/>
        <v>1142069.99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0</v>
      </c>
      <c r="K47" s="33">
        <v>0</v>
      </c>
      <c r="L47" s="31">
        <v>0</v>
      </c>
      <c r="M47" s="39">
        <v>305.72000000000003</v>
      </c>
      <c r="N47" s="39">
        <v>1126523.96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9">
        <v>15546.03</v>
      </c>
      <c r="AD47" s="31">
        <v>0</v>
      </c>
      <c r="AE47" s="31">
        <v>0</v>
      </c>
      <c r="AF47" s="34" t="s">
        <v>270</v>
      </c>
      <c r="AG47" s="34">
        <v>2020</v>
      </c>
      <c r="AH47" s="35">
        <v>2020</v>
      </c>
      <c r="AT47" s="20" t="e">
        <f t="shared" si="6"/>
        <v>#N/A</v>
      </c>
      <c r="BZ47" s="71"/>
      <c r="CD47" s="20">
        <f t="shared" si="7"/>
        <v>342</v>
      </c>
      <c r="CE47" s="109" t="s">
        <v>1103</v>
      </c>
      <c r="CF47" s="109">
        <v>912.27</v>
      </c>
    </row>
    <row r="48" spans="1:84" ht="61.5" x14ac:dyDescent="0.85">
      <c r="A48" s="20">
        <v>1</v>
      </c>
      <c r="B48" s="66">
        <f>SUBTOTAL(103,$A$22:A48)</f>
        <v>27</v>
      </c>
      <c r="C48" s="24" t="s">
        <v>513</v>
      </c>
      <c r="D48" s="31">
        <f t="shared" si="5"/>
        <v>947034.45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0</v>
      </c>
      <c r="K48" s="33">
        <v>0</v>
      </c>
      <c r="L48" s="31">
        <v>0</v>
      </c>
      <c r="M48" s="31">
        <v>207</v>
      </c>
      <c r="N48" s="31">
        <v>933038.87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  <c r="U48" s="31">
        <v>0</v>
      </c>
      <c r="V48" s="31">
        <v>0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13995.58</v>
      </c>
      <c r="AD48" s="31">
        <v>0</v>
      </c>
      <c r="AE48" s="31">
        <v>0</v>
      </c>
      <c r="AF48" s="34" t="s">
        <v>270</v>
      </c>
      <c r="AG48" s="34">
        <v>2020</v>
      </c>
      <c r="AH48" s="35">
        <v>2020</v>
      </c>
      <c r="BZ48" s="71"/>
      <c r="CD48" s="20" t="e">
        <f t="shared" si="7"/>
        <v>#N/A</v>
      </c>
      <c r="CE48" s="109" t="s">
        <v>1107</v>
      </c>
      <c r="CF48" s="109">
        <v>979.44</v>
      </c>
    </row>
    <row r="49" spans="1:84" ht="61.5" x14ac:dyDescent="0.85">
      <c r="A49" s="20">
        <v>1</v>
      </c>
      <c r="B49" s="66">
        <f>SUBTOTAL(103,$A$22:A49)</f>
        <v>28</v>
      </c>
      <c r="C49" s="24" t="s">
        <v>514</v>
      </c>
      <c r="D49" s="31">
        <f t="shared" si="5"/>
        <v>1279163.03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3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9">
        <v>392</v>
      </c>
      <c r="R49" s="31">
        <v>1222063.8700000001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18345.96</v>
      </c>
      <c r="AD49" s="179">
        <v>38753.199999999997</v>
      </c>
      <c r="AE49" s="31">
        <v>0</v>
      </c>
      <c r="AF49" s="34">
        <v>2020</v>
      </c>
      <c r="AG49" s="34">
        <v>2020</v>
      </c>
      <c r="AH49" s="35">
        <v>2020</v>
      </c>
      <c r="AT49" s="20" t="e">
        <f t="shared" ref="AT49:AT64" si="8">VLOOKUP(C49,AW:AX,2,FALSE)</f>
        <v>#N/A</v>
      </c>
      <c r="BZ49" s="71"/>
      <c r="CD49" s="20" t="e">
        <f t="shared" si="7"/>
        <v>#N/A</v>
      </c>
      <c r="CE49" s="109" t="s">
        <v>1108</v>
      </c>
      <c r="CF49" s="109">
        <v>730.17</v>
      </c>
    </row>
    <row r="50" spans="1:84" ht="61.5" x14ac:dyDescent="0.85">
      <c r="A50" s="20">
        <v>1</v>
      </c>
      <c r="B50" s="66">
        <f>SUBTOTAL(103,$A$22:A50)</f>
        <v>29</v>
      </c>
      <c r="C50" s="24" t="s">
        <v>515</v>
      </c>
      <c r="D50" s="31">
        <f t="shared" si="5"/>
        <v>1762086.42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241">
        <v>1</v>
      </c>
      <c r="L50" s="39">
        <v>1762086.42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  <c r="U50" s="31">
        <v>0</v>
      </c>
      <c r="V50" s="31">
        <v>0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0</v>
      </c>
      <c r="AE50" s="31">
        <v>0</v>
      </c>
      <c r="AF50" s="34" t="s">
        <v>270</v>
      </c>
      <c r="AG50" s="34">
        <v>2020</v>
      </c>
      <c r="AH50" s="35" t="s">
        <v>270</v>
      </c>
      <c r="AT50" s="20" t="e">
        <f t="shared" si="8"/>
        <v>#N/A</v>
      </c>
      <c r="BZ50" s="71"/>
      <c r="CD50" s="20" t="e">
        <f t="shared" si="7"/>
        <v>#N/A</v>
      </c>
      <c r="CE50" s="109" t="s">
        <v>1111</v>
      </c>
      <c r="CF50" s="109">
        <v>874.18</v>
      </c>
    </row>
    <row r="51" spans="1:84" ht="61.5" x14ac:dyDescent="0.85">
      <c r="A51" s="20">
        <v>1</v>
      </c>
      <c r="B51" s="66">
        <f>SUBTOTAL(103,$A$22:A51)</f>
        <v>30</v>
      </c>
      <c r="C51" s="24" t="s">
        <v>516</v>
      </c>
      <c r="D51" s="31">
        <f t="shared" si="5"/>
        <v>2417044.5900000003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3">
        <v>0</v>
      </c>
      <c r="L51" s="31">
        <v>0</v>
      </c>
      <c r="M51" s="39">
        <v>952</v>
      </c>
      <c r="N51" s="39">
        <v>2302037.7400000002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31768.11</v>
      </c>
      <c r="AD51" s="39">
        <v>83238.740000000005</v>
      </c>
      <c r="AE51" s="31">
        <v>0</v>
      </c>
      <c r="AF51" s="34">
        <v>2020</v>
      </c>
      <c r="AG51" s="34">
        <v>2020</v>
      </c>
      <c r="AH51" s="35">
        <v>2020</v>
      </c>
      <c r="AT51" s="20" t="e">
        <f t="shared" si="8"/>
        <v>#N/A</v>
      </c>
      <c r="BZ51" s="71"/>
      <c r="CD51" s="20">
        <f t="shared" si="7"/>
        <v>952</v>
      </c>
      <c r="CE51" s="109" t="s">
        <v>1113</v>
      </c>
      <c r="CF51" s="109">
        <v>1200</v>
      </c>
    </row>
    <row r="52" spans="1:84" ht="61.5" x14ac:dyDescent="0.85">
      <c r="A52" s="20">
        <v>1</v>
      </c>
      <c r="B52" s="66">
        <f>SUBTOTAL(103,$A$22:A52)</f>
        <v>31</v>
      </c>
      <c r="C52" s="24" t="s">
        <v>517</v>
      </c>
      <c r="D52" s="31">
        <f t="shared" si="5"/>
        <v>2398202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3">
        <v>0</v>
      </c>
      <c r="L52" s="31">
        <v>0</v>
      </c>
      <c r="M52" s="39">
        <v>677.7</v>
      </c>
      <c r="N52" s="179">
        <v>2398202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4" t="s">
        <v>270</v>
      </c>
      <c r="AG52" s="34">
        <v>2020</v>
      </c>
      <c r="AH52" s="35" t="s">
        <v>270</v>
      </c>
      <c r="AT52" s="20" t="e">
        <f t="shared" si="8"/>
        <v>#N/A</v>
      </c>
      <c r="BZ52" s="71"/>
      <c r="CD52" s="20">
        <f t="shared" si="7"/>
        <v>702.2</v>
      </c>
      <c r="CE52" s="109" t="s">
        <v>1123</v>
      </c>
      <c r="CF52" s="109">
        <v>523.98</v>
      </c>
    </row>
    <row r="53" spans="1:84" ht="61.5" x14ac:dyDescent="0.85">
      <c r="A53" s="20">
        <v>1</v>
      </c>
      <c r="B53" s="66">
        <f>SUBTOTAL(103,$A$22:A53)</f>
        <v>32</v>
      </c>
      <c r="C53" s="24" t="s">
        <v>518</v>
      </c>
      <c r="D53" s="31">
        <f t="shared" si="5"/>
        <v>1104719.2799999998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3">
        <v>0</v>
      </c>
      <c r="L53" s="31">
        <v>0</v>
      </c>
      <c r="M53" s="31">
        <v>250.4</v>
      </c>
      <c r="N53" s="31">
        <v>1088099.8799999999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16619.400000000001</v>
      </c>
      <c r="AD53" s="31">
        <v>0</v>
      </c>
      <c r="AE53" s="31">
        <v>0</v>
      </c>
      <c r="AF53" s="34" t="s">
        <v>270</v>
      </c>
      <c r="AG53" s="34">
        <v>2020</v>
      </c>
      <c r="AH53" s="35">
        <v>2020</v>
      </c>
      <c r="AT53" s="20" t="e">
        <f t="shared" si="8"/>
        <v>#N/A</v>
      </c>
      <c r="BZ53" s="71"/>
      <c r="CD53" s="20" t="e">
        <f t="shared" si="7"/>
        <v>#N/A</v>
      </c>
      <c r="CE53" s="109" t="s">
        <v>1125</v>
      </c>
      <c r="CF53" s="109">
        <v>1093</v>
      </c>
    </row>
    <row r="54" spans="1:84" ht="61.5" x14ac:dyDescent="0.85">
      <c r="A54" s="20">
        <v>1</v>
      </c>
      <c r="B54" s="66">
        <f>SUBTOTAL(103,$A$22:A54)</f>
        <v>33</v>
      </c>
      <c r="C54" s="24" t="s">
        <v>519</v>
      </c>
      <c r="D54" s="31">
        <f t="shared" si="5"/>
        <v>2602788.06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3">
        <v>0</v>
      </c>
      <c r="L54" s="31">
        <v>0</v>
      </c>
      <c r="M54" s="39">
        <v>1512.41</v>
      </c>
      <c r="N54" s="39">
        <v>2567359.87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9">
        <v>35428.19</v>
      </c>
      <c r="AD54" s="31">
        <v>0</v>
      </c>
      <c r="AE54" s="31">
        <v>0</v>
      </c>
      <c r="AF54" s="34" t="s">
        <v>270</v>
      </c>
      <c r="AG54" s="34">
        <v>2020</v>
      </c>
      <c r="AH54" s="35">
        <v>2020</v>
      </c>
      <c r="AT54" s="20" t="e">
        <f t="shared" si="8"/>
        <v>#N/A</v>
      </c>
      <c r="BZ54" s="71"/>
      <c r="CD54" s="20">
        <f t="shared" si="7"/>
        <v>1603.24</v>
      </c>
      <c r="CE54" s="109" t="s">
        <v>1554</v>
      </c>
      <c r="CF54" s="109">
        <v>1004.3</v>
      </c>
    </row>
    <row r="55" spans="1:84" ht="61.5" x14ac:dyDescent="0.85">
      <c r="A55" s="20">
        <v>1</v>
      </c>
      <c r="B55" s="66">
        <f>SUBTOTAL(103,$A$22:A55)</f>
        <v>34</v>
      </c>
      <c r="C55" s="24" t="s">
        <v>520</v>
      </c>
      <c r="D55" s="31">
        <f t="shared" si="5"/>
        <v>4237431.09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3">
        <v>0</v>
      </c>
      <c r="L55" s="31">
        <v>0</v>
      </c>
      <c r="M55" s="39">
        <v>1812</v>
      </c>
      <c r="N55" s="39">
        <v>4179750.55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57680.54</v>
      </c>
      <c r="AD55" s="31">
        <v>0</v>
      </c>
      <c r="AE55" s="31">
        <v>0</v>
      </c>
      <c r="AF55" s="34" t="s">
        <v>270</v>
      </c>
      <c r="AG55" s="34">
        <v>2020</v>
      </c>
      <c r="AH55" s="35">
        <v>2020</v>
      </c>
      <c r="AT55" s="20" t="e">
        <f t="shared" si="8"/>
        <v>#N/A</v>
      </c>
      <c r="BZ55" s="71"/>
      <c r="CD55" s="20">
        <f t="shared" si="7"/>
        <v>2070.63</v>
      </c>
      <c r="CE55" s="109" t="s">
        <v>1540</v>
      </c>
      <c r="CF55" s="109">
        <v>334.8</v>
      </c>
    </row>
    <row r="56" spans="1:84" ht="61.5" x14ac:dyDescent="0.85">
      <c r="A56" s="20">
        <v>1</v>
      </c>
      <c r="B56" s="66">
        <f>SUBTOTAL(103,$A$22:A56)</f>
        <v>35</v>
      </c>
      <c r="C56" s="24" t="s">
        <v>521</v>
      </c>
      <c r="D56" s="31">
        <f t="shared" si="5"/>
        <v>2474623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3">
        <v>0</v>
      </c>
      <c r="L56" s="31">
        <v>0</v>
      </c>
      <c r="M56" s="39">
        <v>761</v>
      </c>
      <c r="N56" s="39">
        <v>2474623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4" t="s">
        <v>270</v>
      </c>
      <c r="AG56" s="34">
        <v>2020</v>
      </c>
      <c r="AH56" s="35" t="s">
        <v>270</v>
      </c>
      <c r="AT56" s="20" t="e">
        <f t="shared" si="8"/>
        <v>#N/A</v>
      </c>
      <c r="BZ56" s="71"/>
      <c r="CD56" s="20">
        <f t="shared" si="7"/>
        <v>777.1</v>
      </c>
      <c r="CE56" s="109" t="s">
        <v>1552</v>
      </c>
      <c r="CF56" s="109">
        <v>1585</v>
      </c>
    </row>
    <row r="57" spans="1:84" ht="61.5" x14ac:dyDescent="0.85">
      <c r="A57" s="20">
        <v>1</v>
      </c>
      <c r="B57" s="66">
        <f>SUBTOTAL(103,$A$22:A57)</f>
        <v>36</v>
      </c>
      <c r="C57" s="24" t="s">
        <v>522</v>
      </c>
      <c r="D57" s="31">
        <f t="shared" si="5"/>
        <v>4187098.32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3">
        <v>0</v>
      </c>
      <c r="L57" s="31">
        <v>0</v>
      </c>
      <c r="M57" s="31">
        <v>1000</v>
      </c>
      <c r="N57" s="31">
        <v>4125220.02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61878.3</v>
      </c>
      <c r="AD57" s="31">
        <v>0</v>
      </c>
      <c r="AE57" s="31">
        <v>0</v>
      </c>
      <c r="AF57" s="34" t="s">
        <v>270</v>
      </c>
      <c r="AG57" s="34">
        <v>2020</v>
      </c>
      <c r="AH57" s="35">
        <v>2020</v>
      </c>
      <c r="AT57" s="20" t="e">
        <f t="shared" si="8"/>
        <v>#N/A</v>
      </c>
      <c r="BZ57" s="71"/>
      <c r="CD57" s="20">
        <f t="shared" si="7"/>
        <v>1000</v>
      </c>
      <c r="CE57" s="109" t="s">
        <v>1541</v>
      </c>
      <c r="CF57" s="109">
        <v>543.6</v>
      </c>
    </row>
    <row r="58" spans="1:84" ht="61.5" x14ac:dyDescent="0.85">
      <c r="A58" s="20">
        <v>1</v>
      </c>
      <c r="B58" s="66">
        <f>SUBTOTAL(103,$A$22:A58)</f>
        <v>37</v>
      </c>
      <c r="C58" s="24" t="s">
        <v>523</v>
      </c>
      <c r="D58" s="31">
        <f t="shared" si="5"/>
        <v>2336593.75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3">
        <v>0</v>
      </c>
      <c r="L58" s="31">
        <v>0</v>
      </c>
      <c r="M58" s="39">
        <v>579</v>
      </c>
      <c r="N58" s="39">
        <v>2304787.69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31806.06</v>
      </c>
      <c r="AD58" s="31">
        <v>0</v>
      </c>
      <c r="AE58" s="31">
        <v>0</v>
      </c>
      <c r="AF58" s="34" t="s">
        <v>270</v>
      </c>
      <c r="AG58" s="34">
        <v>2020</v>
      </c>
      <c r="AH58" s="35">
        <v>2020</v>
      </c>
      <c r="AT58" s="20" t="e">
        <f t="shared" si="8"/>
        <v>#N/A</v>
      </c>
      <c r="BZ58" s="71"/>
      <c r="CD58" s="20">
        <f t="shared" si="7"/>
        <v>600</v>
      </c>
      <c r="CE58" s="109" t="s">
        <v>448</v>
      </c>
      <c r="CF58" s="109">
        <v>603.71</v>
      </c>
    </row>
    <row r="59" spans="1:84" ht="61.5" x14ac:dyDescent="0.85">
      <c r="A59" s="20">
        <v>1</v>
      </c>
      <c r="B59" s="66">
        <f>SUBTOTAL(103,$A$22:A59)</f>
        <v>38</v>
      </c>
      <c r="C59" s="24" t="s">
        <v>524</v>
      </c>
      <c r="D59" s="31">
        <f t="shared" si="5"/>
        <v>2470286.52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3">
        <v>0</v>
      </c>
      <c r="L59" s="31">
        <v>0</v>
      </c>
      <c r="M59" s="39">
        <v>767</v>
      </c>
      <c r="N59" s="39">
        <v>2351994.85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179">
        <v>32457.53</v>
      </c>
      <c r="AD59" s="179">
        <v>85834.14</v>
      </c>
      <c r="AE59" s="31">
        <v>0</v>
      </c>
      <c r="AF59" s="34">
        <v>2020</v>
      </c>
      <c r="AG59" s="34">
        <v>2020</v>
      </c>
      <c r="AH59" s="35">
        <v>2020</v>
      </c>
      <c r="AT59" s="20" t="e">
        <f t="shared" si="8"/>
        <v>#N/A</v>
      </c>
      <c r="BZ59" s="71"/>
      <c r="CD59" s="20" t="e">
        <f t="shared" si="7"/>
        <v>#N/A</v>
      </c>
      <c r="CE59" s="109" t="s">
        <v>449</v>
      </c>
      <c r="CF59" s="109">
        <v>588.4</v>
      </c>
    </row>
    <row r="60" spans="1:84" ht="61.5" x14ac:dyDescent="0.85">
      <c r="A60" s="20">
        <v>1</v>
      </c>
      <c r="B60" s="66">
        <f>SUBTOTAL(103,$A$22:A60)</f>
        <v>39</v>
      </c>
      <c r="C60" s="24" t="s">
        <v>525</v>
      </c>
      <c r="D60" s="31">
        <f t="shared" si="5"/>
        <v>3382151.3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3">
        <v>0</v>
      </c>
      <c r="L60" s="31">
        <v>0</v>
      </c>
      <c r="M60" s="31">
        <v>800</v>
      </c>
      <c r="N60" s="31">
        <v>3332168.77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49982.53</v>
      </c>
      <c r="AD60" s="31">
        <v>0</v>
      </c>
      <c r="AE60" s="31">
        <v>0</v>
      </c>
      <c r="AF60" s="34" t="s">
        <v>270</v>
      </c>
      <c r="AG60" s="34">
        <v>2020</v>
      </c>
      <c r="AH60" s="35">
        <v>2020</v>
      </c>
      <c r="AT60" s="20" t="e">
        <f t="shared" si="8"/>
        <v>#N/A</v>
      </c>
      <c r="BZ60" s="71"/>
      <c r="CD60" s="20">
        <f t="shared" si="7"/>
        <v>800</v>
      </c>
      <c r="CE60" s="109" t="s">
        <v>451</v>
      </c>
      <c r="CF60" s="109">
        <v>577</v>
      </c>
    </row>
    <row r="61" spans="1:84" ht="61.5" x14ac:dyDescent="0.85">
      <c r="A61" s="20">
        <v>1</v>
      </c>
      <c r="B61" s="66">
        <f>SUBTOTAL(103,$A$22:A61)</f>
        <v>40</v>
      </c>
      <c r="C61" s="24" t="s">
        <v>526</v>
      </c>
      <c r="D61" s="31">
        <f t="shared" si="5"/>
        <v>4414109.6800000006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0</v>
      </c>
      <c r="K61" s="74">
        <v>0</v>
      </c>
      <c r="L61" s="31">
        <v>0</v>
      </c>
      <c r="M61" s="31">
        <v>1065</v>
      </c>
      <c r="N61" s="31">
        <v>4261440.63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63921.61</v>
      </c>
      <c r="AD61" s="39">
        <v>88747.44</v>
      </c>
      <c r="AE61" s="31">
        <v>0</v>
      </c>
      <c r="AF61" s="34">
        <v>2020</v>
      </c>
      <c r="AG61" s="34">
        <v>2020</v>
      </c>
      <c r="AH61" s="34">
        <v>2020</v>
      </c>
      <c r="AT61" s="20" t="e">
        <f t="shared" si="8"/>
        <v>#N/A</v>
      </c>
      <c r="BZ61" s="71"/>
      <c r="CD61" s="20" t="e">
        <f t="shared" si="7"/>
        <v>#N/A</v>
      </c>
      <c r="CE61" s="109" t="s">
        <v>1154</v>
      </c>
      <c r="CF61" s="109">
        <v>633.34</v>
      </c>
    </row>
    <row r="62" spans="1:84" ht="61.5" x14ac:dyDescent="0.85">
      <c r="A62" s="20">
        <v>1</v>
      </c>
      <c r="B62" s="66">
        <f>SUBTOTAL(103,$A$22:A62)</f>
        <v>41</v>
      </c>
      <c r="C62" s="24" t="s">
        <v>527</v>
      </c>
      <c r="D62" s="31">
        <f t="shared" si="5"/>
        <v>82721.55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3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  <c r="U62" s="31">
        <v>0</v>
      </c>
      <c r="V62" s="31">
        <v>0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9">
        <v>82721.55</v>
      </c>
      <c r="AE62" s="31">
        <v>0</v>
      </c>
      <c r="AF62" s="34">
        <v>2020</v>
      </c>
      <c r="AG62" s="34" t="s">
        <v>270</v>
      </c>
      <c r="AH62" s="35" t="s">
        <v>270</v>
      </c>
      <c r="AT62" s="20" t="e">
        <f t="shared" si="8"/>
        <v>#N/A</v>
      </c>
      <c r="BZ62" s="71"/>
      <c r="CD62" s="20">
        <f t="shared" si="7"/>
        <v>904</v>
      </c>
      <c r="CE62" s="109" t="s">
        <v>1290</v>
      </c>
      <c r="CF62" s="109">
        <v>1674.7</v>
      </c>
    </row>
    <row r="63" spans="1:84" ht="61.5" x14ac:dyDescent="0.85">
      <c r="A63" s="20">
        <v>1</v>
      </c>
      <c r="B63" s="66">
        <f>SUBTOTAL(103,$A$22:A63)</f>
        <v>42</v>
      </c>
      <c r="C63" s="24" t="s">
        <v>528</v>
      </c>
      <c r="D63" s="31">
        <f t="shared" si="5"/>
        <v>3491771.3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3">
        <v>0</v>
      </c>
      <c r="L63" s="31">
        <v>0</v>
      </c>
      <c r="M63" s="31">
        <v>1180.0999999999999</v>
      </c>
      <c r="N63" s="31">
        <v>3440168.77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51602.53</v>
      </c>
      <c r="AD63" s="31">
        <v>0</v>
      </c>
      <c r="AE63" s="31">
        <v>0</v>
      </c>
      <c r="AF63" s="34" t="s">
        <v>270</v>
      </c>
      <c r="AG63" s="34">
        <v>2020</v>
      </c>
      <c r="AH63" s="35">
        <v>2020</v>
      </c>
      <c r="AT63" s="20" t="e">
        <f t="shared" si="8"/>
        <v>#N/A</v>
      </c>
      <c r="BZ63" s="71"/>
      <c r="CD63" s="20">
        <f t="shared" si="7"/>
        <v>1180.0999999999999</v>
      </c>
      <c r="CE63" s="109" t="s">
        <v>778</v>
      </c>
      <c r="CF63" s="109">
        <v>1375.9</v>
      </c>
    </row>
    <row r="64" spans="1:84" ht="61.5" x14ac:dyDescent="0.85">
      <c r="A64" s="20">
        <v>1</v>
      </c>
      <c r="B64" s="66">
        <f>SUBTOTAL(103,$A$22:A64)</f>
        <v>43</v>
      </c>
      <c r="C64" s="24" t="s">
        <v>529</v>
      </c>
      <c r="D64" s="31">
        <f t="shared" si="5"/>
        <v>62259.5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3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  <c r="U64" s="31">
        <v>0</v>
      </c>
      <c r="V64" s="31">
        <v>0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9">
        <v>62259.5</v>
      </c>
      <c r="AE64" s="31">
        <v>0</v>
      </c>
      <c r="AF64" s="34">
        <v>2020</v>
      </c>
      <c r="AG64" s="34" t="s">
        <v>270</v>
      </c>
      <c r="AH64" s="34" t="s">
        <v>270</v>
      </c>
      <c r="AT64" s="20" t="e">
        <f t="shared" si="8"/>
        <v>#N/A</v>
      </c>
      <c r="BZ64" s="71"/>
      <c r="CD64" s="20" t="e">
        <f t="shared" si="7"/>
        <v>#N/A</v>
      </c>
      <c r="CE64" s="109" t="s">
        <v>1171</v>
      </c>
      <c r="CF64" s="109">
        <v>1206.22</v>
      </c>
    </row>
    <row r="65" spans="1:84" ht="61.5" x14ac:dyDescent="0.85">
      <c r="A65" s="20">
        <v>1</v>
      </c>
      <c r="B65" s="66">
        <f>SUBTOTAL(103,$A$22:A65)</f>
        <v>44</v>
      </c>
      <c r="C65" s="24" t="s">
        <v>1376</v>
      </c>
      <c r="D65" s="31">
        <f t="shared" si="5"/>
        <v>605681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3">
        <v>0</v>
      </c>
      <c r="L65" s="31">
        <v>0</v>
      </c>
      <c r="M65" s="39">
        <v>305.76</v>
      </c>
      <c r="N65" s="39">
        <v>597436.38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9">
        <v>8244.6200000000008</v>
      </c>
      <c r="AD65" s="31">
        <v>0</v>
      </c>
      <c r="AE65" s="31">
        <v>0</v>
      </c>
      <c r="AF65" s="34" t="s">
        <v>270</v>
      </c>
      <c r="AG65" s="34">
        <v>2020</v>
      </c>
      <c r="AH65" s="35">
        <v>2020</v>
      </c>
      <c r="BZ65" s="71"/>
      <c r="CD65" s="20">
        <f t="shared" si="7"/>
        <v>334.02</v>
      </c>
      <c r="CE65" s="109" t="s">
        <v>1174</v>
      </c>
      <c r="CF65" s="109">
        <v>1137.3</v>
      </c>
    </row>
    <row r="66" spans="1:84" ht="61.5" x14ac:dyDescent="0.85">
      <c r="A66" s="20">
        <v>1</v>
      </c>
      <c r="B66" s="66">
        <f>SUBTOTAL(103,$A$22:A66)</f>
        <v>45</v>
      </c>
      <c r="C66" s="24" t="s">
        <v>1378</v>
      </c>
      <c r="D66" s="31">
        <f t="shared" si="5"/>
        <v>3492157.84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3">
        <v>0</v>
      </c>
      <c r="L66" s="31">
        <v>0</v>
      </c>
      <c r="M66" s="39">
        <v>804</v>
      </c>
      <c r="N66" s="39">
        <v>3444622.07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47535.77</v>
      </c>
      <c r="AD66" s="31">
        <v>0</v>
      </c>
      <c r="AE66" s="31">
        <v>0</v>
      </c>
      <c r="AF66" s="34" t="s">
        <v>270</v>
      </c>
      <c r="AG66" s="34">
        <v>2020</v>
      </c>
      <c r="AH66" s="35">
        <v>2020</v>
      </c>
      <c r="BZ66" s="71"/>
      <c r="CD66" s="20">
        <f t="shared" si="7"/>
        <v>789</v>
      </c>
      <c r="CE66" s="109" t="s">
        <v>381</v>
      </c>
      <c r="CF66" s="109">
        <v>386.2</v>
      </c>
    </row>
    <row r="67" spans="1:84" ht="61.5" x14ac:dyDescent="0.85">
      <c r="A67" s="20">
        <v>1</v>
      </c>
      <c r="B67" s="66">
        <f>SUBTOTAL(103,$A$22:A67)</f>
        <v>46</v>
      </c>
      <c r="C67" s="24" t="s">
        <v>1098</v>
      </c>
      <c r="D67" s="31">
        <f t="shared" si="5"/>
        <v>4195168.8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241">
        <v>3</v>
      </c>
      <c r="L67" s="39">
        <v>4195168.8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4" t="s">
        <v>270</v>
      </c>
      <c r="AG67" s="34">
        <v>2020</v>
      </c>
      <c r="AH67" s="35" t="s">
        <v>270</v>
      </c>
      <c r="BZ67" s="71"/>
      <c r="CD67" s="20" t="e">
        <f t="shared" si="7"/>
        <v>#N/A</v>
      </c>
      <c r="CE67" s="109" t="s">
        <v>1182</v>
      </c>
      <c r="CF67" s="109">
        <v>540.5</v>
      </c>
    </row>
    <row r="68" spans="1:84" ht="61.5" x14ac:dyDescent="0.85">
      <c r="A68" s="20">
        <v>1</v>
      </c>
      <c r="B68" s="66">
        <f>SUBTOTAL(103,$A$22:A68)</f>
        <v>47</v>
      </c>
      <c r="C68" s="24" t="s">
        <v>1099</v>
      </c>
      <c r="D68" s="31">
        <f t="shared" si="5"/>
        <v>11667617.030000001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3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9">
        <v>6500</v>
      </c>
      <c r="R68" s="39">
        <v>11496038.65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9">
        <v>171578.38</v>
      </c>
      <c r="AD68" s="31">
        <v>0</v>
      </c>
      <c r="AE68" s="31">
        <v>0</v>
      </c>
      <c r="AF68" s="34" t="s">
        <v>270</v>
      </c>
      <c r="AG68" s="34">
        <v>2020</v>
      </c>
      <c r="AH68" s="35">
        <v>2020</v>
      </c>
      <c r="BZ68" s="71"/>
      <c r="CD68" s="20" t="e">
        <f t="shared" si="7"/>
        <v>#N/A</v>
      </c>
      <c r="CE68" s="109" t="s">
        <v>1183</v>
      </c>
      <c r="CF68" s="109">
        <v>603.5</v>
      </c>
    </row>
    <row r="69" spans="1:84" ht="61.5" x14ac:dyDescent="0.85">
      <c r="A69" s="20">
        <v>1</v>
      </c>
      <c r="B69" s="66">
        <f>SUBTOTAL(103,$A$22:A69)</f>
        <v>48</v>
      </c>
      <c r="C69" s="24" t="s">
        <v>1100</v>
      </c>
      <c r="D69" s="31">
        <f t="shared" si="5"/>
        <v>7710494.8799999999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3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3852.16</v>
      </c>
      <c r="R69" s="31">
        <v>7596546.6799999997</v>
      </c>
      <c r="S69" s="31">
        <v>0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113948.2</v>
      </c>
      <c r="AD69" s="31">
        <v>0</v>
      </c>
      <c r="AE69" s="31">
        <v>0</v>
      </c>
      <c r="AF69" s="34" t="s">
        <v>270</v>
      </c>
      <c r="AG69" s="34">
        <v>2020</v>
      </c>
      <c r="AH69" s="35">
        <v>2020</v>
      </c>
      <c r="BZ69" s="71"/>
      <c r="CD69" s="20" t="e">
        <f t="shared" si="7"/>
        <v>#N/A</v>
      </c>
      <c r="CE69" s="109" t="s">
        <v>1184</v>
      </c>
      <c r="CF69" s="109">
        <v>1650</v>
      </c>
    </row>
    <row r="70" spans="1:84" ht="61.5" x14ac:dyDescent="0.85">
      <c r="A70" s="20">
        <v>1</v>
      </c>
      <c r="B70" s="66">
        <f>SUBTOTAL(103,$A$22:A70)</f>
        <v>49</v>
      </c>
      <c r="C70" s="24" t="s">
        <v>1102</v>
      </c>
      <c r="D70" s="31">
        <f t="shared" si="5"/>
        <v>952425.83000000007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3">
        <v>0</v>
      </c>
      <c r="L70" s="31">
        <v>0</v>
      </c>
      <c r="M70" s="39">
        <v>218.8</v>
      </c>
      <c r="N70" s="39">
        <f>119355.05+819064.86</f>
        <v>938419.91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14005.92</v>
      </c>
      <c r="AD70" s="31">
        <v>0</v>
      </c>
      <c r="AE70" s="31">
        <v>0</v>
      </c>
      <c r="AF70" s="34" t="s">
        <v>270</v>
      </c>
      <c r="AG70" s="34">
        <v>2020</v>
      </c>
      <c r="AH70" s="35">
        <v>2020</v>
      </c>
      <c r="BZ70" s="71"/>
      <c r="CD70" s="20">
        <f t="shared" si="7"/>
        <v>218.8</v>
      </c>
      <c r="CE70" s="109" t="s">
        <v>1191</v>
      </c>
      <c r="CF70" s="109">
        <v>1264.96</v>
      </c>
    </row>
    <row r="71" spans="1:84" ht="61.5" x14ac:dyDescent="0.85">
      <c r="A71" s="20">
        <v>1</v>
      </c>
      <c r="B71" s="66">
        <f>SUBTOTAL(103,$A$22:A71)</f>
        <v>50</v>
      </c>
      <c r="C71" s="24" t="s">
        <v>1103</v>
      </c>
      <c r="D71" s="31">
        <f t="shared" si="5"/>
        <v>3306287.7600000002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3">
        <v>0</v>
      </c>
      <c r="L71" s="31">
        <v>0</v>
      </c>
      <c r="M71" s="39">
        <v>912.27</v>
      </c>
      <c r="N71" s="39">
        <v>3257667.08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  <c r="U71" s="31">
        <v>0</v>
      </c>
      <c r="V71" s="31">
        <v>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9">
        <v>48620.68</v>
      </c>
      <c r="AD71" s="31">
        <v>0</v>
      </c>
      <c r="AE71" s="31">
        <v>0</v>
      </c>
      <c r="AF71" s="34" t="s">
        <v>270</v>
      </c>
      <c r="AG71" s="34">
        <v>2020</v>
      </c>
      <c r="AH71" s="35">
        <v>2020</v>
      </c>
      <c r="BZ71" s="71"/>
      <c r="CD71" s="20">
        <f t="shared" si="7"/>
        <v>912.27</v>
      </c>
      <c r="CE71" s="109" t="s">
        <v>1193</v>
      </c>
      <c r="CF71" s="109">
        <v>781</v>
      </c>
    </row>
    <row r="72" spans="1:84" ht="61.5" x14ac:dyDescent="0.85">
      <c r="A72" s="20">
        <v>1</v>
      </c>
      <c r="B72" s="66">
        <f>SUBTOTAL(103,$A$22:A72)</f>
        <v>51</v>
      </c>
      <c r="C72" s="24" t="s">
        <v>1105</v>
      </c>
      <c r="D72" s="31">
        <f t="shared" si="5"/>
        <v>4193947.02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3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  <c r="U72" s="39">
        <v>4132272.85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9">
        <v>61674.17</v>
      </c>
      <c r="AD72" s="31">
        <v>0</v>
      </c>
      <c r="AE72" s="31">
        <v>0</v>
      </c>
      <c r="AF72" s="34" t="s">
        <v>270</v>
      </c>
      <c r="AG72" s="34">
        <v>2020</v>
      </c>
      <c r="AH72" s="35">
        <v>2020</v>
      </c>
      <c r="BZ72" s="71"/>
      <c r="CD72" s="20" t="e">
        <f t="shared" si="7"/>
        <v>#N/A</v>
      </c>
      <c r="CE72" s="109" t="s">
        <v>1196</v>
      </c>
      <c r="CF72" s="109">
        <v>1174.18</v>
      </c>
    </row>
    <row r="73" spans="1:84" ht="61.5" x14ac:dyDescent="0.85">
      <c r="A73" s="20">
        <v>1</v>
      </c>
      <c r="B73" s="66">
        <f>SUBTOTAL(103,$A$22:A73)</f>
        <v>52</v>
      </c>
      <c r="C73" s="24" t="s">
        <v>1106</v>
      </c>
      <c r="D73" s="31">
        <f t="shared" si="5"/>
        <v>3323174.92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3">
        <v>0</v>
      </c>
      <c r="L73" s="31">
        <v>0</v>
      </c>
      <c r="M73" s="31">
        <v>945.1</v>
      </c>
      <c r="N73" s="31">
        <v>3195303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9">
        <v>47689.9</v>
      </c>
      <c r="AD73" s="39">
        <v>80182.02</v>
      </c>
      <c r="AE73" s="31">
        <v>0</v>
      </c>
      <c r="AF73" s="34">
        <v>2020</v>
      </c>
      <c r="AG73" s="34">
        <v>2020</v>
      </c>
      <c r="AH73" s="35">
        <v>2020</v>
      </c>
      <c r="BZ73" s="71"/>
      <c r="CD73" s="20" t="e">
        <f t="shared" ref="CD73:CD104" si="9">VLOOKUP(C73,CE:CF,2,FALSE)</f>
        <v>#N/A</v>
      </c>
      <c r="CE73" s="109" t="s">
        <v>1197</v>
      </c>
      <c r="CF73" s="109">
        <v>484</v>
      </c>
    </row>
    <row r="74" spans="1:84" ht="61.5" x14ac:dyDescent="0.85">
      <c r="A74" s="20">
        <v>1</v>
      </c>
      <c r="B74" s="66">
        <f>SUBTOTAL(103,$A$22:A74)</f>
        <v>53</v>
      </c>
      <c r="C74" s="24" t="s">
        <v>1107</v>
      </c>
      <c r="D74" s="31">
        <f t="shared" si="5"/>
        <v>4024360.63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3">
        <v>0</v>
      </c>
      <c r="L74" s="31">
        <v>0</v>
      </c>
      <c r="M74" s="39">
        <v>967.44</v>
      </c>
      <c r="N74" s="39">
        <v>3965180.31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9">
        <v>59180.32</v>
      </c>
      <c r="AD74" s="31">
        <v>0</v>
      </c>
      <c r="AE74" s="31">
        <v>0</v>
      </c>
      <c r="AF74" s="34" t="s">
        <v>270</v>
      </c>
      <c r="AG74" s="34">
        <v>2020</v>
      </c>
      <c r="AH74" s="35">
        <v>2020</v>
      </c>
      <c r="BZ74" s="71"/>
      <c r="CD74" s="20">
        <f t="shared" si="9"/>
        <v>979.44</v>
      </c>
      <c r="CE74" s="109" t="s">
        <v>1198</v>
      </c>
      <c r="CF74" s="109">
        <v>1161</v>
      </c>
    </row>
    <row r="75" spans="1:84" ht="61.5" x14ac:dyDescent="0.85">
      <c r="A75" s="20">
        <v>1</v>
      </c>
      <c r="B75" s="66">
        <f>SUBTOTAL(103,$A$22:A75)</f>
        <v>54</v>
      </c>
      <c r="C75" s="24" t="s">
        <v>1108</v>
      </c>
      <c r="D75" s="31">
        <f t="shared" si="5"/>
        <v>2994194.1500000004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3">
        <v>0</v>
      </c>
      <c r="L75" s="31">
        <v>0</v>
      </c>
      <c r="M75" s="39">
        <v>717</v>
      </c>
      <c r="N75" s="179">
        <v>2950162.97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179">
        <v>44031.18</v>
      </c>
      <c r="AD75" s="31">
        <v>0</v>
      </c>
      <c r="AE75" s="31">
        <v>0</v>
      </c>
      <c r="AF75" s="34" t="s">
        <v>270</v>
      </c>
      <c r="AG75" s="34">
        <v>2020</v>
      </c>
      <c r="AH75" s="35">
        <v>2020</v>
      </c>
      <c r="BZ75" s="71"/>
      <c r="CD75" s="20">
        <f t="shared" si="9"/>
        <v>730.17</v>
      </c>
      <c r="CE75" s="109" t="s">
        <v>1200</v>
      </c>
      <c r="CF75" s="109">
        <v>452.1</v>
      </c>
    </row>
    <row r="76" spans="1:84" ht="61.5" x14ac:dyDescent="0.85">
      <c r="A76" s="20">
        <v>1</v>
      </c>
      <c r="B76" s="66">
        <f>SUBTOTAL(103,$A$22:A76)</f>
        <v>55</v>
      </c>
      <c r="C76" s="24" t="s">
        <v>1110</v>
      </c>
      <c r="D76" s="31">
        <f t="shared" si="5"/>
        <v>4839579.08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3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1085</v>
      </c>
      <c r="R76" s="31">
        <v>4768410.55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9">
        <v>71168.53</v>
      </c>
      <c r="AD76" s="31">
        <v>0</v>
      </c>
      <c r="AE76" s="31">
        <v>0</v>
      </c>
      <c r="AF76" s="34" t="s">
        <v>270</v>
      </c>
      <c r="AG76" s="34">
        <v>2020</v>
      </c>
      <c r="AH76" s="35">
        <v>2020</v>
      </c>
      <c r="BZ76" s="71"/>
      <c r="CD76" s="20" t="e">
        <f t="shared" si="9"/>
        <v>#N/A</v>
      </c>
      <c r="CE76" s="109" t="s">
        <v>1201</v>
      </c>
      <c r="CF76" s="109">
        <v>992</v>
      </c>
    </row>
    <row r="77" spans="1:84" ht="61.5" x14ac:dyDescent="0.85">
      <c r="A77" s="20">
        <v>1</v>
      </c>
      <c r="B77" s="66">
        <f>SUBTOTAL(103,$A$22:A77)</f>
        <v>56</v>
      </c>
      <c r="C77" s="24" t="s">
        <v>1111</v>
      </c>
      <c r="D77" s="31">
        <f t="shared" si="5"/>
        <v>1872015.22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3">
        <v>0</v>
      </c>
      <c r="L77" s="31">
        <v>0</v>
      </c>
      <c r="M77" s="39">
        <v>825</v>
      </c>
      <c r="N77" s="179">
        <v>1844486.26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179">
        <v>27528.959999999999</v>
      </c>
      <c r="AD77" s="31">
        <v>0</v>
      </c>
      <c r="AE77" s="31">
        <v>0</v>
      </c>
      <c r="AF77" s="34" t="s">
        <v>270</v>
      </c>
      <c r="AG77" s="34">
        <v>2020</v>
      </c>
      <c r="AH77" s="35">
        <v>2020</v>
      </c>
      <c r="BZ77" s="71"/>
      <c r="CD77" s="20">
        <f t="shared" si="9"/>
        <v>874.18</v>
      </c>
      <c r="CE77" s="109" t="s">
        <v>644</v>
      </c>
      <c r="CF77" s="109">
        <v>796.1</v>
      </c>
    </row>
    <row r="78" spans="1:84" ht="61.5" x14ac:dyDescent="0.85">
      <c r="A78" s="20">
        <v>1</v>
      </c>
      <c r="B78" s="66">
        <f>SUBTOTAL(103,$A$22:A78)</f>
        <v>57</v>
      </c>
      <c r="C78" s="24" t="s">
        <v>1112</v>
      </c>
      <c r="D78" s="31">
        <f t="shared" ref="D78:D109" si="10">E78+F78+G78+H78+I78+J78+L78+N78+P78+R78+T78+U78+V78+W78+X78+Y78+Z78+AA78+AB78+AC78+AD78+AE78</f>
        <v>2373016.2799999998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3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9">
        <v>558.45000000000005</v>
      </c>
      <c r="R78" s="39">
        <v>2338119.84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9">
        <v>34896.44</v>
      </c>
      <c r="AD78" s="31">
        <v>0</v>
      </c>
      <c r="AE78" s="31">
        <v>0</v>
      </c>
      <c r="AF78" s="34" t="s">
        <v>270</v>
      </c>
      <c r="AG78" s="34">
        <v>2020</v>
      </c>
      <c r="AH78" s="35">
        <v>2020</v>
      </c>
      <c r="BZ78" s="71"/>
      <c r="CD78" s="20" t="e">
        <f t="shared" si="9"/>
        <v>#N/A</v>
      </c>
      <c r="CE78" s="109" t="s">
        <v>1187</v>
      </c>
      <c r="CF78" s="109">
        <v>1995.2</v>
      </c>
    </row>
    <row r="79" spans="1:84" ht="61.5" x14ac:dyDescent="0.85">
      <c r="A79" s="20">
        <v>1</v>
      </c>
      <c r="B79" s="66">
        <f>SUBTOTAL(103,$A$22:A79)</f>
        <v>58</v>
      </c>
      <c r="C79" s="24" t="s">
        <v>1113</v>
      </c>
      <c r="D79" s="31">
        <f t="shared" si="10"/>
        <v>3249268.89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3">
        <v>0</v>
      </c>
      <c r="L79" s="31">
        <v>0</v>
      </c>
      <c r="M79" s="39">
        <f>959.6+211</f>
        <v>1170.5999999999999</v>
      </c>
      <c r="N79" s="179">
        <v>3201486.7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179">
        <v>47782.19</v>
      </c>
      <c r="AD79" s="31">
        <v>0</v>
      </c>
      <c r="AE79" s="31">
        <v>0</v>
      </c>
      <c r="AF79" s="34" t="s">
        <v>270</v>
      </c>
      <c r="AG79" s="34">
        <v>2020</v>
      </c>
      <c r="AH79" s="35">
        <v>2020</v>
      </c>
      <c r="BZ79" s="71"/>
      <c r="CD79" s="20">
        <f t="shared" si="9"/>
        <v>1200</v>
      </c>
      <c r="CE79" s="109" t="s">
        <v>1203</v>
      </c>
      <c r="CF79" s="109">
        <v>855</v>
      </c>
    </row>
    <row r="80" spans="1:84" ht="61.5" x14ac:dyDescent="0.85">
      <c r="A80" s="20">
        <v>1</v>
      </c>
      <c r="B80" s="66">
        <f>SUBTOTAL(103,$A$22:A80)</f>
        <v>59</v>
      </c>
      <c r="C80" s="24" t="s">
        <v>1114</v>
      </c>
      <c r="D80" s="31">
        <f t="shared" si="10"/>
        <v>2561819.3000000003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3">
        <v>0</v>
      </c>
      <c r="L80" s="31">
        <v>0</v>
      </c>
      <c r="M80" s="39">
        <v>929</v>
      </c>
      <c r="N80" s="179">
        <v>2524146.41</v>
      </c>
      <c r="O80" s="31">
        <v>0</v>
      </c>
      <c r="P80" s="31">
        <v>0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179">
        <v>37672.89</v>
      </c>
      <c r="AD80" s="31">
        <v>0</v>
      </c>
      <c r="AE80" s="31">
        <v>0</v>
      </c>
      <c r="AF80" s="34" t="s">
        <v>270</v>
      </c>
      <c r="AG80" s="34">
        <v>2020</v>
      </c>
      <c r="AH80" s="35">
        <v>2020</v>
      </c>
      <c r="BZ80" s="71"/>
      <c r="CD80" s="20">
        <f t="shared" si="9"/>
        <v>946</v>
      </c>
      <c r="CE80" s="109" t="s">
        <v>1189</v>
      </c>
      <c r="CF80" s="109">
        <v>1155.9000000000001</v>
      </c>
    </row>
    <row r="81" spans="1:84" ht="61.5" x14ac:dyDescent="0.85">
      <c r="A81" s="20">
        <v>1</v>
      </c>
      <c r="B81" s="66">
        <f>SUBTOTAL(103,$A$22:A81)</f>
        <v>60</v>
      </c>
      <c r="C81" s="24" t="s">
        <v>1115</v>
      </c>
      <c r="D81" s="31">
        <f t="shared" si="10"/>
        <v>967510.08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3">
        <v>0</v>
      </c>
      <c r="L81" s="31">
        <v>0</v>
      </c>
      <c r="M81" s="39">
        <v>365</v>
      </c>
      <c r="N81" s="39">
        <v>953282.34</v>
      </c>
      <c r="O81" s="31">
        <v>0</v>
      </c>
      <c r="P81" s="31">
        <v>0</v>
      </c>
      <c r="Q81" s="31">
        <v>0</v>
      </c>
      <c r="R81" s="31">
        <v>0</v>
      </c>
      <c r="S81" s="31">
        <v>0</v>
      </c>
      <c r="T81" s="31">
        <v>0</v>
      </c>
      <c r="U81" s="31">
        <v>0</v>
      </c>
      <c r="V81" s="31">
        <v>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9">
        <v>14227.74</v>
      </c>
      <c r="AD81" s="31">
        <v>0</v>
      </c>
      <c r="AE81" s="31">
        <v>0</v>
      </c>
      <c r="AF81" s="34" t="s">
        <v>270</v>
      </c>
      <c r="AG81" s="34">
        <v>2020</v>
      </c>
      <c r="AH81" s="35">
        <v>2020</v>
      </c>
      <c r="BZ81" s="71"/>
      <c r="CD81" s="20">
        <f t="shared" si="9"/>
        <v>365.5</v>
      </c>
      <c r="CE81" s="109" t="s">
        <v>682</v>
      </c>
      <c r="CF81" s="109">
        <v>1022</v>
      </c>
    </row>
    <row r="82" spans="1:84" ht="61.5" x14ac:dyDescent="0.85">
      <c r="A82" s="20">
        <v>1</v>
      </c>
      <c r="B82" s="66">
        <f>SUBTOTAL(103,$A$22:A82)</f>
        <v>61</v>
      </c>
      <c r="C82" s="24" t="s">
        <v>1116</v>
      </c>
      <c r="D82" s="31">
        <f t="shared" si="10"/>
        <v>966024.86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3">
        <v>0</v>
      </c>
      <c r="L82" s="31">
        <v>0</v>
      </c>
      <c r="M82" s="39">
        <v>358</v>
      </c>
      <c r="N82" s="39">
        <v>951818.96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9">
        <v>14205.9</v>
      </c>
      <c r="AD82" s="31">
        <v>0</v>
      </c>
      <c r="AE82" s="31">
        <v>0</v>
      </c>
      <c r="AF82" s="34" t="s">
        <v>270</v>
      </c>
      <c r="AG82" s="34">
        <v>2020</v>
      </c>
      <c r="AH82" s="35">
        <v>2020</v>
      </c>
      <c r="BZ82" s="71"/>
      <c r="CD82" s="20">
        <f t="shared" si="9"/>
        <v>365.5</v>
      </c>
      <c r="CE82" s="109" t="s">
        <v>1204</v>
      </c>
      <c r="CF82" s="109">
        <v>407.8</v>
      </c>
    </row>
    <row r="83" spans="1:84" ht="61.5" x14ac:dyDescent="0.85">
      <c r="A83" s="20">
        <v>1</v>
      </c>
      <c r="B83" s="66">
        <f>SUBTOTAL(103,$A$22:A83)</f>
        <v>62</v>
      </c>
      <c r="C83" s="24" t="s">
        <v>1117</v>
      </c>
      <c r="D83" s="31">
        <f t="shared" si="10"/>
        <v>2880785.14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241">
        <v>2</v>
      </c>
      <c r="L83" s="39">
        <v>2880785.14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4" t="s">
        <v>270</v>
      </c>
      <c r="AG83" s="34">
        <v>2020</v>
      </c>
      <c r="AH83" s="35" t="s">
        <v>270</v>
      </c>
      <c r="BZ83" s="71"/>
      <c r="CD83" s="20" t="e">
        <f t="shared" si="9"/>
        <v>#N/A</v>
      </c>
      <c r="CE83" s="109" t="s">
        <v>1205</v>
      </c>
      <c r="CF83" s="109">
        <v>953.5</v>
      </c>
    </row>
    <row r="84" spans="1:84" ht="61.5" x14ac:dyDescent="0.85">
      <c r="A84" s="20">
        <v>1</v>
      </c>
      <c r="B84" s="66">
        <f>SUBTOTAL(103,$A$22:A84)</f>
        <v>63</v>
      </c>
      <c r="C84" s="24" t="s">
        <v>1118</v>
      </c>
      <c r="D84" s="31">
        <f t="shared" si="10"/>
        <v>3859190.52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241">
        <v>2</v>
      </c>
      <c r="L84" s="39">
        <v>3859190.52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4" t="s">
        <v>270</v>
      </c>
      <c r="AG84" s="34">
        <v>2020</v>
      </c>
      <c r="AH84" s="35" t="s">
        <v>270</v>
      </c>
      <c r="BZ84" s="71"/>
      <c r="CD84" s="20" t="e">
        <f t="shared" si="9"/>
        <v>#N/A</v>
      </c>
      <c r="CE84" s="109" t="s">
        <v>1213</v>
      </c>
      <c r="CF84" s="109">
        <v>738.92</v>
      </c>
    </row>
    <row r="85" spans="1:84" ht="61.5" x14ac:dyDescent="0.85">
      <c r="A85" s="20">
        <v>1</v>
      </c>
      <c r="B85" s="66">
        <f>SUBTOTAL(103,$A$22:A85)</f>
        <v>64</v>
      </c>
      <c r="C85" s="24" t="s">
        <v>1121</v>
      </c>
      <c r="D85" s="31">
        <f t="shared" si="10"/>
        <v>216770.67</v>
      </c>
      <c r="E85" s="179">
        <v>87007.41</v>
      </c>
      <c r="F85" s="31">
        <v>0</v>
      </c>
      <c r="G85" s="31">
        <v>0</v>
      </c>
      <c r="H85" s="179">
        <v>126575.53</v>
      </c>
      <c r="I85" s="31">
        <v>0</v>
      </c>
      <c r="J85" s="31">
        <v>0</v>
      </c>
      <c r="K85" s="33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3187.73</v>
      </c>
      <c r="AD85" s="31">
        <v>0</v>
      </c>
      <c r="AE85" s="31">
        <v>0</v>
      </c>
      <c r="AF85" s="34" t="s">
        <v>270</v>
      </c>
      <c r="AG85" s="34">
        <v>2020</v>
      </c>
      <c r="AH85" s="35">
        <v>2020</v>
      </c>
      <c r="BZ85" s="71"/>
      <c r="CD85" s="20" t="e">
        <f t="shared" si="9"/>
        <v>#N/A</v>
      </c>
      <c r="CE85" s="109" t="s">
        <v>1549</v>
      </c>
      <c r="CF85" s="109">
        <v>275.39999999999998</v>
      </c>
    </row>
    <row r="86" spans="1:84" ht="61.5" x14ac:dyDescent="0.85">
      <c r="A86" s="20">
        <v>1</v>
      </c>
      <c r="B86" s="66">
        <f>SUBTOTAL(103,$A$22:A86)</f>
        <v>65</v>
      </c>
      <c r="C86" s="24" t="s">
        <v>1127</v>
      </c>
      <c r="D86" s="31">
        <f t="shared" si="10"/>
        <v>3764827.42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3">
        <v>0</v>
      </c>
      <c r="L86" s="31">
        <v>0</v>
      </c>
      <c r="M86" s="39">
        <v>1174</v>
      </c>
      <c r="N86" s="39">
        <v>3713580.03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51247.39</v>
      </c>
      <c r="AD86" s="31">
        <v>0</v>
      </c>
      <c r="AE86" s="31">
        <v>0</v>
      </c>
      <c r="AF86" s="34" t="s">
        <v>270</v>
      </c>
      <c r="AG86" s="34">
        <v>2020</v>
      </c>
      <c r="AH86" s="35">
        <v>2020</v>
      </c>
      <c r="BZ86" s="71"/>
      <c r="CD86" s="20">
        <f t="shared" si="9"/>
        <v>1124.75</v>
      </c>
      <c r="CE86" s="109" t="s">
        <v>1559</v>
      </c>
      <c r="CF86" s="109">
        <v>344.5</v>
      </c>
    </row>
    <row r="87" spans="1:84" ht="61.5" x14ac:dyDescent="0.85">
      <c r="A87" s="20">
        <v>1</v>
      </c>
      <c r="B87" s="66">
        <f>SUBTOTAL(103,$A$22:A87)</f>
        <v>66</v>
      </c>
      <c r="C87" s="24" t="s">
        <v>1128</v>
      </c>
      <c r="D87" s="31">
        <f t="shared" si="10"/>
        <v>3712372.02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3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9">
        <v>820</v>
      </c>
      <c r="R87" s="39">
        <v>3657509.38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9">
        <v>54862.64</v>
      </c>
      <c r="AD87" s="31">
        <v>0</v>
      </c>
      <c r="AE87" s="31">
        <v>0</v>
      </c>
      <c r="AF87" s="34" t="s">
        <v>270</v>
      </c>
      <c r="AG87" s="34">
        <v>2020</v>
      </c>
      <c r="AH87" s="35">
        <v>2020</v>
      </c>
      <c r="BZ87" s="71"/>
      <c r="CD87" s="20" t="e">
        <f t="shared" si="9"/>
        <v>#N/A</v>
      </c>
      <c r="CE87" s="109" t="s">
        <v>1221</v>
      </c>
      <c r="CF87" s="109">
        <v>374.3</v>
      </c>
    </row>
    <row r="88" spans="1:84" ht="61.5" x14ac:dyDescent="0.85">
      <c r="A88" s="20">
        <v>1</v>
      </c>
      <c r="B88" s="66">
        <f>SUBTOTAL(103,$A$22:A88)</f>
        <v>67</v>
      </c>
      <c r="C88" s="24" t="s">
        <v>1129</v>
      </c>
      <c r="D88" s="31">
        <f t="shared" si="10"/>
        <v>1900391.55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3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9">
        <v>516</v>
      </c>
      <c r="R88" s="39">
        <v>1872306.95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9">
        <v>28084.6</v>
      </c>
      <c r="AD88" s="31">
        <v>0</v>
      </c>
      <c r="AE88" s="31">
        <v>0</v>
      </c>
      <c r="AF88" s="34" t="s">
        <v>270</v>
      </c>
      <c r="AG88" s="34">
        <v>2020</v>
      </c>
      <c r="AH88" s="35">
        <v>2020</v>
      </c>
      <c r="BZ88" s="71"/>
      <c r="CD88" s="20" t="e">
        <f t="shared" si="9"/>
        <v>#N/A</v>
      </c>
      <c r="CE88" s="109" t="s">
        <v>1542</v>
      </c>
      <c r="CF88" s="109">
        <v>329.1</v>
      </c>
    </row>
    <row r="89" spans="1:84" ht="61.5" x14ac:dyDescent="0.85">
      <c r="A89" s="20">
        <v>1</v>
      </c>
      <c r="B89" s="66">
        <f>SUBTOTAL(103,$A$22:A89)</f>
        <v>68</v>
      </c>
      <c r="C89" s="24" t="s">
        <v>1130</v>
      </c>
      <c r="D89" s="31">
        <f t="shared" si="10"/>
        <v>2106147.9500000002</v>
      </c>
      <c r="E89" s="31">
        <v>0</v>
      </c>
      <c r="F89" s="31">
        <v>0</v>
      </c>
      <c r="G89" s="31">
        <v>0</v>
      </c>
      <c r="H89" s="31">
        <v>0</v>
      </c>
      <c r="I89" s="31">
        <v>0</v>
      </c>
      <c r="J89" s="31">
        <v>0</v>
      </c>
      <c r="K89" s="33">
        <v>0</v>
      </c>
      <c r="L89" s="31">
        <v>0</v>
      </c>
      <c r="M89" s="31">
        <v>0</v>
      </c>
      <c r="N89" s="31">
        <v>0</v>
      </c>
      <c r="O89" s="31">
        <v>0</v>
      </c>
      <c r="P89" s="31">
        <v>0</v>
      </c>
      <c r="Q89" s="39">
        <v>559</v>
      </c>
      <c r="R89" s="39">
        <v>2075022.61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9">
        <v>31125.34</v>
      </c>
      <c r="AD89" s="31">
        <v>0</v>
      </c>
      <c r="AE89" s="31">
        <v>0</v>
      </c>
      <c r="AF89" s="34" t="s">
        <v>270</v>
      </c>
      <c r="AG89" s="34">
        <v>2020</v>
      </c>
      <c r="AH89" s="35">
        <v>2020</v>
      </c>
      <c r="BZ89" s="71"/>
      <c r="CD89" s="20" t="e">
        <f t="shared" si="9"/>
        <v>#N/A</v>
      </c>
      <c r="CE89" s="109" t="s">
        <v>1543</v>
      </c>
      <c r="CF89" s="109">
        <v>611</v>
      </c>
    </row>
    <row r="90" spans="1:84" ht="61.5" x14ac:dyDescent="0.85">
      <c r="A90" s="20">
        <v>1</v>
      </c>
      <c r="B90" s="66">
        <f>SUBTOTAL(103,$A$22:A90)</f>
        <v>69</v>
      </c>
      <c r="C90" s="24" t="s">
        <v>1131</v>
      </c>
      <c r="D90" s="31">
        <f t="shared" si="10"/>
        <v>2813385.7399999998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3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9">
        <v>1522.8</v>
      </c>
      <c r="R90" s="39">
        <v>2771808.61</v>
      </c>
      <c r="S90" s="31">
        <v>0</v>
      </c>
      <c r="T90" s="31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9">
        <v>41577.129999999997</v>
      </c>
      <c r="AD90" s="31">
        <v>0</v>
      </c>
      <c r="AE90" s="31">
        <v>0</v>
      </c>
      <c r="AF90" s="34" t="s">
        <v>270</v>
      </c>
      <c r="AG90" s="34">
        <v>2020</v>
      </c>
      <c r="AH90" s="35">
        <v>2020</v>
      </c>
      <c r="BZ90" s="71"/>
      <c r="CD90" s="20" t="e">
        <f t="shared" si="9"/>
        <v>#N/A</v>
      </c>
      <c r="CE90" s="109" t="s">
        <v>1557</v>
      </c>
      <c r="CF90" s="109">
        <v>606</v>
      </c>
    </row>
    <row r="91" spans="1:84" ht="61.5" x14ac:dyDescent="0.85">
      <c r="A91" s="20">
        <v>1</v>
      </c>
      <c r="B91" s="66">
        <f>SUBTOTAL(103,$A$22:A91)</f>
        <v>70</v>
      </c>
      <c r="C91" s="24" t="s">
        <v>1132</v>
      </c>
      <c r="D91" s="31">
        <f t="shared" si="10"/>
        <v>2278510.5799999996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3">
        <v>0</v>
      </c>
      <c r="L91" s="31">
        <v>0</v>
      </c>
      <c r="M91" s="39">
        <v>556.6</v>
      </c>
      <c r="N91" s="39">
        <v>2244838.0099999998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9">
        <v>33672.57</v>
      </c>
      <c r="AD91" s="31">
        <v>0</v>
      </c>
      <c r="AE91" s="31">
        <v>0</v>
      </c>
      <c r="AF91" s="34" t="s">
        <v>270</v>
      </c>
      <c r="AG91" s="34">
        <v>2020</v>
      </c>
      <c r="AH91" s="35">
        <v>2020</v>
      </c>
      <c r="BZ91" s="71"/>
      <c r="CD91" s="20">
        <f t="shared" si="9"/>
        <v>556.6</v>
      </c>
      <c r="CE91" s="109" t="s">
        <v>1544</v>
      </c>
      <c r="CF91" s="109">
        <v>249</v>
      </c>
    </row>
    <row r="92" spans="1:84" ht="61.5" x14ac:dyDescent="0.85">
      <c r="A92" s="20">
        <v>1</v>
      </c>
      <c r="B92" s="66">
        <f>SUBTOTAL(103,$A$22:A92)</f>
        <v>71</v>
      </c>
      <c r="C92" s="24" t="s">
        <v>1133</v>
      </c>
      <c r="D92" s="31">
        <f t="shared" si="10"/>
        <v>2391493.25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3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9">
        <v>649.6</v>
      </c>
      <c r="R92" s="39">
        <v>2356150.9900000002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9">
        <v>35342.26</v>
      </c>
      <c r="AD92" s="31">
        <v>0</v>
      </c>
      <c r="AE92" s="31">
        <v>0</v>
      </c>
      <c r="AF92" s="34" t="s">
        <v>270</v>
      </c>
      <c r="AG92" s="34">
        <v>2020</v>
      </c>
      <c r="AH92" s="35">
        <v>2020</v>
      </c>
      <c r="BZ92" s="71"/>
      <c r="CD92" s="20" t="e">
        <f t="shared" si="9"/>
        <v>#N/A</v>
      </c>
      <c r="CE92" s="109" t="s">
        <v>1545</v>
      </c>
      <c r="CF92" s="109">
        <v>309</v>
      </c>
    </row>
    <row r="93" spans="1:84" ht="61.5" x14ac:dyDescent="0.85">
      <c r="A93" s="20">
        <v>1</v>
      </c>
      <c r="B93" s="66">
        <f>SUBTOTAL(103,$A$22:A93)</f>
        <v>72</v>
      </c>
      <c r="C93" s="24" t="s">
        <v>1135</v>
      </c>
      <c r="D93" s="31">
        <f t="shared" si="10"/>
        <v>5161607.8099999996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3">
        <v>0</v>
      </c>
      <c r="L93" s="31">
        <v>0</v>
      </c>
      <c r="M93" s="31">
        <v>1200</v>
      </c>
      <c r="N93" s="31">
        <v>5085703.68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75904.13</v>
      </c>
      <c r="AD93" s="31">
        <v>0</v>
      </c>
      <c r="AE93" s="31">
        <v>0</v>
      </c>
      <c r="AF93" s="34" t="s">
        <v>270</v>
      </c>
      <c r="AG93" s="34">
        <v>2020</v>
      </c>
      <c r="AH93" s="35">
        <v>2020</v>
      </c>
      <c r="BZ93" s="71"/>
      <c r="CD93" s="20" t="e">
        <f t="shared" si="9"/>
        <v>#N/A</v>
      </c>
      <c r="CE93" s="109" t="s">
        <v>1564</v>
      </c>
      <c r="CF93" s="109">
        <v>762.8</v>
      </c>
    </row>
    <row r="94" spans="1:84" ht="61.5" x14ac:dyDescent="0.85">
      <c r="A94" s="20">
        <v>1</v>
      </c>
      <c r="B94" s="66">
        <f>SUBTOTAL(103,$A$22:A94)</f>
        <v>73</v>
      </c>
      <c r="C94" s="24" t="s">
        <v>1138</v>
      </c>
      <c r="D94" s="31">
        <f t="shared" si="10"/>
        <v>1938049.3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3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9">
        <v>680</v>
      </c>
      <c r="R94" s="31">
        <v>1909408.18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28641.119999999999</v>
      </c>
      <c r="AD94" s="31">
        <v>0</v>
      </c>
      <c r="AE94" s="31">
        <v>0</v>
      </c>
      <c r="AF94" s="34" t="s">
        <v>270</v>
      </c>
      <c r="AG94" s="34">
        <v>2020</v>
      </c>
      <c r="AH94" s="35">
        <v>2020</v>
      </c>
      <c r="BZ94" s="71"/>
      <c r="CD94" s="20" t="e">
        <f t="shared" si="9"/>
        <v>#N/A</v>
      </c>
      <c r="CE94" s="109" t="s">
        <v>115</v>
      </c>
      <c r="CF94" s="109">
        <v>1256.9000000000001</v>
      </c>
    </row>
    <row r="95" spans="1:84" ht="61.5" x14ac:dyDescent="0.85">
      <c r="A95" s="20">
        <v>1</v>
      </c>
      <c r="B95" s="66">
        <f>SUBTOTAL(103,$A$22:A95)</f>
        <v>74</v>
      </c>
      <c r="C95" s="24" t="s">
        <v>1139</v>
      </c>
      <c r="D95" s="31">
        <f t="shared" si="10"/>
        <v>1663097.88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3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432</v>
      </c>
      <c r="R95" s="31">
        <v>1590465.92</v>
      </c>
      <c r="S95" s="31">
        <v>0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23856.99</v>
      </c>
      <c r="AD95" s="39">
        <v>48774.97</v>
      </c>
      <c r="AE95" s="31">
        <v>0</v>
      </c>
      <c r="AF95" s="34">
        <v>2020</v>
      </c>
      <c r="AG95" s="34">
        <v>2020</v>
      </c>
      <c r="AH95" s="35">
        <v>2020</v>
      </c>
      <c r="BZ95" s="71"/>
      <c r="CD95" s="20" t="e">
        <f t="shared" si="9"/>
        <v>#N/A</v>
      </c>
      <c r="CE95" s="109" t="s">
        <v>1228</v>
      </c>
      <c r="CF95" s="109">
        <v>1150.3</v>
      </c>
    </row>
    <row r="96" spans="1:84" ht="61.5" x14ac:dyDescent="0.85">
      <c r="A96" s="20">
        <v>1</v>
      </c>
      <c r="B96" s="66">
        <f>SUBTOTAL(103,$A$22:A96)</f>
        <v>75</v>
      </c>
      <c r="C96" s="24" t="s">
        <v>1555</v>
      </c>
      <c r="D96" s="31">
        <f t="shared" si="10"/>
        <v>1677475.96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3">
        <v>0</v>
      </c>
      <c r="L96" s="31">
        <v>0</v>
      </c>
      <c r="M96" s="242">
        <v>466.12</v>
      </c>
      <c r="N96" s="242">
        <v>1677475.96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4" t="s">
        <v>270</v>
      </c>
      <c r="AG96" s="34">
        <v>2020</v>
      </c>
      <c r="AH96" s="35" t="s">
        <v>270</v>
      </c>
      <c r="BZ96" s="71"/>
      <c r="CD96" s="20">
        <f t="shared" si="9"/>
        <v>466.12</v>
      </c>
      <c r="CE96" s="109" t="s">
        <v>1229</v>
      </c>
      <c r="CF96" s="109">
        <v>763.8</v>
      </c>
    </row>
    <row r="97" spans="1:84" ht="61.5" x14ac:dyDescent="0.85">
      <c r="A97" s="20">
        <v>1</v>
      </c>
      <c r="B97" s="66">
        <f>SUBTOTAL(103,$A$22:A97)</f>
        <v>76</v>
      </c>
      <c r="C97" s="24" t="s">
        <v>1551</v>
      </c>
      <c r="D97" s="31">
        <f t="shared" si="10"/>
        <v>3647517.81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3">
        <v>0</v>
      </c>
      <c r="L97" s="31">
        <v>0</v>
      </c>
      <c r="M97" s="242">
        <v>859</v>
      </c>
      <c r="N97" s="242">
        <v>3593879.16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9">
        <v>53638.65</v>
      </c>
      <c r="AD97" s="31">
        <v>0</v>
      </c>
      <c r="AE97" s="31">
        <v>0</v>
      </c>
      <c r="AF97" s="34" t="s">
        <v>270</v>
      </c>
      <c r="AG97" s="34">
        <v>2020</v>
      </c>
      <c r="AH97" s="35">
        <v>2020</v>
      </c>
      <c r="BZ97" s="71"/>
      <c r="CD97" s="20">
        <f t="shared" si="9"/>
        <v>859</v>
      </c>
      <c r="CE97" s="109" t="s">
        <v>1230</v>
      </c>
      <c r="CF97" s="109">
        <v>461.1</v>
      </c>
    </row>
    <row r="98" spans="1:84" ht="61.5" x14ac:dyDescent="0.85">
      <c r="A98" s="20">
        <v>1</v>
      </c>
      <c r="B98" s="66">
        <f>SUBTOTAL(103,$A$22:A98)</f>
        <v>77</v>
      </c>
      <c r="C98" s="24" t="s">
        <v>1554</v>
      </c>
      <c r="D98" s="31">
        <f t="shared" si="10"/>
        <v>5096776.0799999991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3">
        <v>0</v>
      </c>
      <c r="L98" s="31">
        <v>0</v>
      </c>
      <c r="M98" s="242">
        <v>1004.3</v>
      </c>
      <c r="N98" s="242">
        <v>5021454.2699999996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9">
        <v>75321.81</v>
      </c>
      <c r="AD98" s="31">
        <v>0</v>
      </c>
      <c r="AE98" s="31">
        <v>0</v>
      </c>
      <c r="AF98" s="34" t="s">
        <v>270</v>
      </c>
      <c r="AG98" s="34">
        <v>2020</v>
      </c>
      <c r="AH98" s="35">
        <v>2020</v>
      </c>
      <c r="BZ98" s="71"/>
      <c r="CD98" s="20">
        <f t="shared" si="9"/>
        <v>1004.3</v>
      </c>
      <c r="CE98" s="109" t="s">
        <v>1232</v>
      </c>
      <c r="CF98" s="109">
        <v>1528.9</v>
      </c>
    </row>
    <row r="99" spans="1:84" ht="61.5" x14ac:dyDescent="0.85">
      <c r="A99" s="20">
        <v>1</v>
      </c>
      <c r="B99" s="66">
        <f>SUBTOTAL(103,$A$22:A99)</f>
        <v>78</v>
      </c>
      <c r="C99" s="24" t="s">
        <v>1550</v>
      </c>
      <c r="D99" s="31">
        <f t="shared" si="10"/>
        <v>3789473.9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3">
        <v>0</v>
      </c>
      <c r="L99" s="31">
        <v>0</v>
      </c>
      <c r="M99" s="242">
        <v>1028.5</v>
      </c>
      <c r="N99" s="242">
        <v>3733471.82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242">
        <v>56002.080000000002</v>
      </c>
      <c r="AD99" s="31">
        <v>0</v>
      </c>
      <c r="AE99" s="31">
        <v>0</v>
      </c>
      <c r="AF99" s="34" t="s">
        <v>270</v>
      </c>
      <c r="AG99" s="34">
        <v>2020</v>
      </c>
      <c r="AH99" s="35">
        <v>2020</v>
      </c>
      <c r="BZ99" s="71"/>
      <c r="CD99" s="20">
        <f t="shared" si="9"/>
        <v>1028.5</v>
      </c>
      <c r="CE99" s="109" t="s">
        <v>120</v>
      </c>
      <c r="CF99" s="109">
        <v>541.1</v>
      </c>
    </row>
    <row r="100" spans="1:84" ht="61.5" x14ac:dyDescent="0.85">
      <c r="A100" s="20">
        <v>1</v>
      </c>
      <c r="B100" s="66">
        <f>SUBTOTAL(103,$A$22:A100)</f>
        <v>79</v>
      </c>
      <c r="C100" s="24" t="s">
        <v>1540</v>
      </c>
      <c r="D100" s="31">
        <f t="shared" si="10"/>
        <v>597387.81000000006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3">
        <v>0</v>
      </c>
      <c r="L100" s="31">
        <v>0</v>
      </c>
      <c r="M100" s="242">
        <v>334.8</v>
      </c>
      <c r="N100" s="242">
        <v>588602.91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9">
        <v>8784.9</v>
      </c>
      <c r="AD100" s="31">
        <v>0</v>
      </c>
      <c r="AE100" s="31">
        <v>0</v>
      </c>
      <c r="AF100" s="34" t="s">
        <v>270</v>
      </c>
      <c r="AG100" s="34">
        <v>2020</v>
      </c>
      <c r="AH100" s="35">
        <v>2020</v>
      </c>
      <c r="BZ100" s="71"/>
      <c r="CD100" s="20">
        <f t="shared" si="9"/>
        <v>334.8</v>
      </c>
      <c r="CE100" s="109" t="s">
        <v>171</v>
      </c>
      <c r="CF100" s="109">
        <v>678.3</v>
      </c>
    </row>
    <row r="101" spans="1:84" ht="61.5" x14ac:dyDescent="0.85">
      <c r="A101" s="20">
        <v>1</v>
      </c>
      <c r="B101" s="66">
        <f>SUBTOTAL(103,$A$22:A101)</f>
        <v>80</v>
      </c>
      <c r="C101" s="24" t="s">
        <v>1552</v>
      </c>
      <c r="D101" s="31">
        <f t="shared" si="10"/>
        <v>4468866.21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3">
        <v>0</v>
      </c>
      <c r="L101" s="31">
        <v>0</v>
      </c>
      <c r="M101" s="39">
        <v>1545</v>
      </c>
      <c r="N101" s="39">
        <v>4403149.21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9">
        <v>65717</v>
      </c>
      <c r="AD101" s="31">
        <v>0</v>
      </c>
      <c r="AE101" s="31">
        <v>0</v>
      </c>
      <c r="AF101" s="34" t="s">
        <v>270</v>
      </c>
      <c r="AG101" s="34">
        <v>2020</v>
      </c>
      <c r="AH101" s="35">
        <v>2020</v>
      </c>
      <c r="BZ101" s="71"/>
      <c r="CD101" s="20">
        <f t="shared" si="9"/>
        <v>1585</v>
      </c>
      <c r="CE101" s="109" t="s">
        <v>1238</v>
      </c>
      <c r="CF101" s="109">
        <v>975.2</v>
      </c>
    </row>
    <row r="102" spans="1:84" ht="61.5" x14ac:dyDescent="0.85">
      <c r="A102" s="20">
        <v>1</v>
      </c>
      <c r="B102" s="66">
        <f>SUBTOTAL(103,$A$22:A102)</f>
        <v>81</v>
      </c>
      <c r="C102" s="24" t="s">
        <v>1553</v>
      </c>
      <c r="D102" s="31">
        <f t="shared" si="10"/>
        <v>6330505.6400000006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3">
        <v>0</v>
      </c>
      <c r="L102" s="31">
        <v>0</v>
      </c>
      <c r="M102" s="242">
        <v>1663.4</v>
      </c>
      <c r="N102" s="242">
        <v>6142341.9000000004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242">
        <v>91674.45</v>
      </c>
      <c r="AD102" s="39">
        <v>96489.29</v>
      </c>
      <c r="AE102" s="31">
        <v>0</v>
      </c>
      <c r="AF102" s="34">
        <v>2020</v>
      </c>
      <c r="AG102" s="34">
        <v>2020</v>
      </c>
      <c r="AH102" s="35">
        <v>2020</v>
      </c>
      <c r="BZ102" s="71"/>
      <c r="CD102" s="20" t="e">
        <f t="shared" si="9"/>
        <v>#N/A</v>
      </c>
      <c r="CE102" s="109" t="s">
        <v>1239</v>
      </c>
      <c r="CF102" s="109">
        <v>600</v>
      </c>
    </row>
    <row r="103" spans="1:84" ht="61.5" x14ac:dyDescent="0.85">
      <c r="A103" s="20">
        <v>1</v>
      </c>
      <c r="B103" s="66">
        <f>SUBTOTAL(103,$A$22:A103)</f>
        <v>82</v>
      </c>
      <c r="C103" s="24" t="s">
        <v>1541</v>
      </c>
      <c r="D103" s="31">
        <f t="shared" si="10"/>
        <v>1913423.73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3">
        <v>0</v>
      </c>
      <c r="L103" s="31">
        <v>0</v>
      </c>
      <c r="M103" s="242">
        <v>508</v>
      </c>
      <c r="N103" s="242">
        <v>1913423.73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4" t="s">
        <v>270</v>
      </c>
      <c r="AG103" s="34">
        <v>2020</v>
      </c>
      <c r="AH103" s="35" t="s">
        <v>270</v>
      </c>
      <c r="BZ103" s="71"/>
      <c r="CD103" s="20">
        <f t="shared" si="9"/>
        <v>543.6</v>
      </c>
      <c r="CE103" s="109" t="s">
        <v>107</v>
      </c>
      <c r="CF103" s="109">
        <v>596.4</v>
      </c>
    </row>
    <row r="104" spans="1:84" ht="61.5" x14ac:dyDescent="0.85">
      <c r="A104" s="20">
        <v>1</v>
      </c>
      <c r="B104" s="66">
        <f>SUBTOTAL(103,$A$22:A104)</f>
        <v>83</v>
      </c>
      <c r="C104" s="24" t="s">
        <v>1595</v>
      </c>
      <c r="D104" s="31">
        <f t="shared" si="10"/>
        <v>2130978.9000000004</v>
      </c>
      <c r="E104" s="31">
        <v>0</v>
      </c>
      <c r="F104" s="31">
        <v>0</v>
      </c>
      <c r="G104" s="31">
        <v>0</v>
      </c>
      <c r="H104" s="31">
        <v>0</v>
      </c>
      <c r="I104" s="31">
        <v>0</v>
      </c>
      <c r="J104" s="31">
        <v>0</v>
      </c>
      <c r="K104" s="74">
        <v>0</v>
      </c>
      <c r="L104" s="31">
        <v>0</v>
      </c>
      <c r="M104" s="31">
        <v>356</v>
      </c>
      <c r="N104" s="31">
        <v>2033939.08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30509.09</v>
      </c>
      <c r="AD104" s="39">
        <v>66530.73</v>
      </c>
      <c r="AE104" s="31">
        <v>0</v>
      </c>
      <c r="AF104" s="34">
        <v>2020</v>
      </c>
      <c r="AG104" s="34">
        <v>2020</v>
      </c>
      <c r="AH104" s="34">
        <v>2020</v>
      </c>
      <c r="BZ104" s="71"/>
      <c r="CD104" s="20" t="e">
        <f t="shared" si="9"/>
        <v>#N/A</v>
      </c>
      <c r="CE104" s="109" t="s">
        <v>109</v>
      </c>
      <c r="CF104" s="109">
        <v>936.1</v>
      </c>
    </row>
    <row r="105" spans="1:84" ht="61.5" x14ac:dyDescent="0.85">
      <c r="A105" s="20">
        <v>1</v>
      </c>
      <c r="B105" s="66">
        <f>SUBTOTAL(103,$A$22:A105)</f>
        <v>84</v>
      </c>
      <c r="C105" s="24" t="s">
        <v>1597</v>
      </c>
      <c r="D105" s="31">
        <f t="shared" si="10"/>
        <v>86742.97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3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0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9">
        <v>86742.97</v>
      </c>
      <c r="AE105" s="31">
        <v>0</v>
      </c>
      <c r="AF105" s="34">
        <v>2020</v>
      </c>
      <c r="AG105" s="35" t="s">
        <v>270</v>
      </c>
      <c r="AH105" s="35" t="s">
        <v>270</v>
      </c>
      <c r="BZ105" s="71"/>
      <c r="CD105" s="20" t="e">
        <f t="shared" ref="CD105:CD136" si="11">VLOOKUP(C105,CE:CF,2,FALSE)</f>
        <v>#N/A</v>
      </c>
      <c r="CE105" s="109" t="s">
        <v>1242</v>
      </c>
      <c r="CF105" s="109">
        <v>901.42</v>
      </c>
    </row>
    <row r="106" spans="1:84" ht="61.5" x14ac:dyDescent="0.85">
      <c r="A106" s="20">
        <v>1</v>
      </c>
      <c r="B106" s="66">
        <f>SUBTOTAL(103,$A$22:A106)</f>
        <v>85</v>
      </c>
      <c r="C106" s="24" t="s">
        <v>1599</v>
      </c>
      <c r="D106" s="31">
        <f t="shared" si="10"/>
        <v>70589.929999999993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3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9">
        <v>70589.929999999993</v>
      </c>
      <c r="AE106" s="31">
        <v>0</v>
      </c>
      <c r="AF106" s="34">
        <v>2020</v>
      </c>
      <c r="AG106" s="35" t="s">
        <v>270</v>
      </c>
      <c r="AH106" s="35" t="s">
        <v>270</v>
      </c>
      <c r="BZ106" s="71"/>
      <c r="CD106" s="20" t="e">
        <f t="shared" si="11"/>
        <v>#N/A</v>
      </c>
      <c r="CE106" s="109" t="s">
        <v>43</v>
      </c>
      <c r="CF106" s="109">
        <v>566</v>
      </c>
    </row>
    <row r="107" spans="1:84" ht="61.5" x14ac:dyDescent="0.85">
      <c r="A107" s="20">
        <v>1</v>
      </c>
      <c r="B107" s="66">
        <f>SUBTOTAL(103,$A$22:A107)</f>
        <v>86</v>
      </c>
      <c r="C107" s="24" t="s">
        <v>1600</v>
      </c>
      <c r="D107" s="31">
        <f t="shared" si="10"/>
        <v>2062889.94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3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9">
        <v>780</v>
      </c>
      <c r="R107" s="39">
        <v>1965144.06</v>
      </c>
      <c r="S107" s="31"/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27118.98</v>
      </c>
      <c r="AD107" s="179">
        <v>70626.899999999994</v>
      </c>
      <c r="AE107" s="31">
        <v>0</v>
      </c>
      <c r="AF107" s="34">
        <v>2020</v>
      </c>
      <c r="AG107" s="34">
        <v>2020</v>
      </c>
      <c r="AH107" s="35">
        <v>2020</v>
      </c>
      <c r="BZ107" s="71"/>
      <c r="CD107" s="20" t="e">
        <f t="shared" si="11"/>
        <v>#N/A</v>
      </c>
      <c r="CE107" s="109" t="s">
        <v>45</v>
      </c>
      <c r="CF107" s="109">
        <v>562</v>
      </c>
    </row>
    <row r="108" spans="1:84" ht="61.5" x14ac:dyDescent="0.85">
      <c r="A108" s="20">
        <v>1</v>
      </c>
      <c r="B108" s="66">
        <f>SUBTOTAL(103,$A$22:A108)</f>
        <v>87</v>
      </c>
      <c r="C108" s="24" t="s">
        <v>1622</v>
      </c>
      <c r="D108" s="31">
        <f t="shared" si="10"/>
        <v>1538390.57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3">
        <v>0</v>
      </c>
      <c r="L108" s="31">
        <v>0</v>
      </c>
      <c r="M108" s="39">
        <v>387</v>
      </c>
      <c r="N108" s="31">
        <v>1515655.73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22734.84</v>
      </c>
      <c r="AD108" s="31">
        <v>0</v>
      </c>
      <c r="AE108" s="31">
        <v>0</v>
      </c>
      <c r="AF108" s="34" t="s">
        <v>270</v>
      </c>
      <c r="AG108" s="34">
        <v>2020</v>
      </c>
      <c r="AH108" s="35">
        <v>2020</v>
      </c>
      <c r="BZ108" s="71"/>
      <c r="CD108" s="20" t="e">
        <f t="shared" si="11"/>
        <v>#N/A</v>
      </c>
      <c r="CE108" s="109" t="s">
        <v>1255</v>
      </c>
      <c r="CF108" s="109">
        <v>454</v>
      </c>
    </row>
    <row r="109" spans="1:84" ht="61.5" x14ac:dyDescent="0.85">
      <c r="A109" s="20">
        <v>1</v>
      </c>
      <c r="B109" s="66">
        <f>SUBTOTAL(103,$A$22:A109)</f>
        <v>88</v>
      </c>
      <c r="C109" s="24" t="s">
        <v>1623</v>
      </c>
      <c r="D109" s="31">
        <f t="shared" si="10"/>
        <v>2359648.1800000002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3">
        <v>1</v>
      </c>
      <c r="L109" s="103">
        <v>2251070.23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103">
        <v>108577.95</v>
      </c>
      <c r="AE109" s="31">
        <v>0</v>
      </c>
      <c r="AF109" s="34">
        <v>2020</v>
      </c>
      <c r="AG109" s="34">
        <v>2020</v>
      </c>
      <c r="AH109" s="35" t="s">
        <v>270</v>
      </c>
      <c r="BZ109" s="71"/>
      <c r="CD109" s="20" t="e">
        <f t="shared" si="11"/>
        <v>#N/A</v>
      </c>
      <c r="CE109" s="109" t="s">
        <v>42</v>
      </c>
      <c r="CF109" s="109">
        <v>595</v>
      </c>
    </row>
    <row r="110" spans="1:84" ht="61.5" x14ac:dyDescent="0.85">
      <c r="A110" s="20">
        <v>1</v>
      </c>
      <c r="B110" s="66">
        <f>SUBTOTAL(103,$A$22:A110)</f>
        <v>89</v>
      </c>
      <c r="C110" s="24" t="s">
        <v>1126</v>
      </c>
      <c r="D110" s="31">
        <f t="shared" ref="D110:D116" si="12">E110+F110+G110+H110+I110+J110+L110+N110+P110+R110+T110+U110+V110+W110+X110+Y110+Z110+AA110+AB110+AC110+AD110+AE110</f>
        <v>3284906.54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3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9">
        <v>1778.5</v>
      </c>
      <c r="R110" s="39">
        <f>2245405.85+985539.87</f>
        <v>3230945.72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53960.82</v>
      </c>
      <c r="AD110" s="31">
        <v>0</v>
      </c>
      <c r="AE110" s="31">
        <v>0</v>
      </c>
      <c r="AF110" s="34" t="s">
        <v>270</v>
      </c>
      <c r="AG110" s="34">
        <v>2020</v>
      </c>
      <c r="AH110" s="35">
        <v>2020</v>
      </c>
      <c r="BZ110" s="71"/>
      <c r="CD110" s="20" t="e">
        <f t="shared" si="11"/>
        <v>#N/A</v>
      </c>
    </row>
    <row r="111" spans="1:84" ht="61.5" x14ac:dyDescent="0.85">
      <c r="A111" s="20">
        <v>1</v>
      </c>
      <c r="B111" s="66">
        <f>SUBTOTAL(103,$A$22:A111)</f>
        <v>90</v>
      </c>
      <c r="C111" s="24" t="s">
        <v>534</v>
      </c>
      <c r="D111" s="31">
        <f t="shared" si="12"/>
        <v>1843496.65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3">
        <v>1</v>
      </c>
      <c r="L111" s="31">
        <v>1772595.98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70900.67</v>
      </c>
      <c r="AE111" s="31">
        <v>0</v>
      </c>
      <c r="AF111" s="34">
        <v>2020</v>
      </c>
      <c r="AG111" s="34">
        <v>2020</v>
      </c>
      <c r="AH111" s="35" t="s">
        <v>270</v>
      </c>
      <c r="AT111" s="20" t="e">
        <f>VLOOKUP(C111,AW:AX,2,FALSE)</f>
        <v>#N/A</v>
      </c>
      <c r="BZ111" s="71"/>
      <c r="CD111" s="20" t="e">
        <f t="shared" si="11"/>
        <v>#N/A</v>
      </c>
    </row>
    <row r="112" spans="1:84" ht="61.5" x14ac:dyDescent="0.85">
      <c r="A112" s="20">
        <v>1</v>
      </c>
      <c r="B112" s="66">
        <f>SUBTOTAL(103,$A$22:A112)</f>
        <v>91</v>
      </c>
      <c r="C112" s="24" t="s">
        <v>535</v>
      </c>
      <c r="D112" s="31">
        <f t="shared" si="12"/>
        <v>1838816.0899999999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3">
        <v>1</v>
      </c>
      <c r="L112" s="31">
        <v>1767995.18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70820.91</v>
      </c>
      <c r="AE112" s="31">
        <v>0</v>
      </c>
      <c r="AF112" s="34">
        <v>2020</v>
      </c>
      <c r="AG112" s="34">
        <v>2020</v>
      </c>
      <c r="AH112" s="35" t="s">
        <v>270</v>
      </c>
      <c r="AT112" s="20" t="e">
        <f>VLOOKUP(C112,AW:AX,2,FALSE)</f>
        <v>#N/A</v>
      </c>
      <c r="BZ112" s="71"/>
      <c r="CD112" s="20" t="e">
        <f t="shared" si="11"/>
        <v>#N/A</v>
      </c>
    </row>
    <row r="113" spans="1:84" ht="61.5" x14ac:dyDescent="0.85">
      <c r="A113" s="20">
        <v>1</v>
      </c>
      <c r="B113" s="66">
        <f>SUBTOTAL(103,$A$22:A113)</f>
        <v>92</v>
      </c>
      <c r="C113" s="24" t="s">
        <v>1380</v>
      </c>
      <c r="D113" s="31">
        <f t="shared" si="12"/>
        <v>10746088.879999999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3">
        <v>6</v>
      </c>
      <c r="L113" s="31">
        <v>10646311.34</v>
      </c>
      <c r="M113" s="31">
        <v>0</v>
      </c>
      <c r="N113" s="31">
        <v>0</v>
      </c>
      <c r="O113" s="31">
        <v>0</v>
      </c>
      <c r="P113" s="31">
        <v>0</v>
      </c>
      <c r="Q113" s="31">
        <v>0</v>
      </c>
      <c r="R113" s="31">
        <v>0</v>
      </c>
      <c r="S113" s="31">
        <v>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99777.54</v>
      </c>
      <c r="AE113" s="31">
        <v>0</v>
      </c>
      <c r="AF113" s="34">
        <v>2020</v>
      </c>
      <c r="AG113" s="34">
        <v>2020</v>
      </c>
      <c r="AH113" s="35" t="s">
        <v>270</v>
      </c>
      <c r="BZ113" s="71"/>
      <c r="CD113" s="20" t="e">
        <f t="shared" si="11"/>
        <v>#N/A</v>
      </c>
    </row>
    <row r="114" spans="1:84" ht="61.5" x14ac:dyDescent="0.85">
      <c r="A114" s="20">
        <v>1</v>
      </c>
      <c r="B114" s="66">
        <f>SUBTOTAL(103,$A$22:A114)</f>
        <v>93</v>
      </c>
      <c r="C114" s="24" t="s">
        <v>549</v>
      </c>
      <c r="D114" s="31">
        <f t="shared" si="12"/>
        <v>2078209.55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3">
        <v>1</v>
      </c>
      <c r="L114" s="31">
        <v>2005748.81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72460.740000000005</v>
      </c>
      <c r="AE114" s="31">
        <v>0</v>
      </c>
      <c r="AF114" s="34">
        <v>2020</v>
      </c>
      <c r="AG114" s="34">
        <v>2020</v>
      </c>
      <c r="AH114" s="35" t="s">
        <v>270</v>
      </c>
      <c r="AT114" s="20" t="e">
        <f>VLOOKUP(C114,AW:AX,2,FALSE)</f>
        <v>#N/A</v>
      </c>
      <c r="BZ114" s="71"/>
      <c r="CD114" s="20" t="e">
        <f t="shared" si="11"/>
        <v>#N/A</v>
      </c>
    </row>
    <row r="115" spans="1:84" ht="61.5" x14ac:dyDescent="0.85">
      <c r="A115" s="20">
        <v>1</v>
      </c>
      <c r="B115" s="66">
        <f>SUBTOTAL(103,$A$22:A115)</f>
        <v>94</v>
      </c>
      <c r="C115" s="24" t="s">
        <v>1092</v>
      </c>
      <c r="D115" s="31">
        <f t="shared" si="12"/>
        <v>8533423.2400000002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3">
        <v>4</v>
      </c>
      <c r="L115" s="31">
        <v>8441723.0500000007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91700.19</v>
      </c>
      <c r="AE115" s="31">
        <v>0</v>
      </c>
      <c r="AF115" s="34">
        <v>2020</v>
      </c>
      <c r="AG115" s="34">
        <v>2020</v>
      </c>
      <c r="AH115" s="35" t="s">
        <v>270</v>
      </c>
      <c r="BZ115" s="71"/>
      <c r="CD115" s="20" t="e">
        <f t="shared" si="11"/>
        <v>#N/A</v>
      </c>
    </row>
    <row r="116" spans="1:84" ht="61.5" x14ac:dyDescent="0.85">
      <c r="A116" s="20">
        <v>1</v>
      </c>
      <c r="B116" s="66">
        <f>SUBTOTAL(103,$A$22:A116)</f>
        <v>95</v>
      </c>
      <c r="C116" s="24" t="s">
        <v>557</v>
      </c>
      <c r="D116" s="31">
        <f t="shared" si="12"/>
        <v>2063785.08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0</v>
      </c>
      <c r="K116" s="33">
        <v>1</v>
      </c>
      <c r="L116" s="31">
        <v>1992878.5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70906.58</v>
      </c>
      <c r="AE116" s="31">
        <v>0</v>
      </c>
      <c r="AF116" s="34">
        <v>2020</v>
      </c>
      <c r="AG116" s="34">
        <v>2020</v>
      </c>
      <c r="AH116" s="35" t="s">
        <v>270</v>
      </c>
      <c r="AT116" s="20" t="e">
        <f>VLOOKUP(C116,AW:AX,2,FALSE)</f>
        <v>#N/A</v>
      </c>
      <c r="BZ116" s="71"/>
      <c r="CD116" s="20" t="e">
        <f t="shared" si="11"/>
        <v>#N/A</v>
      </c>
    </row>
    <row r="117" spans="1:84" ht="61.5" x14ac:dyDescent="0.85">
      <c r="A117" s="20">
        <v>1</v>
      </c>
      <c r="B117" s="66">
        <f>SUBTOTAL(103,$A$22:A117)</f>
        <v>96</v>
      </c>
      <c r="C117" s="24" t="s">
        <v>1123</v>
      </c>
      <c r="D117" s="31">
        <f>E117+F117+G117+H117+I117+J117+L117+N117+P117+R117+T117+U117+V117+W117+X117+Y117+Z117+AA117+AB117+AC117+AD117+AE117</f>
        <v>1772415.75</v>
      </c>
      <c r="E117" s="31">
        <v>0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3">
        <v>0</v>
      </c>
      <c r="L117" s="31">
        <v>0</v>
      </c>
      <c r="M117" s="137">
        <v>523.98</v>
      </c>
      <c r="N117" s="137">
        <v>1746351.45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  <c r="U117" s="31">
        <v>0</v>
      </c>
      <c r="V117" s="31">
        <v>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26064.3</v>
      </c>
      <c r="AD117" s="31">
        <v>0</v>
      </c>
      <c r="AE117" s="31">
        <v>0</v>
      </c>
      <c r="AF117" s="35" t="s">
        <v>270</v>
      </c>
      <c r="AG117" s="34">
        <v>2020</v>
      </c>
      <c r="AH117" s="34">
        <v>2020</v>
      </c>
      <c r="BZ117" s="71"/>
      <c r="CD117" s="20">
        <f t="shared" si="11"/>
        <v>523.98</v>
      </c>
    </row>
    <row r="118" spans="1:84" ht="61.5" x14ac:dyDescent="0.85">
      <c r="A118" s="20">
        <v>1</v>
      </c>
      <c r="B118" s="66">
        <f>SUBTOTAL(103,$A$22:A118)</f>
        <v>97</v>
      </c>
      <c r="C118" s="24" t="s">
        <v>1136</v>
      </c>
      <c r="D118" s="31">
        <f t="shared" ref="D118:D124" si="13">E118+F118+G118+H118+I118+J118+L118+N118+P118+R118+T118+U118+V118+W118+X118+Y118+Z118+AA118+AB118+AC118+AD118+AE118</f>
        <v>52271.7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74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9">
        <v>52271.7</v>
      </c>
      <c r="AE118" s="31">
        <v>0</v>
      </c>
      <c r="AF118" s="34">
        <v>2020</v>
      </c>
      <c r="AG118" s="35" t="s">
        <v>270</v>
      </c>
      <c r="AH118" s="35" t="s">
        <v>270</v>
      </c>
      <c r="BZ118" s="71"/>
      <c r="CD118" s="20" t="e">
        <f t="shared" si="11"/>
        <v>#N/A</v>
      </c>
    </row>
    <row r="119" spans="1:84" ht="61.5" x14ac:dyDescent="0.85">
      <c r="A119" s="20">
        <v>1</v>
      </c>
      <c r="B119" s="66">
        <f>SUBTOTAL(103,$A$22:A119)</f>
        <v>98</v>
      </c>
      <c r="C119" s="24" t="s">
        <v>487</v>
      </c>
      <c r="D119" s="31">
        <f t="shared" si="13"/>
        <v>83051.86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74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83051.86</v>
      </c>
      <c r="AE119" s="31">
        <v>0</v>
      </c>
      <c r="AF119" s="34">
        <v>2020</v>
      </c>
      <c r="AG119" s="35" t="s">
        <v>270</v>
      </c>
      <c r="AH119" s="35" t="s">
        <v>270</v>
      </c>
      <c r="BZ119" s="71"/>
      <c r="CD119" s="20" t="e">
        <f t="shared" si="11"/>
        <v>#N/A</v>
      </c>
    </row>
    <row r="120" spans="1:84" ht="61.5" x14ac:dyDescent="0.85">
      <c r="A120" s="20">
        <v>1</v>
      </c>
      <c r="B120" s="66">
        <f>SUBTOTAL(103,$A$22:A120)</f>
        <v>99</v>
      </c>
      <c r="C120" s="24" t="s">
        <v>1137</v>
      </c>
      <c r="D120" s="31">
        <f t="shared" si="13"/>
        <v>50689.120000000003</v>
      </c>
      <c r="E120" s="31">
        <v>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74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179">
        <v>50689.120000000003</v>
      </c>
      <c r="AE120" s="31">
        <v>0</v>
      </c>
      <c r="AF120" s="34">
        <v>2020</v>
      </c>
      <c r="AG120" s="35" t="s">
        <v>270</v>
      </c>
      <c r="AH120" s="35" t="s">
        <v>270</v>
      </c>
      <c r="BZ120" s="71"/>
      <c r="CD120" s="20" t="e">
        <f t="shared" si="11"/>
        <v>#N/A</v>
      </c>
    </row>
    <row r="121" spans="1:84" ht="61.5" x14ac:dyDescent="0.85">
      <c r="A121" s="20">
        <v>1</v>
      </c>
      <c r="B121" s="66">
        <f>SUBTOTAL(103,$A$22:A121)</f>
        <v>100</v>
      </c>
      <c r="C121" s="24" t="s">
        <v>501</v>
      </c>
      <c r="D121" s="31">
        <f t="shared" si="13"/>
        <v>95587.09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74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0</v>
      </c>
      <c r="Q121" s="31">
        <v>0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9">
        <v>95587.09</v>
      </c>
      <c r="AE121" s="31">
        <v>0</v>
      </c>
      <c r="AF121" s="34">
        <v>2020</v>
      </c>
      <c r="AG121" s="35" t="s">
        <v>270</v>
      </c>
      <c r="AH121" s="35" t="s">
        <v>270</v>
      </c>
      <c r="BZ121" s="71"/>
      <c r="CD121" s="20" t="e">
        <f t="shared" si="11"/>
        <v>#N/A</v>
      </c>
    </row>
    <row r="122" spans="1:84" ht="61.5" x14ac:dyDescent="0.85">
      <c r="A122" s="20">
        <v>1</v>
      </c>
      <c r="B122" s="66">
        <f>SUBTOTAL(103,$A$22:A122)</f>
        <v>101</v>
      </c>
      <c r="C122" s="24" t="s">
        <v>1071</v>
      </c>
      <c r="D122" s="31">
        <f t="shared" si="13"/>
        <v>79784.160000000003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74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79784.160000000003</v>
      </c>
      <c r="AE122" s="31">
        <v>0</v>
      </c>
      <c r="AF122" s="34">
        <v>2020</v>
      </c>
      <c r="AG122" s="35" t="s">
        <v>270</v>
      </c>
      <c r="AH122" s="35" t="s">
        <v>270</v>
      </c>
      <c r="BZ122" s="71"/>
      <c r="CD122" s="20" t="e">
        <f t="shared" si="11"/>
        <v>#N/A</v>
      </c>
    </row>
    <row r="123" spans="1:84" ht="61.5" x14ac:dyDescent="0.85">
      <c r="A123" s="20">
        <v>1</v>
      </c>
      <c r="B123" s="66">
        <f>SUBTOTAL(103,$A$22:A123)</f>
        <v>102</v>
      </c>
      <c r="C123" s="24" t="s">
        <v>1404</v>
      </c>
      <c r="D123" s="31">
        <f t="shared" si="13"/>
        <v>71679.100000000006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74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71679.100000000006</v>
      </c>
      <c r="AE123" s="31">
        <v>0</v>
      </c>
      <c r="AF123" s="34">
        <v>2020</v>
      </c>
      <c r="AG123" s="35" t="s">
        <v>270</v>
      </c>
      <c r="AH123" s="35" t="s">
        <v>270</v>
      </c>
      <c r="BZ123" s="71"/>
      <c r="CD123" s="20" t="e">
        <f t="shared" si="11"/>
        <v>#N/A</v>
      </c>
    </row>
    <row r="124" spans="1:84" ht="61.5" x14ac:dyDescent="0.85">
      <c r="A124" s="20">
        <v>1</v>
      </c>
      <c r="B124" s="66">
        <f>SUBTOTAL(103,$A$22:A124)</f>
        <v>103</v>
      </c>
      <c r="C124" s="24" t="s">
        <v>1377</v>
      </c>
      <c r="D124" s="31">
        <f t="shared" si="13"/>
        <v>55904.38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74">
        <v>0</v>
      </c>
      <c r="L124" s="31">
        <v>0</v>
      </c>
      <c r="M124" s="31">
        <v>0</v>
      </c>
      <c r="N124" s="31">
        <v>0</v>
      </c>
      <c r="O124" s="31">
        <v>0</v>
      </c>
      <c r="P124" s="31">
        <v>0</v>
      </c>
      <c r="Q124" s="31">
        <v>0</v>
      </c>
      <c r="R124" s="31">
        <v>0</v>
      </c>
      <c r="S124" s="31">
        <v>0</v>
      </c>
      <c r="T124" s="31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55904.38</v>
      </c>
      <c r="AE124" s="31">
        <v>0</v>
      </c>
      <c r="AF124" s="34">
        <v>2020</v>
      </c>
      <c r="AG124" s="35" t="s">
        <v>270</v>
      </c>
      <c r="AH124" s="35" t="s">
        <v>270</v>
      </c>
      <c r="BZ124" s="71"/>
      <c r="CD124" s="20" t="e">
        <f t="shared" si="11"/>
        <v>#N/A</v>
      </c>
    </row>
    <row r="125" spans="1:84" ht="61.5" x14ac:dyDescent="0.85">
      <c r="A125" s="20">
        <v>1</v>
      </c>
      <c r="B125" s="66">
        <f>SUBTOTAL(103,$A$22:A125)</f>
        <v>104</v>
      </c>
      <c r="C125" s="24" t="s">
        <v>1700</v>
      </c>
      <c r="D125" s="31">
        <f t="shared" ref="D125" si="14">E125+F125+G125+H125+I125+J125+L125+N125+P125+R125+T125+U125+V125+W125+X125+Y125+Z125+AA125+AB125+AC125+AD125+AE125</f>
        <v>100382.56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3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0</v>
      </c>
      <c r="Q125" s="31">
        <v>0</v>
      </c>
      <c r="R125" s="31">
        <v>0</v>
      </c>
      <c r="S125" s="31">
        <v>0</v>
      </c>
      <c r="T125" s="31">
        <v>0</v>
      </c>
      <c r="U125" s="31">
        <v>0</v>
      </c>
      <c r="V125" s="31">
        <v>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103">
        <v>100382.56</v>
      </c>
      <c r="AE125" s="31">
        <v>0</v>
      </c>
      <c r="AF125" s="34">
        <v>2020</v>
      </c>
      <c r="AG125" s="35" t="s">
        <v>270</v>
      </c>
      <c r="AH125" s="35" t="s">
        <v>270</v>
      </c>
      <c r="BZ125" s="71"/>
      <c r="CD125" s="20" t="e">
        <f t="shared" si="11"/>
        <v>#N/A</v>
      </c>
    </row>
    <row r="126" spans="1:84" ht="61.5" x14ac:dyDescent="0.85">
      <c r="B126" s="24" t="s">
        <v>762</v>
      </c>
      <c r="C126" s="108"/>
      <c r="D126" s="195">
        <f t="shared" ref="D126:AE126" si="15">SUM(D127:D156)</f>
        <v>52540905.469999999</v>
      </c>
      <c r="E126" s="31">
        <f t="shared" si="15"/>
        <v>392971.79</v>
      </c>
      <c r="F126" s="31">
        <f t="shared" si="15"/>
        <v>287233.21999999997</v>
      </c>
      <c r="G126" s="31">
        <f t="shared" si="15"/>
        <v>1294699.6299999999</v>
      </c>
      <c r="H126" s="31">
        <f t="shared" si="15"/>
        <v>643435.68999999994</v>
      </c>
      <c r="I126" s="31">
        <f t="shared" si="15"/>
        <v>4483524.6500000004</v>
      </c>
      <c r="J126" s="31">
        <f t="shared" si="15"/>
        <v>0</v>
      </c>
      <c r="K126" s="33">
        <f t="shared" si="15"/>
        <v>4</v>
      </c>
      <c r="L126" s="31">
        <f t="shared" si="15"/>
        <v>5593558.4000000004</v>
      </c>
      <c r="M126" s="31">
        <f t="shared" si="15"/>
        <v>8193.49</v>
      </c>
      <c r="N126" s="31">
        <f t="shared" si="15"/>
        <v>32686848.039999999</v>
      </c>
      <c r="O126" s="31">
        <f t="shared" si="15"/>
        <v>0</v>
      </c>
      <c r="P126" s="31">
        <f t="shared" si="15"/>
        <v>0</v>
      </c>
      <c r="Q126" s="31">
        <f t="shared" si="15"/>
        <v>2678.1099999999997</v>
      </c>
      <c r="R126" s="31">
        <f t="shared" si="15"/>
        <v>5635955.5300000003</v>
      </c>
      <c r="S126" s="31">
        <f t="shared" si="15"/>
        <v>0</v>
      </c>
      <c r="T126" s="31">
        <f t="shared" si="15"/>
        <v>0</v>
      </c>
      <c r="U126" s="31">
        <f t="shared" si="15"/>
        <v>0</v>
      </c>
      <c r="V126" s="31">
        <f t="shared" si="15"/>
        <v>0</v>
      </c>
      <c r="W126" s="31">
        <f t="shared" si="15"/>
        <v>0</v>
      </c>
      <c r="X126" s="31">
        <f t="shared" si="15"/>
        <v>0</v>
      </c>
      <c r="Y126" s="31">
        <f t="shared" si="15"/>
        <v>0</v>
      </c>
      <c r="Z126" s="31">
        <f t="shared" si="15"/>
        <v>0</v>
      </c>
      <c r="AA126" s="31">
        <f t="shared" si="15"/>
        <v>0</v>
      </c>
      <c r="AB126" s="31">
        <f t="shared" si="15"/>
        <v>0</v>
      </c>
      <c r="AC126" s="31">
        <f t="shared" si="15"/>
        <v>443364.56000000011</v>
      </c>
      <c r="AD126" s="31">
        <f t="shared" si="15"/>
        <v>1079313.96</v>
      </c>
      <c r="AE126" s="31">
        <f t="shared" si="15"/>
        <v>0</v>
      </c>
      <c r="AF126" s="72" t="s">
        <v>757</v>
      </c>
      <c r="AG126" s="72" t="s">
        <v>757</v>
      </c>
      <c r="AH126" s="87" t="s">
        <v>757</v>
      </c>
      <c r="AT126" s="20" t="e">
        <f t="shared" ref="AT126:AT139" si="16">VLOOKUP(C126,AW:AX,2,FALSE)</f>
        <v>#N/A</v>
      </c>
      <c r="BZ126" s="31">
        <v>95682574.419999987</v>
      </c>
      <c r="CA126" s="31"/>
      <c r="CB126" s="31">
        <f>BZ126-D126</f>
        <v>43141668.949999988</v>
      </c>
      <c r="CD126" s="20" t="e">
        <f t="shared" si="11"/>
        <v>#N/A</v>
      </c>
      <c r="CE126" s="109" t="s">
        <v>1250</v>
      </c>
      <c r="CF126" s="109">
        <v>1278.8</v>
      </c>
    </row>
    <row r="127" spans="1:84" ht="61.5" x14ac:dyDescent="0.85">
      <c r="A127" s="20">
        <v>1</v>
      </c>
      <c r="B127" s="66">
        <f>SUBTOTAL(103,$A$22:A127)</f>
        <v>105</v>
      </c>
      <c r="C127" s="24" t="s">
        <v>444</v>
      </c>
      <c r="D127" s="31">
        <f t="shared" ref="D127:D156" si="17">E127+F127+G127+H127+I127+J127+L127+N127+P127+R127+T127+U127+V127+W127+X127+Y127+Z127+AA127+AB127+AC127+AD127+AE127</f>
        <v>2291514.0300000003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74">
        <v>0</v>
      </c>
      <c r="L127" s="31">
        <v>0</v>
      </c>
      <c r="M127" s="39">
        <v>636.21</v>
      </c>
      <c r="N127" s="39">
        <v>2242129.4900000002</v>
      </c>
      <c r="O127" s="31">
        <v>0</v>
      </c>
      <c r="P127" s="31">
        <v>0</v>
      </c>
      <c r="Q127" s="31">
        <v>0</v>
      </c>
      <c r="R127" s="31">
        <v>0</v>
      </c>
      <c r="S127" s="31">
        <v>0</v>
      </c>
      <c r="T127" s="31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9">
        <v>14461.74</v>
      </c>
      <c r="AD127" s="39">
        <v>34922.800000000003</v>
      </c>
      <c r="AE127" s="31">
        <v>0</v>
      </c>
      <c r="AF127" s="34">
        <v>2020</v>
      </c>
      <c r="AG127" s="34">
        <v>2020</v>
      </c>
      <c r="AH127" s="35">
        <v>2020</v>
      </c>
      <c r="AT127" s="20" t="e">
        <f t="shared" si="16"/>
        <v>#N/A</v>
      </c>
      <c r="BZ127" s="71"/>
      <c r="CD127" s="20">
        <f t="shared" si="11"/>
        <v>598</v>
      </c>
      <c r="CE127" s="109" t="s">
        <v>1252</v>
      </c>
      <c r="CF127" s="109">
        <v>225.04</v>
      </c>
    </row>
    <row r="128" spans="1:84" ht="61.5" x14ac:dyDescent="0.85">
      <c r="A128" s="20">
        <v>1</v>
      </c>
      <c r="B128" s="66">
        <f>SUBTOTAL(103,$A$22:A128)</f>
        <v>106</v>
      </c>
      <c r="C128" s="24" t="s">
        <v>445</v>
      </c>
      <c r="D128" s="31">
        <f t="shared" si="17"/>
        <v>2189911.6500000004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74">
        <v>0</v>
      </c>
      <c r="L128" s="31">
        <v>0</v>
      </c>
      <c r="M128" s="39">
        <v>585.59</v>
      </c>
      <c r="N128" s="179">
        <v>2122436.64</v>
      </c>
      <c r="O128" s="31">
        <v>0</v>
      </c>
      <c r="P128" s="31">
        <v>0</v>
      </c>
      <c r="Q128" s="31">
        <v>0</v>
      </c>
      <c r="R128" s="31">
        <v>0</v>
      </c>
      <c r="S128" s="31">
        <v>0</v>
      </c>
      <c r="T128" s="31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179">
        <v>13689.72</v>
      </c>
      <c r="AD128" s="39">
        <v>53785.29</v>
      </c>
      <c r="AE128" s="31">
        <v>0</v>
      </c>
      <c r="AF128" s="34">
        <v>2020</v>
      </c>
      <c r="AG128" s="34">
        <v>2020</v>
      </c>
      <c r="AH128" s="35">
        <v>2020</v>
      </c>
      <c r="AT128" s="20" t="e">
        <f t="shared" si="16"/>
        <v>#N/A</v>
      </c>
      <c r="BZ128" s="71"/>
      <c r="CD128" s="20">
        <f t="shared" si="11"/>
        <v>592.20000000000005</v>
      </c>
      <c r="CE128" s="109" t="s">
        <v>1253</v>
      </c>
      <c r="CF128" s="109">
        <v>337</v>
      </c>
    </row>
    <row r="129" spans="1:84" ht="61.5" x14ac:dyDescent="0.85">
      <c r="A129" s="20">
        <v>1</v>
      </c>
      <c r="B129" s="66">
        <f>SUBTOTAL(103,$A$22:A129)</f>
        <v>107</v>
      </c>
      <c r="C129" s="24" t="s">
        <v>446</v>
      </c>
      <c r="D129" s="31">
        <f t="shared" si="17"/>
        <v>3676534.89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74">
        <v>0</v>
      </c>
      <c r="L129" s="31">
        <v>0</v>
      </c>
      <c r="M129" s="31">
        <v>515.38</v>
      </c>
      <c r="N129" s="31">
        <f>2884911.16+688132.38</f>
        <v>3573043.54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f t="shared" ref="AC129:AC138" si="18">ROUND(N129*1.5%,2)</f>
        <v>53595.65</v>
      </c>
      <c r="AD129" s="39">
        <v>49895.7</v>
      </c>
      <c r="AE129" s="31">
        <v>0</v>
      </c>
      <c r="AF129" s="34">
        <v>2020</v>
      </c>
      <c r="AG129" s="34">
        <v>2020</v>
      </c>
      <c r="AH129" s="34">
        <v>2020</v>
      </c>
      <c r="AT129" s="20" t="e">
        <f t="shared" si="16"/>
        <v>#N/A</v>
      </c>
      <c r="BZ129" s="71"/>
      <c r="CD129" s="20" t="e">
        <f t="shared" si="11"/>
        <v>#N/A</v>
      </c>
      <c r="CE129" s="109" t="s">
        <v>228</v>
      </c>
      <c r="CF129" s="109">
        <v>806.38</v>
      </c>
    </row>
    <row r="130" spans="1:84" ht="61.5" x14ac:dyDescent="0.85">
      <c r="A130" s="20">
        <v>1</v>
      </c>
      <c r="B130" s="66">
        <f>SUBTOTAL(103,$A$22:A130)</f>
        <v>108</v>
      </c>
      <c r="C130" s="24" t="s">
        <v>447</v>
      </c>
      <c r="D130" s="31">
        <f t="shared" si="17"/>
        <v>55080.59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74">
        <v>0</v>
      </c>
      <c r="L130" s="31">
        <v>0</v>
      </c>
      <c r="M130" s="31">
        <v>0</v>
      </c>
      <c r="N130" s="31">
        <v>0</v>
      </c>
      <c r="O130" s="31">
        <v>0</v>
      </c>
      <c r="P130" s="31">
        <v>0</v>
      </c>
      <c r="Q130" s="31">
        <v>0</v>
      </c>
      <c r="R130" s="31">
        <v>0</v>
      </c>
      <c r="S130" s="31">
        <v>0</v>
      </c>
      <c r="T130" s="31">
        <v>0</v>
      </c>
      <c r="U130" s="31">
        <v>0</v>
      </c>
      <c r="V130" s="31">
        <v>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f t="shared" si="18"/>
        <v>0</v>
      </c>
      <c r="AD130" s="179">
        <v>55080.59</v>
      </c>
      <c r="AE130" s="31">
        <v>0</v>
      </c>
      <c r="AF130" s="34">
        <v>2020</v>
      </c>
      <c r="AG130" s="34" t="s">
        <v>270</v>
      </c>
      <c r="AH130" s="35" t="s">
        <v>270</v>
      </c>
      <c r="AT130" s="20" t="e">
        <f t="shared" si="16"/>
        <v>#N/A</v>
      </c>
      <c r="BZ130" s="71"/>
      <c r="CD130" s="20" t="e">
        <f t="shared" si="11"/>
        <v>#N/A</v>
      </c>
      <c r="CE130" s="109" t="s">
        <v>231</v>
      </c>
      <c r="CF130" s="109">
        <v>308.60000000000002</v>
      </c>
    </row>
    <row r="131" spans="1:84" ht="61.5" x14ac:dyDescent="0.85">
      <c r="A131" s="20">
        <v>1</v>
      </c>
      <c r="B131" s="66">
        <f>SUBTOTAL(103,$A$22:A131)</f>
        <v>109</v>
      </c>
      <c r="C131" s="24" t="s">
        <v>448</v>
      </c>
      <c r="D131" s="31">
        <f t="shared" si="17"/>
        <v>2500155.3199999998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74">
        <v>0</v>
      </c>
      <c r="L131" s="31">
        <v>0</v>
      </c>
      <c r="M131" s="39">
        <v>597.83000000000004</v>
      </c>
      <c r="N131" s="39">
        <v>2411595.7999999998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31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f t="shared" si="18"/>
        <v>36173.94</v>
      </c>
      <c r="AD131" s="39">
        <v>52385.58</v>
      </c>
      <c r="AE131" s="31">
        <v>0</v>
      </c>
      <c r="AF131" s="34">
        <v>2020</v>
      </c>
      <c r="AG131" s="34">
        <v>2020</v>
      </c>
      <c r="AH131" s="35">
        <v>2020</v>
      </c>
      <c r="AT131" s="20" t="e">
        <f t="shared" si="16"/>
        <v>#N/A</v>
      </c>
      <c r="BZ131" s="71"/>
      <c r="CD131" s="20">
        <f t="shared" si="11"/>
        <v>603.71</v>
      </c>
      <c r="CE131" s="109" t="s">
        <v>1267</v>
      </c>
      <c r="CF131" s="109">
        <v>189.8</v>
      </c>
    </row>
    <row r="132" spans="1:84" ht="61.5" x14ac:dyDescent="0.85">
      <c r="A132" s="20">
        <v>1</v>
      </c>
      <c r="B132" s="66">
        <f>SUBTOTAL(103,$A$22:A132)</f>
        <v>110</v>
      </c>
      <c r="C132" s="24" t="s">
        <v>449</v>
      </c>
      <c r="D132" s="31">
        <f t="shared" si="17"/>
        <v>2128855.41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74">
        <v>0</v>
      </c>
      <c r="L132" s="31">
        <v>0</v>
      </c>
      <c r="M132" s="39">
        <v>618.17999999999995</v>
      </c>
      <c r="N132" s="179">
        <v>2062274.75</v>
      </c>
      <c r="O132" s="31">
        <v>0</v>
      </c>
      <c r="P132" s="31">
        <v>0</v>
      </c>
      <c r="Q132" s="31">
        <v>0</v>
      </c>
      <c r="R132" s="31">
        <v>0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9">
        <v>13301.67</v>
      </c>
      <c r="AD132" s="39">
        <v>53278.99</v>
      </c>
      <c r="AE132" s="31">
        <v>0</v>
      </c>
      <c r="AF132" s="34">
        <v>2020</v>
      </c>
      <c r="AG132" s="34">
        <v>2020</v>
      </c>
      <c r="AH132" s="35">
        <v>2020</v>
      </c>
      <c r="AT132" s="20" t="e">
        <f t="shared" si="16"/>
        <v>#N/A</v>
      </c>
      <c r="BZ132" s="71"/>
      <c r="CD132" s="20">
        <f t="shared" si="11"/>
        <v>588.4</v>
      </c>
      <c r="CE132" s="109" t="s">
        <v>146</v>
      </c>
      <c r="CF132" s="109">
        <v>1525.2</v>
      </c>
    </row>
    <row r="133" spans="1:84" ht="61.5" x14ac:dyDescent="0.85">
      <c r="A133" s="20">
        <v>1</v>
      </c>
      <c r="B133" s="66">
        <f>SUBTOTAL(103,$A$22:A133)</f>
        <v>111</v>
      </c>
      <c r="C133" s="24" t="s">
        <v>450</v>
      </c>
      <c r="D133" s="31">
        <f t="shared" si="17"/>
        <v>2561299.4900000002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74">
        <v>0</v>
      </c>
      <c r="L133" s="31">
        <v>0</v>
      </c>
      <c r="M133" s="39">
        <v>548.33000000000004</v>
      </c>
      <c r="N133" s="39">
        <v>2453870.5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f t="shared" si="18"/>
        <v>36808.06</v>
      </c>
      <c r="AD133" s="39">
        <v>70620.929999999993</v>
      </c>
      <c r="AE133" s="31">
        <v>0</v>
      </c>
      <c r="AF133" s="34">
        <v>2020</v>
      </c>
      <c r="AG133" s="34">
        <v>2020</v>
      </c>
      <c r="AH133" s="35">
        <v>2020</v>
      </c>
      <c r="AT133" s="20" t="e">
        <f t="shared" si="16"/>
        <v>#N/A</v>
      </c>
      <c r="BZ133" s="71"/>
      <c r="CD133" s="20">
        <f t="shared" si="11"/>
        <v>555.39</v>
      </c>
      <c r="CE133" s="109" t="s">
        <v>142</v>
      </c>
      <c r="CF133" s="109">
        <v>1373.6</v>
      </c>
    </row>
    <row r="134" spans="1:84" ht="61.5" x14ac:dyDescent="0.85">
      <c r="A134" s="20">
        <v>1</v>
      </c>
      <c r="B134" s="66">
        <f>SUBTOTAL(103,$A$22:A134)</f>
        <v>112</v>
      </c>
      <c r="C134" s="24" t="s">
        <v>451</v>
      </c>
      <c r="D134" s="31">
        <f t="shared" si="17"/>
        <v>2317566.0299999998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74">
        <v>0</v>
      </c>
      <c r="L134" s="31">
        <v>0</v>
      </c>
      <c r="M134" s="39">
        <v>561.44000000000005</v>
      </c>
      <c r="N134" s="39">
        <v>2249862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9">
        <v>14511.61</v>
      </c>
      <c r="AD134" s="39">
        <v>53192.42</v>
      </c>
      <c r="AE134" s="31">
        <v>0</v>
      </c>
      <c r="AF134" s="34">
        <v>2020</v>
      </c>
      <c r="AG134" s="34">
        <v>2020</v>
      </c>
      <c r="AH134" s="35">
        <v>2020</v>
      </c>
      <c r="AT134" s="20" t="e">
        <f t="shared" si="16"/>
        <v>#N/A</v>
      </c>
      <c r="BZ134" s="71"/>
      <c r="CD134" s="20">
        <f t="shared" si="11"/>
        <v>577</v>
      </c>
      <c r="CE134" s="109" t="s">
        <v>137</v>
      </c>
      <c r="CF134" s="109">
        <v>1062.4000000000001</v>
      </c>
    </row>
    <row r="135" spans="1:84" ht="61.5" x14ac:dyDescent="0.85">
      <c r="A135" s="20">
        <v>1</v>
      </c>
      <c r="B135" s="66">
        <f>SUBTOTAL(103,$A$22:A135)</f>
        <v>113</v>
      </c>
      <c r="C135" s="24" t="s">
        <v>452</v>
      </c>
      <c r="D135" s="31">
        <f t="shared" si="17"/>
        <v>2392182.6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74">
        <v>0</v>
      </c>
      <c r="L135" s="31">
        <v>0</v>
      </c>
      <c r="M135" s="39">
        <v>585.91</v>
      </c>
      <c r="N135" s="39">
        <v>2323884.75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9">
        <v>14989.06</v>
      </c>
      <c r="AD135" s="39">
        <v>53308.79</v>
      </c>
      <c r="AE135" s="31">
        <v>0</v>
      </c>
      <c r="AF135" s="34">
        <v>2020</v>
      </c>
      <c r="AG135" s="34">
        <v>2020</v>
      </c>
      <c r="AH135" s="35">
        <v>2020</v>
      </c>
      <c r="AT135" s="20" t="e">
        <f t="shared" si="16"/>
        <v>#N/A</v>
      </c>
      <c r="BZ135" s="71"/>
      <c r="CD135" s="20">
        <f t="shared" si="11"/>
        <v>567.62</v>
      </c>
      <c r="CE135" s="109" t="s">
        <v>1263</v>
      </c>
      <c r="CF135" s="109">
        <v>1105</v>
      </c>
    </row>
    <row r="136" spans="1:84" ht="61.5" x14ac:dyDescent="0.85">
      <c r="A136" s="20">
        <v>1</v>
      </c>
      <c r="B136" s="66">
        <f>SUBTOTAL(103,$A$22:A136)</f>
        <v>114</v>
      </c>
      <c r="C136" s="24" t="s">
        <v>453</v>
      </c>
      <c r="D136" s="31">
        <f t="shared" si="17"/>
        <v>3326185.79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74">
        <v>0</v>
      </c>
      <c r="L136" s="31">
        <v>0</v>
      </c>
      <c r="M136" s="39">
        <v>847.77</v>
      </c>
      <c r="N136" s="39">
        <v>3158718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f t="shared" si="18"/>
        <v>47380.77</v>
      </c>
      <c r="AD136" s="39">
        <v>120087.02</v>
      </c>
      <c r="AE136" s="31">
        <v>0</v>
      </c>
      <c r="AF136" s="34">
        <v>2020</v>
      </c>
      <c r="AG136" s="34">
        <v>2020</v>
      </c>
      <c r="AH136" s="35">
        <v>2020</v>
      </c>
      <c r="AT136" s="20" t="e">
        <f t="shared" si="16"/>
        <v>#N/A</v>
      </c>
      <c r="BZ136" s="71"/>
      <c r="CD136" s="20">
        <f t="shared" si="11"/>
        <v>865.12</v>
      </c>
      <c r="CE136" s="109" t="s">
        <v>1265</v>
      </c>
      <c r="CF136" s="109">
        <v>1401.4</v>
      </c>
    </row>
    <row r="137" spans="1:84" ht="61.5" x14ac:dyDescent="0.85">
      <c r="A137" s="20">
        <v>1</v>
      </c>
      <c r="B137" s="66">
        <f>SUBTOTAL(103,$A$22:A137)</f>
        <v>115</v>
      </c>
      <c r="C137" s="24" t="s">
        <v>454</v>
      </c>
      <c r="D137" s="31">
        <f t="shared" si="17"/>
        <v>2218259.69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74">
        <v>0</v>
      </c>
      <c r="L137" s="31">
        <v>0</v>
      </c>
      <c r="M137" s="39">
        <v>581.07000000000005</v>
      </c>
      <c r="N137" s="39">
        <v>2150786.5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9">
        <v>13872.57</v>
      </c>
      <c r="AD137" s="39">
        <v>53600.62</v>
      </c>
      <c r="AE137" s="31">
        <v>0</v>
      </c>
      <c r="AF137" s="34">
        <v>2020</v>
      </c>
      <c r="AG137" s="34">
        <v>2020</v>
      </c>
      <c r="AH137" s="35">
        <v>2020</v>
      </c>
      <c r="AT137" s="20" t="e">
        <f t="shared" si="16"/>
        <v>#N/A</v>
      </c>
      <c r="BZ137" s="71"/>
      <c r="CD137" s="20">
        <f t="shared" ref="CD137:CD168" si="19">VLOOKUP(C137,CE:CF,2,FALSE)</f>
        <v>556.79999999999995</v>
      </c>
      <c r="CE137" s="109" t="s">
        <v>1262</v>
      </c>
      <c r="CF137" s="109">
        <v>467.74</v>
      </c>
    </row>
    <row r="138" spans="1:84" ht="61.5" x14ac:dyDescent="0.85">
      <c r="A138" s="20">
        <v>1</v>
      </c>
      <c r="B138" s="66">
        <f>SUBTOTAL(103,$A$22:A138)</f>
        <v>116</v>
      </c>
      <c r="C138" s="24" t="s">
        <v>455</v>
      </c>
      <c r="D138" s="31">
        <f t="shared" si="17"/>
        <v>91764.43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74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f t="shared" si="18"/>
        <v>0</v>
      </c>
      <c r="AD138" s="39">
        <v>91764.43</v>
      </c>
      <c r="AE138" s="31">
        <v>0</v>
      </c>
      <c r="AF138" s="34">
        <v>2020</v>
      </c>
      <c r="AG138" s="34" t="s">
        <v>270</v>
      </c>
      <c r="AH138" s="34" t="s">
        <v>270</v>
      </c>
      <c r="AT138" s="20" t="e">
        <f t="shared" si="16"/>
        <v>#N/A</v>
      </c>
      <c r="BZ138" s="71"/>
      <c r="CD138" s="20">
        <f t="shared" si="19"/>
        <v>860.91</v>
      </c>
      <c r="CE138" s="109" t="s">
        <v>1270</v>
      </c>
      <c r="CF138" s="109">
        <v>949</v>
      </c>
    </row>
    <row r="139" spans="1:84" ht="61.5" x14ac:dyDescent="0.85">
      <c r="A139" s="20">
        <v>1</v>
      </c>
      <c r="B139" s="66">
        <f>SUBTOTAL(103,$A$22:A139)</f>
        <v>117</v>
      </c>
      <c r="C139" s="24" t="s">
        <v>456</v>
      </c>
      <c r="D139" s="31">
        <f t="shared" si="17"/>
        <v>45369.9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74">
        <v>0</v>
      </c>
      <c r="L139" s="31">
        <v>0</v>
      </c>
      <c r="M139" s="31">
        <v>0</v>
      </c>
      <c r="N139" s="31">
        <v>0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f>ROUND(R139*1.5%,2)</f>
        <v>0</v>
      </c>
      <c r="AD139" s="31">
        <v>45369.9</v>
      </c>
      <c r="AE139" s="31">
        <v>0</v>
      </c>
      <c r="AF139" s="34">
        <v>2020</v>
      </c>
      <c r="AG139" s="34" t="s">
        <v>270</v>
      </c>
      <c r="AH139" s="34" t="s">
        <v>270</v>
      </c>
      <c r="AT139" s="20" t="e">
        <f t="shared" si="16"/>
        <v>#N/A</v>
      </c>
      <c r="BZ139" s="71"/>
      <c r="CD139" s="20" t="e">
        <f t="shared" si="19"/>
        <v>#N/A</v>
      </c>
      <c r="CE139" s="109" t="s">
        <v>1273</v>
      </c>
      <c r="CF139" s="109">
        <v>437.4</v>
      </c>
    </row>
    <row r="140" spans="1:84" ht="61.5" x14ac:dyDescent="0.85">
      <c r="A140" s="20">
        <v>1</v>
      </c>
      <c r="B140" s="66">
        <f>SUBTOTAL(103,$A$22:A140)</f>
        <v>118</v>
      </c>
      <c r="C140" s="24" t="s">
        <v>1140</v>
      </c>
      <c r="D140" s="31">
        <f t="shared" si="17"/>
        <v>2879103.97</v>
      </c>
      <c r="E140" s="31">
        <v>0</v>
      </c>
      <c r="F140" s="31">
        <v>0</v>
      </c>
      <c r="G140" s="31">
        <v>1294699.6299999999</v>
      </c>
      <c r="H140" s="31">
        <v>0</v>
      </c>
      <c r="I140" s="31">
        <v>1564983.85</v>
      </c>
      <c r="J140" s="31">
        <v>0</v>
      </c>
      <c r="K140" s="74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f>ROUND((G140)*1.5%,2)</f>
        <v>19420.490000000002</v>
      </c>
      <c r="AD140" s="31">
        <v>0</v>
      </c>
      <c r="AE140" s="31">
        <v>0</v>
      </c>
      <c r="AF140" s="34" t="s">
        <v>270</v>
      </c>
      <c r="AG140" s="34">
        <v>2020</v>
      </c>
      <c r="AH140" s="35">
        <v>2020</v>
      </c>
      <c r="BZ140" s="71"/>
      <c r="CD140" s="20" t="e">
        <f t="shared" si="19"/>
        <v>#N/A</v>
      </c>
      <c r="CE140" s="109" t="s">
        <v>1274</v>
      </c>
      <c r="CF140" s="109">
        <v>408</v>
      </c>
    </row>
    <row r="141" spans="1:84" ht="61.5" x14ac:dyDescent="0.85">
      <c r="A141" s="20">
        <v>1</v>
      </c>
      <c r="B141" s="66">
        <f>SUBTOTAL(103,$A$22:A141)</f>
        <v>119</v>
      </c>
      <c r="C141" s="24" t="s">
        <v>1141</v>
      </c>
      <c r="D141" s="31">
        <f t="shared" si="17"/>
        <v>994785.73</v>
      </c>
      <c r="E141" s="31">
        <v>0</v>
      </c>
      <c r="F141" s="31">
        <v>0</v>
      </c>
      <c r="G141" s="137">
        <v>0</v>
      </c>
      <c r="H141" s="31">
        <v>0</v>
      </c>
      <c r="I141" s="179">
        <v>980084.46</v>
      </c>
      <c r="J141" s="31">
        <v>0</v>
      </c>
      <c r="K141" s="74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f>ROUND((E141+F141+G141+H141+I141+J141)*1.5%,2)</f>
        <v>14701.27</v>
      </c>
      <c r="AD141" s="31">
        <v>0</v>
      </c>
      <c r="AE141" s="31">
        <v>0</v>
      </c>
      <c r="AF141" s="34" t="s">
        <v>270</v>
      </c>
      <c r="AG141" s="34">
        <v>2020</v>
      </c>
      <c r="AH141" s="35">
        <v>2020</v>
      </c>
      <c r="BZ141" s="71"/>
      <c r="CD141" s="20" t="e">
        <f t="shared" si="19"/>
        <v>#N/A</v>
      </c>
      <c r="CE141" s="109" t="s">
        <v>188</v>
      </c>
      <c r="CF141" s="109">
        <v>1028.5999999999999</v>
      </c>
    </row>
    <row r="142" spans="1:84" ht="61.5" x14ac:dyDescent="0.85">
      <c r="A142" s="20">
        <v>1</v>
      </c>
      <c r="B142" s="66">
        <f>SUBTOTAL(103,$A$22:A142)</f>
        <v>120</v>
      </c>
      <c r="C142" s="24" t="s">
        <v>1143</v>
      </c>
      <c r="D142" s="31">
        <f t="shared" si="17"/>
        <v>1804069.72</v>
      </c>
      <c r="E142" s="31">
        <v>0</v>
      </c>
      <c r="F142" s="31">
        <v>0</v>
      </c>
      <c r="G142" s="31">
        <v>0</v>
      </c>
      <c r="H142" s="31">
        <v>0</v>
      </c>
      <c r="I142" s="31">
        <v>0</v>
      </c>
      <c r="J142" s="31">
        <v>0</v>
      </c>
      <c r="K142" s="74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0</v>
      </c>
      <c r="Q142" s="39">
        <v>866.16</v>
      </c>
      <c r="R142" s="39">
        <v>1777408.59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f>ROUND(R142*1.5%,2)</f>
        <v>26661.13</v>
      </c>
      <c r="AD142" s="31">
        <v>0</v>
      </c>
      <c r="AE142" s="31">
        <v>0</v>
      </c>
      <c r="AF142" s="34" t="s">
        <v>270</v>
      </c>
      <c r="AG142" s="34">
        <v>2020</v>
      </c>
      <c r="AH142" s="35">
        <v>2020</v>
      </c>
      <c r="BZ142" s="71"/>
      <c r="CD142" s="20" t="e">
        <f t="shared" si="19"/>
        <v>#N/A</v>
      </c>
      <c r="CE142" s="109" t="s">
        <v>186</v>
      </c>
      <c r="CF142" s="109">
        <v>378</v>
      </c>
    </row>
    <row r="143" spans="1:84" ht="61.5" x14ac:dyDescent="0.85">
      <c r="A143" s="20">
        <v>1</v>
      </c>
      <c r="B143" s="66">
        <f>SUBTOTAL(103,$A$22:A143)</f>
        <v>121</v>
      </c>
      <c r="C143" s="24" t="s">
        <v>1144</v>
      </c>
      <c r="D143" s="31">
        <f t="shared" si="17"/>
        <v>121797.55</v>
      </c>
      <c r="E143" s="31">
        <v>0</v>
      </c>
      <c r="F143" s="31">
        <v>0</v>
      </c>
      <c r="G143" s="31">
        <v>0</v>
      </c>
      <c r="H143" s="31">
        <v>0</v>
      </c>
      <c r="I143" s="31">
        <v>121138.98</v>
      </c>
      <c r="J143" s="31">
        <v>0</v>
      </c>
      <c r="K143" s="74">
        <v>0</v>
      </c>
      <c r="L143" s="31">
        <v>0</v>
      </c>
      <c r="M143" s="31">
        <v>0</v>
      </c>
      <c r="N143" s="31">
        <v>0</v>
      </c>
      <c r="O143" s="31">
        <v>0</v>
      </c>
      <c r="P143" s="31">
        <v>0</v>
      </c>
      <c r="Q143" s="31">
        <v>0</v>
      </c>
      <c r="R143" s="31">
        <v>0</v>
      </c>
      <c r="S143" s="31">
        <v>0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9">
        <v>658.57</v>
      </c>
      <c r="AD143" s="31">
        <v>0</v>
      </c>
      <c r="AE143" s="31">
        <v>0</v>
      </c>
      <c r="AF143" s="34" t="s">
        <v>270</v>
      </c>
      <c r="AG143" s="34">
        <v>2020</v>
      </c>
      <c r="AH143" s="35">
        <v>2020</v>
      </c>
      <c r="BZ143" s="71"/>
      <c r="CD143" s="20" t="e">
        <f t="shared" si="19"/>
        <v>#N/A</v>
      </c>
      <c r="CE143" s="109" t="s">
        <v>217</v>
      </c>
      <c r="CF143" s="109">
        <v>1057.07</v>
      </c>
    </row>
    <row r="144" spans="1:84" ht="61.5" x14ac:dyDescent="0.85">
      <c r="A144" s="20">
        <v>1</v>
      </c>
      <c r="B144" s="66">
        <f>SUBTOTAL(103,$A$22:A144)</f>
        <v>122</v>
      </c>
      <c r="C144" s="24" t="s">
        <v>1145</v>
      </c>
      <c r="D144" s="31">
        <f t="shared" si="17"/>
        <v>949317.13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74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9">
        <v>435.9</v>
      </c>
      <c r="R144" s="179">
        <v>935287.81</v>
      </c>
      <c r="S144" s="31">
        <v>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f>ROUND(R144*1.5%,2)</f>
        <v>14029.32</v>
      </c>
      <c r="AD144" s="31">
        <v>0</v>
      </c>
      <c r="AE144" s="31">
        <v>0</v>
      </c>
      <c r="AF144" s="34" t="s">
        <v>270</v>
      </c>
      <c r="AG144" s="34">
        <v>2020</v>
      </c>
      <c r="AH144" s="35">
        <v>2020</v>
      </c>
      <c r="BZ144" s="71"/>
      <c r="CD144" s="20" t="e">
        <f t="shared" si="19"/>
        <v>#N/A</v>
      </c>
      <c r="CE144" s="109" t="s">
        <v>221</v>
      </c>
      <c r="CF144" s="109">
        <v>615.20000000000005</v>
      </c>
    </row>
    <row r="145" spans="1:84" ht="61.5" x14ac:dyDescent="0.85">
      <c r="A145" s="20">
        <v>1</v>
      </c>
      <c r="B145" s="66">
        <f>SUBTOTAL(103,$A$22:A145)</f>
        <v>123</v>
      </c>
      <c r="C145" s="24" t="s">
        <v>1146</v>
      </c>
      <c r="D145" s="31">
        <f t="shared" si="17"/>
        <v>294696.21999999997</v>
      </c>
      <c r="E145" s="31">
        <v>65413.4</v>
      </c>
      <c r="F145" s="31">
        <v>0</v>
      </c>
      <c r="G145" s="31">
        <v>0</v>
      </c>
      <c r="H145" s="31">
        <v>73602.460000000006</v>
      </c>
      <c r="I145" s="31">
        <v>151325.24</v>
      </c>
      <c r="J145" s="31">
        <v>0</v>
      </c>
      <c r="K145" s="74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f>ROUND((E145+F145+G145+H145+I145+J145)*1.5%,2)</f>
        <v>4355.12</v>
      </c>
      <c r="AD145" s="31">
        <v>0</v>
      </c>
      <c r="AE145" s="31">
        <v>0</v>
      </c>
      <c r="AF145" s="34" t="s">
        <v>270</v>
      </c>
      <c r="AG145" s="34">
        <v>2020</v>
      </c>
      <c r="AH145" s="35">
        <v>2020</v>
      </c>
      <c r="BZ145" s="71"/>
      <c r="CD145" s="20" t="e">
        <f t="shared" si="19"/>
        <v>#N/A</v>
      </c>
      <c r="CE145" s="109" t="s">
        <v>223</v>
      </c>
      <c r="CF145" s="109">
        <v>289.86</v>
      </c>
    </row>
    <row r="146" spans="1:84" ht="61.5" x14ac:dyDescent="0.85">
      <c r="A146" s="20">
        <v>1</v>
      </c>
      <c r="B146" s="66">
        <f>SUBTOTAL(103,$A$22:A146)</f>
        <v>124</v>
      </c>
      <c r="C146" s="24" t="s">
        <v>1147</v>
      </c>
      <c r="D146" s="31">
        <f t="shared" si="17"/>
        <v>1755092.12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74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0</v>
      </c>
      <c r="Q146" s="31">
        <v>802.93</v>
      </c>
      <c r="R146" s="30">
        <v>1745602.25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9">
        <v>9489.8700000000008</v>
      </c>
      <c r="AD146" s="31">
        <v>0</v>
      </c>
      <c r="AE146" s="31">
        <v>0</v>
      </c>
      <c r="AF146" s="34" t="s">
        <v>270</v>
      </c>
      <c r="AG146" s="34">
        <v>2020</v>
      </c>
      <c r="AH146" s="35">
        <v>2020</v>
      </c>
      <c r="BZ146" s="71"/>
      <c r="CD146" s="20" t="e">
        <f t="shared" si="19"/>
        <v>#N/A</v>
      </c>
      <c r="CE146" s="109" t="s">
        <v>516</v>
      </c>
      <c r="CF146" s="109">
        <v>952</v>
      </c>
    </row>
    <row r="147" spans="1:84" ht="61.5" x14ac:dyDescent="0.85">
      <c r="A147" s="20">
        <v>1</v>
      </c>
      <c r="B147" s="66">
        <f>SUBTOTAL(103,$A$22:A147)</f>
        <v>125</v>
      </c>
      <c r="C147" s="24" t="s">
        <v>1148</v>
      </c>
      <c r="D147" s="31">
        <f t="shared" si="17"/>
        <v>1184059.1499999999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74">
        <v>0</v>
      </c>
      <c r="L147" s="31">
        <v>0</v>
      </c>
      <c r="M147" s="31">
        <v>0</v>
      </c>
      <c r="N147" s="31">
        <v>0</v>
      </c>
      <c r="O147" s="31">
        <v>0</v>
      </c>
      <c r="P147" s="31">
        <v>0</v>
      </c>
      <c r="Q147" s="31">
        <v>573.12</v>
      </c>
      <c r="R147" s="30">
        <v>1177656.8799999999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179">
        <v>6402.27</v>
      </c>
      <c r="AD147" s="31">
        <v>0</v>
      </c>
      <c r="AE147" s="31">
        <v>0</v>
      </c>
      <c r="AF147" s="34" t="s">
        <v>270</v>
      </c>
      <c r="AG147" s="34">
        <v>2020</v>
      </c>
      <c r="AH147" s="35">
        <v>2020</v>
      </c>
      <c r="BZ147" s="71"/>
      <c r="CD147" s="20" t="e">
        <f t="shared" si="19"/>
        <v>#N/A</v>
      </c>
      <c r="CE147" s="109" t="s">
        <v>527</v>
      </c>
      <c r="CF147" s="109">
        <v>904</v>
      </c>
    </row>
    <row r="148" spans="1:84" ht="61.5" x14ac:dyDescent="0.85">
      <c r="A148" s="20">
        <v>1</v>
      </c>
      <c r="B148" s="66">
        <f>SUBTOTAL(103,$A$22:A148)</f>
        <v>126</v>
      </c>
      <c r="C148" s="24" t="s">
        <v>1150</v>
      </c>
      <c r="D148" s="31">
        <f t="shared" si="17"/>
        <v>5593558.4000000004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74">
        <v>4</v>
      </c>
      <c r="L148" s="31">
        <v>5593558.4000000004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0</v>
      </c>
      <c r="AF148" s="34" t="s">
        <v>270</v>
      </c>
      <c r="AG148" s="34">
        <v>2020</v>
      </c>
      <c r="AH148" s="35" t="s">
        <v>270</v>
      </c>
      <c r="BZ148" s="71"/>
      <c r="CD148" s="20" t="e">
        <f t="shared" si="19"/>
        <v>#N/A</v>
      </c>
      <c r="CE148" s="109" t="s">
        <v>631</v>
      </c>
      <c r="CF148" s="109">
        <v>586.70000000000005</v>
      </c>
    </row>
    <row r="149" spans="1:84" ht="61.5" x14ac:dyDescent="0.85">
      <c r="A149" s="20">
        <v>1</v>
      </c>
      <c r="B149" s="66">
        <f>SUBTOTAL(103,$A$22:A149)</f>
        <v>127</v>
      </c>
      <c r="C149" s="24" t="s">
        <v>1151</v>
      </c>
      <c r="D149" s="31">
        <f t="shared" si="17"/>
        <v>1062143.8500000001</v>
      </c>
      <c r="E149" s="30">
        <v>167591.53</v>
      </c>
      <c r="F149" s="31">
        <v>0</v>
      </c>
      <c r="G149" s="31">
        <v>0</v>
      </c>
      <c r="H149" s="30">
        <v>140858.07999999999</v>
      </c>
      <c r="I149" s="179">
        <v>737997.53</v>
      </c>
      <c r="J149" s="31">
        <v>0</v>
      </c>
      <c r="K149" s="74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f>ROUND((E149+F149+G149+H149+I149+J149)*1.5%,2)</f>
        <v>15696.71</v>
      </c>
      <c r="AD149" s="31">
        <v>0</v>
      </c>
      <c r="AE149" s="31">
        <v>0</v>
      </c>
      <c r="AF149" s="34" t="s">
        <v>270</v>
      </c>
      <c r="AG149" s="34">
        <v>2020</v>
      </c>
      <c r="AH149" s="35">
        <v>2020</v>
      </c>
      <c r="BZ149" s="71"/>
      <c r="CD149" s="20" t="e">
        <f t="shared" si="19"/>
        <v>#N/A</v>
      </c>
      <c r="CE149" s="109" t="s">
        <v>632</v>
      </c>
      <c r="CF149" s="109">
        <v>384.56</v>
      </c>
    </row>
    <row r="150" spans="1:84" ht="61.5" x14ac:dyDescent="0.85">
      <c r="A150" s="20">
        <v>1</v>
      </c>
      <c r="B150" s="66">
        <f>SUBTOTAL(103,$A$22:A150)</f>
        <v>128</v>
      </c>
      <c r="C150" s="24" t="s">
        <v>1152</v>
      </c>
      <c r="D150" s="31">
        <f t="shared" si="17"/>
        <v>1542936.46</v>
      </c>
      <c r="E150" s="31">
        <v>159966.85999999999</v>
      </c>
      <c r="F150" s="31">
        <v>287233.21999999997</v>
      </c>
      <c r="G150" s="31">
        <v>0</v>
      </c>
      <c r="H150" s="31">
        <v>144939.76999999999</v>
      </c>
      <c r="I150" s="39">
        <v>927994.59</v>
      </c>
      <c r="J150" s="31">
        <v>0</v>
      </c>
      <c r="K150" s="74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0</v>
      </c>
      <c r="T150" s="31">
        <v>0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f>ROUND((E150+F150+G150+H150+I150+J150)*1.5%,2)</f>
        <v>22802.02</v>
      </c>
      <c r="AD150" s="31">
        <v>0</v>
      </c>
      <c r="AE150" s="31">
        <v>0</v>
      </c>
      <c r="AF150" s="34" t="s">
        <v>270</v>
      </c>
      <c r="AG150" s="34">
        <v>2020</v>
      </c>
      <c r="AH150" s="35">
        <v>2020</v>
      </c>
      <c r="BZ150" s="71"/>
      <c r="CD150" s="20" t="e">
        <f t="shared" si="19"/>
        <v>#N/A</v>
      </c>
      <c r="CE150" s="109" t="s">
        <v>1288</v>
      </c>
      <c r="CF150" s="109">
        <v>500</v>
      </c>
    </row>
    <row r="151" spans="1:84" ht="61.5" x14ac:dyDescent="0.85">
      <c r="A151" s="20">
        <v>1</v>
      </c>
      <c r="B151" s="66">
        <f>SUBTOTAL(103,$A$22:A151)</f>
        <v>129</v>
      </c>
      <c r="C151" s="24" t="s">
        <v>1153</v>
      </c>
      <c r="D151" s="31">
        <f t="shared" si="17"/>
        <v>285579.52000000002</v>
      </c>
      <c r="E151" s="31">
        <v>0</v>
      </c>
      <c r="F151" s="31">
        <v>0</v>
      </c>
      <c r="G151" s="31">
        <v>0</v>
      </c>
      <c r="H151" s="30">
        <v>284035.38</v>
      </c>
      <c r="I151" s="31">
        <v>0</v>
      </c>
      <c r="J151" s="31">
        <v>0</v>
      </c>
      <c r="K151" s="74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179">
        <v>1544.14</v>
      </c>
      <c r="AD151" s="31">
        <v>0</v>
      </c>
      <c r="AE151" s="31">
        <v>0</v>
      </c>
      <c r="AF151" s="34" t="s">
        <v>270</v>
      </c>
      <c r="AG151" s="34">
        <v>2020</v>
      </c>
      <c r="AH151" s="35">
        <v>2020</v>
      </c>
      <c r="BZ151" s="71"/>
      <c r="CD151" s="20" t="e">
        <f t="shared" si="19"/>
        <v>#N/A</v>
      </c>
      <c r="CE151" s="109" t="s">
        <v>1114</v>
      </c>
      <c r="CF151" s="109">
        <v>946</v>
      </c>
    </row>
    <row r="152" spans="1:84" ht="61.5" x14ac:dyDescent="0.85">
      <c r="A152" s="20">
        <v>1</v>
      </c>
      <c r="B152" s="66">
        <f>SUBTOTAL(103,$A$22:A152)</f>
        <v>130</v>
      </c>
      <c r="C152" s="24" t="s">
        <v>1154</v>
      </c>
      <c r="D152" s="31">
        <f t="shared" si="17"/>
        <v>2415665.65</v>
      </c>
      <c r="E152" s="31">
        <v>0</v>
      </c>
      <c r="F152" s="31">
        <v>0</v>
      </c>
      <c r="G152" s="31">
        <v>0</v>
      </c>
      <c r="H152" s="31">
        <v>0</v>
      </c>
      <c r="I152" s="31">
        <v>0</v>
      </c>
      <c r="J152" s="31">
        <v>0</v>
      </c>
      <c r="K152" s="74">
        <v>0</v>
      </c>
      <c r="L152" s="31">
        <v>0</v>
      </c>
      <c r="M152" s="31">
        <v>619</v>
      </c>
      <c r="N152" s="31">
        <v>2350957</v>
      </c>
      <c r="O152" s="31">
        <v>0</v>
      </c>
      <c r="P152" s="31">
        <v>0</v>
      </c>
      <c r="Q152" s="31">
        <v>0</v>
      </c>
      <c r="R152" s="31">
        <v>0</v>
      </c>
      <c r="S152" s="31">
        <v>0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9">
        <v>12780.85</v>
      </c>
      <c r="AD152" s="31">
        <v>51927.8</v>
      </c>
      <c r="AE152" s="31">
        <v>0</v>
      </c>
      <c r="AF152" s="34">
        <v>2020</v>
      </c>
      <c r="AG152" s="34">
        <v>2020</v>
      </c>
      <c r="AH152" s="35">
        <v>2020</v>
      </c>
      <c r="BZ152" s="71"/>
      <c r="CD152" s="20">
        <f t="shared" si="19"/>
        <v>633.34</v>
      </c>
      <c r="CE152" s="109" t="s">
        <v>1115</v>
      </c>
      <c r="CF152" s="109">
        <v>365.5</v>
      </c>
    </row>
    <row r="153" spans="1:84" ht="61.5" x14ac:dyDescent="0.85">
      <c r="A153" s="20">
        <v>1</v>
      </c>
      <c r="B153" s="66">
        <f>SUBTOTAL(103,$A$22:A153)</f>
        <v>131</v>
      </c>
      <c r="C153" s="24" t="s">
        <v>1290</v>
      </c>
      <c r="D153" s="31">
        <f t="shared" si="17"/>
        <v>5623327.0800000001</v>
      </c>
      <c r="E153" s="31">
        <v>0</v>
      </c>
      <c r="F153" s="31">
        <v>0</v>
      </c>
      <c r="G153" s="31">
        <v>0</v>
      </c>
      <c r="H153" s="31">
        <v>0</v>
      </c>
      <c r="I153" s="31">
        <v>0</v>
      </c>
      <c r="J153" s="31">
        <v>0</v>
      </c>
      <c r="K153" s="74">
        <v>0</v>
      </c>
      <c r="L153" s="31">
        <v>0</v>
      </c>
      <c r="M153" s="31">
        <v>1496.78</v>
      </c>
      <c r="N153" s="31">
        <v>5587289.0700000003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9">
        <v>36038.01</v>
      </c>
      <c r="AD153" s="31">
        <v>0</v>
      </c>
      <c r="AE153" s="31">
        <v>0</v>
      </c>
      <c r="AF153" s="34" t="s">
        <v>270</v>
      </c>
      <c r="AG153" s="34">
        <v>2020</v>
      </c>
      <c r="AH153" s="35">
        <v>2020</v>
      </c>
      <c r="BZ153" s="71"/>
      <c r="CD153" s="20">
        <f t="shared" si="19"/>
        <v>1674.7</v>
      </c>
      <c r="CE153" s="109" t="s">
        <v>1116</v>
      </c>
      <c r="CF153" s="109">
        <v>365.5</v>
      </c>
    </row>
    <row r="154" spans="1:84" ht="61.5" x14ac:dyDescent="0.85">
      <c r="A154" s="20">
        <v>1</v>
      </c>
      <c r="B154" s="66">
        <f>SUBTOTAL(103,$A$22:A154)</f>
        <v>132</v>
      </c>
      <c r="C154" s="24" t="s">
        <v>464</v>
      </c>
      <c r="D154" s="31">
        <f t="shared" si="17"/>
        <v>52567.68</v>
      </c>
      <c r="E154" s="31">
        <v>0</v>
      </c>
      <c r="F154" s="31">
        <v>0</v>
      </c>
      <c r="G154" s="31">
        <v>0</v>
      </c>
      <c r="H154" s="31">
        <v>0</v>
      </c>
      <c r="I154" s="31">
        <v>0</v>
      </c>
      <c r="J154" s="31">
        <v>0</v>
      </c>
      <c r="K154" s="74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0</v>
      </c>
      <c r="Q154" s="31">
        <v>0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f>ROUND(N154*1.5%,2)</f>
        <v>0</v>
      </c>
      <c r="AD154" s="31">
        <v>52567.68</v>
      </c>
      <c r="AE154" s="31">
        <v>0</v>
      </c>
      <c r="AF154" s="34">
        <v>2020</v>
      </c>
      <c r="AG154" s="34" t="s">
        <v>270</v>
      </c>
      <c r="AH154" s="34" t="s">
        <v>270</v>
      </c>
      <c r="BZ154" s="71"/>
      <c r="CD154" s="20" t="e">
        <f t="shared" si="19"/>
        <v>#N/A</v>
      </c>
      <c r="CE154" s="109" t="s">
        <v>444</v>
      </c>
      <c r="CF154" s="109">
        <v>598</v>
      </c>
    </row>
    <row r="155" spans="1:84" ht="61.5" x14ac:dyDescent="0.85">
      <c r="A155" s="20">
        <v>1</v>
      </c>
      <c r="B155" s="66">
        <f>SUBTOTAL(103,$A$22:A155)</f>
        <v>133</v>
      </c>
      <c r="C155" s="24" t="s">
        <v>1291</v>
      </c>
      <c r="D155" s="31">
        <f t="shared" si="17"/>
        <v>61131.360000000001</v>
      </c>
      <c r="E155" s="31">
        <v>0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74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f>ROUND(R155*1.5%,2)</f>
        <v>0</v>
      </c>
      <c r="AD155" s="31">
        <v>61131.360000000001</v>
      </c>
      <c r="AE155" s="31">
        <v>0</v>
      </c>
      <c r="AF155" s="34">
        <v>2020</v>
      </c>
      <c r="AG155" s="34" t="s">
        <v>270</v>
      </c>
      <c r="AH155" s="34" t="s">
        <v>270</v>
      </c>
      <c r="BZ155" s="71"/>
      <c r="CD155" s="20" t="e">
        <f t="shared" si="19"/>
        <v>#N/A</v>
      </c>
      <c r="CE155" s="109" t="s">
        <v>628</v>
      </c>
      <c r="CF155" s="109">
        <v>486.27</v>
      </c>
    </row>
    <row r="156" spans="1:84" ht="61.5" x14ac:dyDescent="0.85">
      <c r="A156" s="20">
        <v>1</v>
      </c>
      <c r="B156" s="66">
        <f>SUBTOTAL(103,$A$22:A156)</f>
        <v>134</v>
      </c>
      <c r="C156" s="24" t="s">
        <v>1567</v>
      </c>
      <c r="D156" s="31">
        <f t="shared" si="17"/>
        <v>126394.06</v>
      </c>
      <c r="E156" s="31">
        <v>0</v>
      </c>
      <c r="F156" s="31">
        <v>0</v>
      </c>
      <c r="G156" s="31">
        <v>0</v>
      </c>
      <c r="H156" s="31">
        <v>0</v>
      </c>
      <c r="I156" s="31">
        <v>0</v>
      </c>
      <c r="J156" s="31">
        <v>0</v>
      </c>
      <c r="K156" s="74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0</v>
      </c>
      <c r="Q156" s="31">
        <v>0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f>ROUND(R156*1.5%,2)</f>
        <v>0</v>
      </c>
      <c r="AD156" s="31">
        <f>120000+6394.06</f>
        <v>126394.06</v>
      </c>
      <c r="AE156" s="31">
        <v>0</v>
      </c>
      <c r="AF156" s="34">
        <v>2020</v>
      </c>
      <c r="AG156" s="34" t="s">
        <v>270</v>
      </c>
      <c r="AH156" s="34" t="s">
        <v>270</v>
      </c>
      <c r="BZ156" s="71"/>
      <c r="CD156" s="20" t="e">
        <f t="shared" si="19"/>
        <v>#N/A</v>
      </c>
      <c r="CE156" s="109" t="s">
        <v>116</v>
      </c>
      <c r="CF156" s="109">
        <v>1151</v>
      </c>
    </row>
    <row r="157" spans="1:84" ht="61.5" x14ac:dyDescent="0.85">
      <c r="B157" s="24" t="s">
        <v>763</v>
      </c>
      <c r="C157" s="108"/>
      <c r="D157" s="195">
        <f t="shared" ref="D157:AE157" si="20">SUM(D158:D202)</f>
        <v>115734825.99000001</v>
      </c>
      <c r="E157" s="31">
        <f t="shared" si="20"/>
        <v>358075</v>
      </c>
      <c r="F157" s="31">
        <f t="shared" si="20"/>
        <v>609470</v>
      </c>
      <c r="G157" s="31">
        <f t="shared" si="20"/>
        <v>10937113.330000002</v>
      </c>
      <c r="H157" s="31">
        <f t="shared" si="20"/>
        <v>118902</v>
      </c>
      <c r="I157" s="31">
        <f t="shared" si="20"/>
        <v>228228</v>
      </c>
      <c r="J157" s="31">
        <f t="shared" si="20"/>
        <v>0</v>
      </c>
      <c r="K157" s="33">
        <f t="shared" si="20"/>
        <v>17</v>
      </c>
      <c r="L157" s="31">
        <f t="shared" si="20"/>
        <v>27184194.339999996</v>
      </c>
      <c r="M157" s="31">
        <f t="shared" si="20"/>
        <v>16658.260000000002</v>
      </c>
      <c r="N157" s="31">
        <f t="shared" si="20"/>
        <v>69631090.189999998</v>
      </c>
      <c r="O157" s="31">
        <f t="shared" si="20"/>
        <v>725.5</v>
      </c>
      <c r="P157" s="31">
        <f t="shared" si="20"/>
        <v>2835629.57</v>
      </c>
      <c r="Q157" s="31">
        <f t="shared" si="20"/>
        <v>0</v>
      </c>
      <c r="R157" s="31">
        <f t="shared" si="20"/>
        <v>0</v>
      </c>
      <c r="S157" s="31">
        <f t="shared" si="20"/>
        <v>19.07</v>
      </c>
      <c r="T157" s="31">
        <f t="shared" si="20"/>
        <v>210458.31</v>
      </c>
      <c r="U157" s="31">
        <f t="shared" si="20"/>
        <v>0</v>
      </c>
      <c r="V157" s="31">
        <f t="shared" si="20"/>
        <v>0</v>
      </c>
      <c r="W157" s="31">
        <f t="shared" si="20"/>
        <v>0</v>
      </c>
      <c r="X157" s="31">
        <f t="shared" si="20"/>
        <v>0</v>
      </c>
      <c r="Y157" s="31">
        <f t="shared" si="20"/>
        <v>0</v>
      </c>
      <c r="Z157" s="31">
        <f t="shared" si="20"/>
        <v>0</v>
      </c>
      <c r="AA157" s="31">
        <f t="shared" si="20"/>
        <v>0</v>
      </c>
      <c r="AB157" s="31">
        <f t="shared" si="20"/>
        <v>0</v>
      </c>
      <c r="AC157" s="31">
        <f t="shared" si="20"/>
        <v>678662.15</v>
      </c>
      <c r="AD157" s="31">
        <f t="shared" si="20"/>
        <v>2943003.0999999992</v>
      </c>
      <c r="AE157" s="31">
        <f t="shared" si="20"/>
        <v>0</v>
      </c>
      <c r="AF157" s="72" t="s">
        <v>757</v>
      </c>
      <c r="AG157" s="72" t="s">
        <v>757</v>
      </c>
      <c r="AH157" s="87" t="s">
        <v>757</v>
      </c>
      <c r="AT157" s="20" t="e">
        <f t="shared" ref="AT157:AT173" si="21">VLOOKUP(C157,AW:AX,2,FALSE)</f>
        <v>#N/A</v>
      </c>
      <c r="BZ157" s="31">
        <v>157621357.26999998</v>
      </c>
      <c r="CA157" s="31"/>
      <c r="CB157" s="31">
        <f>BZ157-D157</f>
        <v>41886531.279999971</v>
      </c>
      <c r="CD157" s="20" t="e">
        <f t="shared" si="19"/>
        <v>#N/A</v>
      </c>
      <c r="CE157" s="109" t="s">
        <v>168</v>
      </c>
      <c r="CF157" s="109">
        <v>336.14</v>
      </c>
    </row>
    <row r="158" spans="1:84" ht="61.5" x14ac:dyDescent="0.85">
      <c r="A158" s="20">
        <v>1</v>
      </c>
      <c r="B158" s="66">
        <f>SUBTOTAL(103,$A$22:A158)</f>
        <v>135</v>
      </c>
      <c r="C158" s="24" t="s">
        <v>388</v>
      </c>
      <c r="D158" s="31">
        <f t="shared" ref="D158:D193" si="22">E158+F158+G158+H158+I158+J158+L158+N158+P158+R158+T158+U158+V158+W158+X158+Y158+Z158+AA158+AB158+AC158+AD158+AE158</f>
        <v>2649277.08</v>
      </c>
      <c r="E158" s="31">
        <v>0</v>
      </c>
      <c r="F158" s="31">
        <v>0</v>
      </c>
      <c r="G158" s="31">
        <v>0</v>
      </c>
      <c r="H158" s="31">
        <v>0</v>
      </c>
      <c r="I158" s="31">
        <v>0</v>
      </c>
      <c r="J158" s="31">
        <v>0</v>
      </c>
      <c r="K158" s="33">
        <v>0</v>
      </c>
      <c r="L158" s="31">
        <v>0</v>
      </c>
      <c r="M158" s="31">
        <v>1108.98</v>
      </c>
      <c r="N158" s="31">
        <v>2492694.84</v>
      </c>
      <c r="O158" s="31">
        <v>0</v>
      </c>
      <c r="P158" s="31">
        <v>0</v>
      </c>
      <c r="Q158" s="31">
        <v>0</v>
      </c>
      <c r="R158" s="31">
        <v>0</v>
      </c>
      <c r="S158" s="31">
        <v>0</v>
      </c>
      <c r="T158" s="31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9">
        <v>156582.24</v>
      </c>
      <c r="AE158" s="31">
        <v>0</v>
      </c>
      <c r="AF158" s="34">
        <v>2020</v>
      </c>
      <c r="AG158" s="34">
        <v>2020</v>
      </c>
      <c r="AH158" s="35" t="s">
        <v>270</v>
      </c>
      <c r="AT158" s="20" t="e">
        <f t="shared" si="21"/>
        <v>#N/A</v>
      </c>
      <c r="BZ158" s="71"/>
      <c r="CD158" s="20">
        <f t="shared" si="19"/>
        <v>1108.98</v>
      </c>
      <c r="CE158" s="109" t="s">
        <v>1243</v>
      </c>
      <c r="CF158" s="109">
        <v>335</v>
      </c>
    </row>
    <row r="159" spans="1:84" ht="61.5" x14ac:dyDescent="0.85">
      <c r="A159" s="20">
        <v>1</v>
      </c>
      <c r="B159" s="66">
        <f>SUBTOTAL(103,$A$22:A159)</f>
        <v>136</v>
      </c>
      <c r="C159" s="24" t="s">
        <v>389</v>
      </c>
      <c r="D159" s="31">
        <f t="shared" si="22"/>
        <v>2599693.37</v>
      </c>
      <c r="E159" s="31">
        <v>358075</v>
      </c>
      <c r="F159" s="31">
        <v>609470</v>
      </c>
      <c r="G159" s="31">
        <v>1447301</v>
      </c>
      <c r="H159" s="31">
        <v>0</v>
      </c>
      <c r="I159" s="31">
        <v>0</v>
      </c>
      <c r="J159" s="31">
        <v>0</v>
      </c>
      <c r="K159" s="33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9">
        <v>11410.15</v>
      </c>
      <c r="AD159" s="39">
        <v>173437.22</v>
      </c>
      <c r="AE159" s="31">
        <v>0</v>
      </c>
      <c r="AF159" s="34">
        <v>2020</v>
      </c>
      <c r="AG159" s="34">
        <v>2020</v>
      </c>
      <c r="AH159" s="35">
        <v>2020</v>
      </c>
      <c r="AT159" s="20" t="e">
        <f t="shared" si="21"/>
        <v>#N/A</v>
      </c>
      <c r="BZ159" s="71"/>
      <c r="CD159" s="20" t="e">
        <f t="shared" si="19"/>
        <v>#N/A</v>
      </c>
      <c r="CE159" s="109" t="s">
        <v>1249</v>
      </c>
      <c r="CF159" s="109">
        <v>678.5</v>
      </c>
    </row>
    <row r="160" spans="1:84" ht="61.5" x14ac:dyDescent="0.85">
      <c r="A160" s="20">
        <v>1</v>
      </c>
      <c r="B160" s="66">
        <f>SUBTOTAL(103,$A$22:A160)</f>
        <v>137</v>
      </c>
      <c r="C160" s="24" t="s">
        <v>390</v>
      </c>
      <c r="D160" s="31">
        <f t="shared" si="22"/>
        <v>3188621.1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3">
        <v>0</v>
      </c>
      <c r="L160" s="31">
        <v>0</v>
      </c>
      <c r="M160" s="39">
        <v>600</v>
      </c>
      <c r="N160" s="39">
        <v>3110660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9">
        <v>77961.100000000006</v>
      </c>
      <c r="AE160" s="31">
        <v>0</v>
      </c>
      <c r="AF160" s="34">
        <v>2020</v>
      </c>
      <c r="AG160" s="34">
        <v>2020</v>
      </c>
      <c r="AH160" s="35" t="s">
        <v>270</v>
      </c>
      <c r="AT160" s="20" t="e">
        <f t="shared" si="21"/>
        <v>#N/A</v>
      </c>
      <c r="BZ160" s="71"/>
      <c r="CD160" s="20">
        <f t="shared" si="19"/>
        <v>600</v>
      </c>
      <c r="CE160" s="109" t="s">
        <v>1122</v>
      </c>
      <c r="CF160" s="109">
        <v>453.4</v>
      </c>
    </row>
    <row r="161" spans="1:84" ht="61.5" x14ac:dyDescent="0.85">
      <c r="A161" s="20">
        <v>1</v>
      </c>
      <c r="B161" s="66">
        <f>SUBTOTAL(103,$A$22:A161)</f>
        <v>138</v>
      </c>
      <c r="C161" s="24" t="s">
        <v>391</v>
      </c>
      <c r="D161" s="31">
        <f t="shared" si="22"/>
        <v>5265781.6800000006</v>
      </c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3">
        <v>0</v>
      </c>
      <c r="L161" s="31">
        <v>0</v>
      </c>
      <c r="M161" s="39">
        <v>1093</v>
      </c>
      <c r="N161" s="179">
        <v>5109413.2</v>
      </c>
      <c r="O161" s="31">
        <v>0</v>
      </c>
      <c r="P161" s="31">
        <v>0</v>
      </c>
      <c r="Q161" s="31">
        <v>0</v>
      </c>
      <c r="R161" s="31">
        <v>0</v>
      </c>
      <c r="S161" s="31">
        <v>0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179">
        <v>24141.98</v>
      </c>
      <c r="AD161" s="39">
        <v>132226.5</v>
      </c>
      <c r="AE161" s="31">
        <v>0</v>
      </c>
      <c r="AF161" s="34">
        <v>2020</v>
      </c>
      <c r="AG161" s="34">
        <v>2020</v>
      </c>
      <c r="AH161" s="35">
        <v>2020</v>
      </c>
      <c r="AT161" s="20" t="e">
        <f t="shared" si="21"/>
        <v>#N/A</v>
      </c>
      <c r="BZ161" s="71"/>
      <c r="CD161" s="20" t="e">
        <f t="shared" si="19"/>
        <v>#N/A</v>
      </c>
      <c r="CE161" s="109" t="s">
        <v>1257</v>
      </c>
      <c r="CF161" s="109">
        <v>511.8</v>
      </c>
    </row>
    <row r="162" spans="1:84" ht="61.5" x14ac:dyDescent="0.85">
      <c r="A162" s="20">
        <v>1</v>
      </c>
      <c r="B162" s="66">
        <f>SUBTOTAL(103,$A$22:A162)</f>
        <v>139</v>
      </c>
      <c r="C162" s="24" t="s">
        <v>392</v>
      </c>
      <c r="D162" s="31">
        <f t="shared" si="22"/>
        <v>5393074.9299999997</v>
      </c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3">
        <v>0</v>
      </c>
      <c r="L162" s="31">
        <v>0</v>
      </c>
      <c r="M162" s="39">
        <v>1092.54</v>
      </c>
      <c r="N162" s="179">
        <v>5234761</v>
      </c>
      <c r="O162" s="31">
        <v>0</v>
      </c>
      <c r="P162" s="31">
        <v>0</v>
      </c>
      <c r="Q162" s="31">
        <v>0</v>
      </c>
      <c r="R162" s="31">
        <v>0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179">
        <v>24734.25</v>
      </c>
      <c r="AD162" s="39">
        <v>133579.68</v>
      </c>
      <c r="AE162" s="31">
        <v>0</v>
      </c>
      <c r="AF162" s="34">
        <v>2020</v>
      </c>
      <c r="AG162" s="34">
        <v>2020</v>
      </c>
      <c r="AH162" s="35">
        <v>2020</v>
      </c>
      <c r="AT162" s="20" t="e">
        <f t="shared" si="21"/>
        <v>#N/A</v>
      </c>
      <c r="BZ162" s="71"/>
      <c r="CD162" s="20" t="e">
        <f t="shared" si="19"/>
        <v>#N/A</v>
      </c>
      <c r="CE162" s="109" t="s">
        <v>1132</v>
      </c>
      <c r="CF162" s="109">
        <v>556.6</v>
      </c>
    </row>
    <row r="163" spans="1:84" ht="61.5" x14ac:dyDescent="0.85">
      <c r="A163" s="20">
        <v>1</v>
      </c>
      <c r="B163" s="66">
        <f>SUBTOTAL(103,$A$22:A163)</f>
        <v>140</v>
      </c>
      <c r="C163" s="24" t="s">
        <v>393</v>
      </c>
      <c r="D163" s="31">
        <f t="shared" si="22"/>
        <v>4873547.67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74">
        <v>3</v>
      </c>
      <c r="L163" s="31">
        <v>4873547.67</v>
      </c>
      <c r="M163" s="31">
        <v>0</v>
      </c>
      <c r="N163" s="31">
        <v>0</v>
      </c>
      <c r="O163" s="31">
        <v>0</v>
      </c>
      <c r="P163" s="31">
        <v>0</v>
      </c>
      <c r="Q163" s="31">
        <v>0</v>
      </c>
      <c r="R163" s="31">
        <v>0</v>
      </c>
      <c r="S163" s="31">
        <v>0</v>
      </c>
      <c r="T163" s="31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0</v>
      </c>
      <c r="AF163" s="34" t="s">
        <v>270</v>
      </c>
      <c r="AG163" s="34">
        <v>2020</v>
      </c>
      <c r="AH163" s="35" t="s">
        <v>270</v>
      </c>
      <c r="AT163" s="20">
        <f t="shared" si="21"/>
        <v>1</v>
      </c>
      <c r="BZ163" s="71"/>
      <c r="CD163" s="20" t="e">
        <f t="shared" si="19"/>
        <v>#N/A</v>
      </c>
      <c r="CE163" s="109" t="s">
        <v>1555</v>
      </c>
      <c r="CF163" s="109">
        <v>466.12</v>
      </c>
    </row>
    <row r="164" spans="1:84" ht="61.5" x14ac:dyDescent="0.85">
      <c r="A164" s="20">
        <v>1</v>
      </c>
      <c r="B164" s="66">
        <f>SUBTOTAL(103,$A$22:A164)</f>
        <v>141</v>
      </c>
      <c r="C164" s="24" t="s">
        <v>394</v>
      </c>
      <c r="D164" s="31">
        <f t="shared" si="22"/>
        <v>2215482.85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3">
        <v>0</v>
      </c>
      <c r="L164" s="31">
        <v>0</v>
      </c>
      <c r="M164" s="31">
        <v>443.8</v>
      </c>
      <c r="N164" s="31">
        <v>2215482.85</v>
      </c>
      <c r="O164" s="31">
        <v>0</v>
      </c>
      <c r="P164" s="31">
        <v>0</v>
      </c>
      <c r="Q164" s="31">
        <v>0</v>
      </c>
      <c r="R164" s="31">
        <v>0</v>
      </c>
      <c r="S164" s="31">
        <v>0</v>
      </c>
      <c r="T164" s="31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0</v>
      </c>
      <c r="AF164" s="34" t="s">
        <v>270</v>
      </c>
      <c r="AG164" s="34">
        <v>2020</v>
      </c>
      <c r="AH164" s="35" t="s">
        <v>270</v>
      </c>
      <c r="AT164" s="20" t="e">
        <f t="shared" si="21"/>
        <v>#N/A</v>
      </c>
      <c r="BZ164" s="71"/>
      <c r="CD164" s="20">
        <f t="shared" si="19"/>
        <v>443.8</v>
      </c>
      <c r="CE164" s="109" t="s">
        <v>1551</v>
      </c>
      <c r="CF164" s="109">
        <v>859</v>
      </c>
    </row>
    <row r="165" spans="1:84" ht="61.5" x14ac:dyDescent="0.85">
      <c r="A165" s="20">
        <v>1</v>
      </c>
      <c r="B165" s="66">
        <f>SUBTOTAL(103,$A$22:A165)</f>
        <v>142</v>
      </c>
      <c r="C165" s="24" t="s">
        <v>395</v>
      </c>
      <c r="D165" s="31">
        <f t="shared" si="22"/>
        <v>4885396.4400000004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74">
        <v>3</v>
      </c>
      <c r="L165" s="31">
        <v>4885396.4400000004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0</v>
      </c>
      <c r="AF165" s="34" t="s">
        <v>270</v>
      </c>
      <c r="AG165" s="34">
        <v>2020</v>
      </c>
      <c r="AH165" s="35" t="s">
        <v>270</v>
      </c>
      <c r="AT165" s="20" t="e">
        <f t="shared" si="21"/>
        <v>#N/A</v>
      </c>
      <c r="BZ165" s="71"/>
      <c r="CD165" s="20" t="e">
        <f t="shared" si="19"/>
        <v>#N/A</v>
      </c>
      <c r="CE165" s="109" t="s">
        <v>1550</v>
      </c>
      <c r="CF165" s="109">
        <v>1028.5</v>
      </c>
    </row>
    <row r="166" spans="1:84" ht="61.5" x14ac:dyDescent="0.85">
      <c r="A166" s="20">
        <v>1</v>
      </c>
      <c r="B166" s="66">
        <f>SUBTOTAL(103,$A$22:A166)</f>
        <v>143</v>
      </c>
      <c r="C166" s="24" t="s">
        <v>396</v>
      </c>
      <c r="D166" s="31">
        <f t="shared" si="22"/>
        <v>7884254.25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3">
        <v>0</v>
      </c>
      <c r="L166" s="31">
        <v>0</v>
      </c>
      <c r="M166" s="67">
        <v>1503.05</v>
      </c>
      <c r="N166" s="67">
        <v>7687845</v>
      </c>
      <c r="O166" s="31">
        <v>0</v>
      </c>
      <c r="P166" s="31">
        <v>0</v>
      </c>
      <c r="Q166" s="31">
        <v>0</v>
      </c>
      <c r="R166" s="31">
        <v>0</v>
      </c>
      <c r="S166" s="31">
        <v>0</v>
      </c>
      <c r="T166" s="31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9">
        <v>36325.07</v>
      </c>
      <c r="AD166" s="39">
        <v>160084.18</v>
      </c>
      <c r="AE166" s="31">
        <v>0</v>
      </c>
      <c r="AF166" s="34">
        <v>2020</v>
      </c>
      <c r="AG166" s="34">
        <v>2020</v>
      </c>
      <c r="AH166" s="35">
        <v>2020</v>
      </c>
      <c r="AT166" s="20" t="e">
        <f t="shared" si="21"/>
        <v>#N/A</v>
      </c>
      <c r="BZ166" s="71"/>
      <c r="CD166" s="20" t="e">
        <f t="shared" si="19"/>
        <v>#N/A</v>
      </c>
      <c r="CE166" s="109" t="s">
        <v>388</v>
      </c>
      <c r="CF166" s="109">
        <v>1108.98</v>
      </c>
    </row>
    <row r="167" spans="1:84" ht="61.5" x14ac:dyDescent="0.85">
      <c r="A167" s="20">
        <v>1</v>
      </c>
      <c r="B167" s="66">
        <f>SUBTOTAL(103,$A$22:A167)</f>
        <v>144</v>
      </c>
      <c r="C167" s="24" t="s">
        <v>397</v>
      </c>
      <c r="D167" s="31">
        <f t="shared" si="22"/>
        <v>2908813.4299999997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31">
        <v>0</v>
      </c>
      <c r="K167" s="33">
        <v>0</v>
      </c>
      <c r="L167" s="31">
        <v>0</v>
      </c>
      <c r="M167" s="67">
        <v>935.22</v>
      </c>
      <c r="N167" s="243">
        <v>2738778.69</v>
      </c>
      <c r="O167" s="31">
        <v>0</v>
      </c>
      <c r="P167" s="31">
        <v>0</v>
      </c>
      <c r="Q167" s="31">
        <v>0</v>
      </c>
      <c r="R167" s="31">
        <v>0</v>
      </c>
      <c r="S167" s="31">
        <v>0</v>
      </c>
      <c r="T167" s="31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9">
        <v>12940.73</v>
      </c>
      <c r="AD167" s="39">
        <v>157094.01</v>
      </c>
      <c r="AE167" s="31">
        <v>0</v>
      </c>
      <c r="AF167" s="34">
        <v>2020</v>
      </c>
      <c r="AG167" s="34">
        <v>2020</v>
      </c>
      <c r="AH167" s="35">
        <v>2020</v>
      </c>
      <c r="AT167" s="20" t="e">
        <f t="shared" si="21"/>
        <v>#N/A</v>
      </c>
      <c r="BZ167" s="71"/>
      <c r="CD167" s="20" t="e">
        <f t="shared" si="19"/>
        <v>#N/A</v>
      </c>
      <c r="CE167" s="109" t="s">
        <v>390</v>
      </c>
      <c r="CF167" s="109">
        <v>600</v>
      </c>
    </row>
    <row r="168" spans="1:84" ht="61.5" x14ac:dyDescent="0.85">
      <c r="A168" s="20">
        <v>1</v>
      </c>
      <c r="B168" s="66">
        <f>SUBTOTAL(103,$A$22:A168)</f>
        <v>145</v>
      </c>
      <c r="C168" s="24" t="s">
        <v>398</v>
      </c>
      <c r="D168" s="31">
        <f t="shared" si="22"/>
        <v>2189551</v>
      </c>
      <c r="E168" s="31">
        <v>0</v>
      </c>
      <c r="F168" s="31">
        <v>0</v>
      </c>
      <c r="G168" s="31">
        <v>0</v>
      </c>
      <c r="H168" s="31">
        <v>0</v>
      </c>
      <c r="I168" s="31">
        <v>0</v>
      </c>
      <c r="J168" s="31">
        <v>0</v>
      </c>
      <c r="K168" s="33">
        <v>0</v>
      </c>
      <c r="L168" s="31">
        <v>0</v>
      </c>
      <c r="M168" s="67">
        <v>473</v>
      </c>
      <c r="N168" s="67">
        <v>2189551</v>
      </c>
      <c r="O168" s="31">
        <v>0</v>
      </c>
      <c r="P168" s="31">
        <v>0</v>
      </c>
      <c r="Q168" s="31">
        <v>0</v>
      </c>
      <c r="R168" s="31">
        <v>0</v>
      </c>
      <c r="S168" s="31">
        <v>0</v>
      </c>
      <c r="T168" s="31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0</v>
      </c>
      <c r="AF168" s="34" t="s">
        <v>270</v>
      </c>
      <c r="AG168" s="34">
        <v>2020</v>
      </c>
      <c r="AH168" s="35" t="s">
        <v>270</v>
      </c>
      <c r="AT168" s="20" t="e">
        <f t="shared" si="21"/>
        <v>#N/A</v>
      </c>
      <c r="BZ168" s="71"/>
      <c r="CD168" s="20">
        <f t="shared" si="19"/>
        <v>473</v>
      </c>
      <c r="CE168" s="109" t="s">
        <v>394</v>
      </c>
      <c r="CF168" s="109">
        <v>443.8</v>
      </c>
    </row>
    <row r="169" spans="1:84" ht="61.5" x14ac:dyDescent="0.85">
      <c r="A169" s="20">
        <v>1</v>
      </c>
      <c r="B169" s="66">
        <f>SUBTOTAL(103,$A$22:A169)</f>
        <v>146</v>
      </c>
      <c r="C169" s="24" t="s">
        <v>399</v>
      </c>
      <c r="D169" s="31">
        <f t="shared" si="22"/>
        <v>2855710.47</v>
      </c>
      <c r="E169" s="31">
        <v>0</v>
      </c>
      <c r="F169" s="31">
        <v>0</v>
      </c>
      <c r="G169" s="31">
        <v>0</v>
      </c>
      <c r="H169" s="31">
        <v>0</v>
      </c>
      <c r="I169" s="31">
        <v>0</v>
      </c>
      <c r="J169" s="31">
        <v>0</v>
      </c>
      <c r="K169" s="33">
        <v>0</v>
      </c>
      <c r="L169" s="31">
        <v>0</v>
      </c>
      <c r="M169" s="67">
        <v>550</v>
      </c>
      <c r="N169" s="67">
        <v>2777462</v>
      </c>
      <c r="O169" s="31">
        <v>0</v>
      </c>
      <c r="P169" s="31">
        <v>0</v>
      </c>
      <c r="Q169" s="31">
        <v>0</v>
      </c>
      <c r="R169" s="31">
        <v>0</v>
      </c>
      <c r="S169" s="31">
        <v>0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9">
        <v>78248.47</v>
      </c>
      <c r="AE169" s="31">
        <v>0</v>
      </c>
      <c r="AF169" s="34">
        <v>2020</v>
      </c>
      <c r="AG169" s="34">
        <v>2020</v>
      </c>
      <c r="AH169" s="35" t="s">
        <v>270</v>
      </c>
      <c r="AT169" s="20" t="e">
        <f t="shared" si="21"/>
        <v>#N/A</v>
      </c>
      <c r="BZ169" s="71"/>
      <c r="CD169" s="20">
        <f t="shared" ref="CD169:CD196" si="23">VLOOKUP(C169,CE:CF,2,FALSE)</f>
        <v>550</v>
      </c>
      <c r="CE169" s="109" t="s">
        <v>398</v>
      </c>
      <c r="CF169" s="109">
        <v>473</v>
      </c>
    </row>
    <row r="170" spans="1:84" ht="61.5" x14ac:dyDescent="0.85">
      <c r="A170" s="20">
        <v>1</v>
      </c>
      <c r="B170" s="66">
        <f>SUBTOTAL(103,$A$22:A170)</f>
        <v>147</v>
      </c>
      <c r="C170" s="24" t="s">
        <v>400</v>
      </c>
      <c r="D170" s="31">
        <f t="shared" si="22"/>
        <v>3985297.65</v>
      </c>
      <c r="E170" s="31">
        <v>0</v>
      </c>
      <c r="F170" s="31">
        <v>0</v>
      </c>
      <c r="G170" s="39">
        <v>3842425</v>
      </c>
      <c r="H170" s="31">
        <v>0</v>
      </c>
      <c r="I170" s="31">
        <v>0</v>
      </c>
      <c r="J170" s="31">
        <v>0</v>
      </c>
      <c r="K170" s="33">
        <v>0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0</v>
      </c>
      <c r="S170" s="31">
        <v>0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f>ROUND((E170+F170+G170+H170+I170+J170)*1.5%,2)</f>
        <v>57636.38</v>
      </c>
      <c r="AD170" s="39">
        <v>85236.27</v>
      </c>
      <c r="AE170" s="31">
        <v>0</v>
      </c>
      <c r="AF170" s="34">
        <v>2020</v>
      </c>
      <c r="AG170" s="34">
        <v>2020</v>
      </c>
      <c r="AH170" s="35">
        <v>2020</v>
      </c>
      <c r="AT170" s="20" t="e">
        <f t="shared" si="21"/>
        <v>#N/A</v>
      </c>
      <c r="BZ170" s="71"/>
      <c r="CD170" s="20" t="e">
        <f t="shared" si="23"/>
        <v>#N/A</v>
      </c>
      <c r="CE170" s="109" t="s">
        <v>399</v>
      </c>
      <c r="CF170" s="109">
        <v>550</v>
      </c>
    </row>
    <row r="171" spans="1:84" ht="61.5" x14ac:dyDescent="0.85">
      <c r="A171" s="20">
        <v>1</v>
      </c>
      <c r="B171" s="66">
        <f>SUBTOTAL(103,$A$22:A171)</f>
        <v>148</v>
      </c>
      <c r="C171" s="24" t="s">
        <v>198</v>
      </c>
      <c r="D171" s="31">
        <f t="shared" si="22"/>
        <v>2766905.7600000002</v>
      </c>
      <c r="E171" s="31">
        <v>0</v>
      </c>
      <c r="F171" s="31">
        <v>0</v>
      </c>
      <c r="G171" s="31">
        <v>0</v>
      </c>
      <c r="H171" s="31">
        <v>0</v>
      </c>
      <c r="I171" s="31">
        <v>0</v>
      </c>
      <c r="J171" s="31">
        <v>0</v>
      </c>
      <c r="K171" s="33">
        <v>0</v>
      </c>
      <c r="L171" s="31">
        <v>0</v>
      </c>
      <c r="M171" s="39">
        <v>1190.4000000000001</v>
      </c>
      <c r="N171" s="39">
        <v>2598303.89</v>
      </c>
      <c r="O171" s="31">
        <v>0</v>
      </c>
      <c r="P171" s="31">
        <v>0</v>
      </c>
      <c r="Q171" s="31">
        <v>0</v>
      </c>
      <c r="R171" s="31">
        <v>0</v>
      </c>
      <c r="S171" s="31">
        <v>0</v>
      </c>
      <c r="T171" s="31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9">
        <v>12276.99</v>
      </c>
      <c r="AD171" s="39">
        <v>156324.88</v>
      </c>
      <c r="AE171" s="31">
        <v>0</v>
      </c>
      <c r="AF171" s="34">
        <v>2020</v>
      </c>
      <c r="AG171" s="34">
        <v>2020</v>
      </c>
      <c r="AH171" s="35">
        <v>2020</v>
      </c>
      <c r="AT171" s="20" t="e">
        <f t="shared" si="21"/>
        <v>#N/A</v>
      </c>
      <c r="BZ171" s="71"/>
      <c r="CD171" s="20" t="e">
        <f t="shared" si="23"/>
        <v>#N/A</v>
      </c>
      <c r="CE171" s="109" t="s">
        <v>401</v>
      </c>
      <c r="CF171" s="109">
        <v>342</v>
      </c>
    </row>
    <row r="172" spans="1:84" ht="61.5" x14ac:dyDescent="0.85">
      <c r="A172" s="20">
        <v>1</v>
      </c>
      <c r="B172" s="66">
        <f>SUBTOTAL(103,$A$22:A172)</f>
        <v>149</v>
      </c>
      <c r="C172" s="24" t="s">
        <v>401</v>
      </c>
      <c r="D172" s="31">
        <f t="shared" si="22"/>
        <v>1828369.47</v>
      </c>
      <c r="E172" s="31">
        <v>0</v>
      </c>
      <c r="F172" s="31">
        <v>0</v>
      </c>
      <c r="G172" s="31">
        <v>0</v>
      </c>
      <c r="H172" s="31">
        <v>0</v>
      </c>
      <c r="I172" s="31">
        <v>0</v>
      </c>
      <c r="J172" s="31">
        <v>0</v>
      </c>
      <c r="K172" s="33">
        <v>0</v>
      </c>
      <c r="L172" s="31">
        <v>0</v>
      </c>
      <c r="M172" s="39">
        <v>342</v>
      </c>
      <c r="N172" s="39">
        <v>1828369.47</v>
      </c>
      <c r="O172" s="31">
        <v>0</v>
      </c>
      <c r="P172" s="31">
        <v>0</v>
      </c>
      <c r="Q172" s="31">
        <v>0</v>
      </c>
      <c r="R172" s="31">
        <v>0</v>
      </c>
      <c r="S172" s="31">
        <v>0</v>
      </c>
      <c r="T172" s="31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0</v>
      </c>
      <c r="AF172" s="34" t="s">
        <v>270</v>
      </c>
      <c r="AG172" s="34">
        <v>2020</v>
      </c>
      <c r="AH172" s="35" t="s">
        <v>270</v>
      </c>
      <c r="AT172" s="20" t="e">
        <f t="shared" si="21"/>
        <v>#N/A</v>
      </c>
      <c r="BZ172" s="71"/>
      <c r="CD172" s="20">
        <f t="shared" si="23"/>
        <v>342</v>
      </c>
      <c r="CE172" s="109" t="s">
        <v>1156</v>
      </c>
      <c r="CF172" s="109">
        <v>331</v>
      </c>
    </row>
    <row r="173" spans="1:84" ht="61.5" x14ac:dyDescent="0.85">
      <c r="A173" s="20">
        <v>1</v>
      </c>
      <c r="B173" s="66">
        <f>SUBTOTAL(103,$A$22:A173)</f>
        <v>150</v>
      </c>
      <c r="C173" s="24" t="s">
        <v>402</v>
      </c>
      <c r="D173" s="31">
        <f t="shared" si="22"/>
        <v>9410555.9500000011</v>
      </c>
      <c r="E173" s="31">
        <v>0</v>
      </c>
      <c r="F173" s="31">
        <v>0</v>
      </c>
      <c r="G173" s="31">
        <v>0</v>
      </c>
      <c r="H173" s="31">
        <v>0</v>
      </c>
      <c r="I173" s="31">
        <v>0</v>
      </c>
      <c r="J173" s="31">
        <v>0</v>
      </c>
      <c r="K173" s="33">
        <v>0</v>
      </c>
      <c r="L173" s="31">
        <v>0</v>
      </c>
      <c r="M173" s="39">
        <v>2014</v>
      </c>
      <c r="N173" s="39">
        <v>9115520</v>
      </c>
      <c r="O173" s="31">
        <v>0</v>
      </c>
      <c r="P173" s="31">
        <v>0</v>
      </c>
      <c r="Q173" s="31">
        <v>0</v>
      </c>
      <c r="R173" s="31">
        <v>0</v>
      </c>
      <c r="S173" s="31">
        <v>0</v>
      </c>
      <c r="T173" s="31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f>ROUND(N173*1.5%,2)</f>
        <v>136732.79999999999</v>
      </c>
      <c r="AD173" s="39">
        <v>158303.15</v>
      </c>
      <c r="AE173" s="31">
        <v>0</v>
      </c>
      <c r="AF173" s="34">
        <v>2020</v>
      </c>
      <c r="AG173" s="34">
        <v>2020</v>
      </c>
      <c r="AH173" s="35">
        <v>2020</v>
      </c>
      <c r="AT173" s="20" t="e">
        <f t="shared" si="21"/>
        <v>#N/A</v>
      </c>
      <c r="BZ173" s="71"/>
      <c r="CD173" s="20" t="e">
        <f t="shared" si="23"/>
        <v>#N/A</v>
      </c>
      <c r="CE173" s="109" t="s">
        <v>1560</v>
      </c>
      <c r="CF173" s="109">
        <v>792</v>
      </c>
    </row>
    <row r="174" spans="1:84" ht="61.5" x14ac:dyDescent="0.85">
      <c r="A174" s="20">
        <v>1</v>
      </c>
      <c r="B174" s="66">
        <f>SUBTOTAL(103,$A$22:A174)</f>
        <v>151</v>
      </c>
      <c r="C174" s="24" t="s">
        <v>1155</v>
      </c>
      <c r="D174" s="31">
        <f t="shared" si="22"/>
        <v>1472488.92</v>
      </c>
      <c r="E174" s="31">
        <v>0</v>
      </c>
      <c r="F174" s="31">
        <v>0</v>
      </c>
      <c r="G174" s="39">
        <v>1103598</v>
      </c>
      <c r="H174" s="39">
        <v>118902</v>
      </c>
      <c r="I174" s="39">
        <v>228228</v>
      </c>
      <c r="J174" s="31">
        <v>0</v>
      </c>
      <c r="K174" s="33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0</v>
      </c>
      <c r="Q174" s="31">
        <v>0</v>
      </c>
      <c r="R174" s="31">
        <v>0</v>
      </c>
      <c r="S174" s="31">
        <v>0</v>
      </c>
      <c r="T174" s="31">
        <v>0</v>
      </c>
      <c r="U174" s="31">
        <v>0</v>
      </c>
      <c r="V174" s="31">
        <v>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f>ROUND((E174+F174+G174+H174+I174+J174)*1.5%,2)</f>
        <v>21760.92</v>
      </c>
      <c r="AD174" s="31">
        <v>0</v>
      </c>
      <c r="AE174" s="31">
        <v>0</v>
      </c>
      <c r="AF174" s="34" t="s">
        <v>270</v>
      </c>
      <c r="AG174" s="34">
        <v>2020</v>
      </c>
      <c r="AH174" s="35">
        <v>2020</v>
      </c>
      <c r="BZ174" s="71"/>
      <c r="CD174" s="20" t="e">
        <f t="shared" si="23"/>
        <v>#N/A</v>
      </c>
      <c r="CE174" s="109" t="s">
        <v>1558</v>
      </c>
      <c r="CF174" s="109">
        <v>592.07000000000005</v>
      </c>
    </row>
    <row r="175" spans="1:84" ht="61.5" x14ac:dyDescent="0.85">
      <c r="A175" s="20">
        <v>1</v>
      </c>
      <c r="B175" s="66">
        <f>SUBTOTAL(103,$A$22:A175)</f>
        <v>152</v>
      </c>
      <c r="C175" s="24" t="s">
        <v>1156</v>
      </c>
      <c r="D175" s="31">
        <f t="shared" si="22"/>
        <v>1557950.91</v>
      </c>
      <c r="E175" s="31">
        <v>0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3">
        <v>0</v>
      </c>
      <c r="L175" s="31">
        <v>0</v>
      </c>
      <c r="M175" s="31">
        <v>331</v>
      </c>
      <c r="N175" s="137">
        <v>1549352</v>
      </c>
      <c r="O175" s="31">
        <v>0</v>
      </c>
      <c r="P175" s="31">
        <v>0</v>
      </c>
      <c r="Q175" s="31">
        <v>0</v>
      </c>
      <c r="R175" s="31">
        <v>0</v>
      </c>
      <c r="S175" s="31">
        <v>0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9">
        <v>8598.91</v>
      </c>
      <c r="AD175" s="31">
        <v>0</v>
      </c>
      <c r="AE175" s="31">
        <v>0</v>
      </c>
      <c r="AF175" s="34" t="s">
        <v>270</v>
      </c>
      <c r="AG175" s="34">
        <v>2020</v>
      </c>
      <c r="AH175" s="35">
        <v>2020</v>
      </c>
      <c r="BZ175" s="71"/>
      <c r="CD175" s="20">
        <f t="shared" si="23"/>
        <v>331</v>
      </c>
      <c r="CE175" s="109" t="s">
        <v>0</v>
      </c>
      <c r="CF175" s="109">
        <v>618.1</v>
      </c>
    </row>
    <row r="176" spans="1:84" ht="61.5" x14ac:dyDescent="0.85">
      <c r="A176" s="20">
        <v>1</v>
      </c>
      <c r="B176" s="66">
        <f>SUBTOTAL(103,$A$22:A176)</f>
        <v>153</v>
      </c>
      <c r="C176" s="24" t="s">
        <v>1158</v>
      </c>
      <c r="D176" s="31">
        <f t="shared" si="22"/>
        <v>2712861.94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0</v>
      </c>
      <c r="K176" s="74">
        <v>2</v>
      </c>
      <c r="L176" s="31">
        <v>2712861.94</v>
      </c>
      <c r="M176" s="31">
        <v>0</v>
      </c>
      <c r="N176" s="31">
        <v>0</v>
      </c>
      <c r="O176" s="31">
        <v>0</v>
      </c>
      <c r="P176" s="31">
        <v>0</v>
      </c>
      <c r="Q176" s="31">
        <v>0</v>
      </c>
      <c r="R176" s="31">
        <v>0</v>
      </c>
      <c r="S176" s="31">
        <v>0</v>
      </c>
      <c r="T176" s="31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v>0</v>
      </c>
      <c r="AF176" s="34" t="s">
        <v>270</v>
      </c>
      <c r="AG176" s="34">
        <v>2020</v>
      </c>
      <c r="AH176" s="35" t="s">
        <v>270</v>
      </c>
      <c r="BZ176" s="71"/>
      <c r="CD176" s="20" t="e">
        <f t="shared" si="23"/>
        <v>#N/A</v>
      </c>
      <c r="CE176" s="109" t="s">
        <v>1241</v>
      </c>
      <c r="CF176" s="109">
        <v>807.4</v>
      </c>
    </row>
    <row r="177" spans="1:84" ht="61.5" x14ac:dyDescent="0.85">
      <c r="A177" s="20">
        <v>1</v>
      </c>
      <c r="B177" s="66">
        <f>SUBTOTAL(103,$A$22:A177)</f>
        <v>154</v>
      </c>
      <c r="C177" s="24" t="s">
        <v>1159</v>
      </c>
      <c r="D177" s="31">
        <f t="shared" si="22"/>
        <v>211626.35</v>
      </c>
      <c r="E177" s="31">
        <v>0</v>
      </c>
      <c r="F177" s="31">
        <v>0</v>
      </c>
      <c r="G177" s="31">
        <v>0</v>
      </c>
      <c r="H177" s="31">
        <v>0</v>
      </c>
      <c r="I177" s="31">
        <v>0</v>
      </c>
      <c r="J177" s="31">
        <v>0</v>
      </c>
      <c r="K177" s="33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0</v>
      </c>
      <c r="Q177" s="31">
        <v>0</v>
      </c>
      <c r="R177" s="31">
        <v>0</v>
      </c>
      <c r="S177" s="31">
        <v>19.07</v>
      </c>
      <c r="T177" s="30">
        <v>210458.31</v>
      </c>
      <c r="U177" s="31">
        <v>0</v>
      </c>
      <c r="V177" s="31">
        <v>0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179">
        <v>1168.04</v>
      </c>
      <c r="AD177" s="31">
        <v>0</v>
      </c>
      <c r="AE177" s="31">
        <v>0</v>
      </c>
      <c r="AF177" s="34" t="s">
        <v>270</v>
      </c>
      <c r="AG177" s="34">
        <v>2020</v>
      </c>
      <c r="AH177" s="35">
        <v>2020</v>
      </c>
      <c r="BZ177" s="71"/>
      <c r="CD177" s="20" t="e">
        <f t="shared" si="23"/>
        <v>#N/A</v>
      </c>
      <c r="CE177" s="109" t="s">
        <v>1562</v>
      </c>
      <c r="CF177" s="109">
        <v>837.3</v>
      </c>
    </row>
    <row r="178" spans="1:84" ht="61.5" x14ac:dyDescent="0.85">
      <c r="A178" s="20">
        <v>1</v>
      </c>
      <c r="B178" s="66">
        <f>SUBTOTAL(103,$A$22:A178)</f>
        <v>155</v>
      </c>
      <c r="C178" s="24" t="s">
        <v>1160</v>
      </c>
      <c r="D178" s="31">
        <f t="shared" si="22"/>
        <v>2878164.01</v>
      </c>
      <c r="E178" s="31">
        <v>0</v>
      </c>
      <c r="F178" s="31">
        <v>0</v>
      </c>
      <c r="G178" s="31">
        <v>0</v>
      </c>
      <c r="H178" s="31">
        <v>0</v>
      </c>
      <c r="I178" s="31">
        <v>0</v>
      </c>
      <c r="J178" s="31">
        <v>0</v>
      </c>
      <c r="K178" s="33">
        <v>0</v>
      </c>
      <c r="L178" s="31">
        <v>0</v>
      </c>
      <c r="M178" s="31">
        <v>0</v>
      </c>
      <c r="N178" s="31">
        <v>0</v>
      </c>
      <c r="O178" s="31">
        <v>725.5</v>
      </c>
      <c r="P178" s="31">
        <v>2835629.57</v>
      </c>
      <c r="Q178" s="31">
        <v>0</v>
      </c>
      <c r="R178" s="31">
        <v>0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f>ROUND(P178*1.5%,2)</f>
        <v>42534.44</v>
      </c>
      <c r="AD178" s="31">
        <v>0</v>
      </c>
      <c r="AE178" s="31">
        <v>0</v>
      </c>
      <c r="AF178" s="34" t="s">
        <v>270</v>
      </c>
      <c r="AG178" s="34">
        <v>2020</v>
      </c>
      <c r="AH178" s="35">
        <v>2020</v>
      </c>
      <c r="BZ178" s="71"/>
      <c r="CD178" s="20" t="e">
        <f t="shared" si="23"/>
        <v>#N/A</v>
      </c>
      <c r="CE178" s="109" t="s">
        <v>144</v>
      </c>
      <c r="CF178" s="109">
        <v>317.8</v>
      </c>
    </row>
    <row r="179" spans="1:84" ht="61.5" x14ac:dyDescent="0.85">
      <c r="A179" s="20">
        <v>1</v>
      </c>
      <c r="B179" s="66">
        <f>SUBTOTAL(103,$A$22:A179)</f>
        <v>156</v>
      </c>
      <c r="C179" s="24" t="s">
        <v>1161</v>
      </c>
      <c r="D179" s="31">
        <f t="shared" si="22"/>
        <v>2712861.94</v>
      </c>
      <c r="E179" s="31">
        <v>0</v>
      </c>
      <c r="F179" s="31">
        <v>0</v>
      </c>
      <c r="G179" s="31">
        <v>0</v>
      </c>
      <c r="H179" s="31">
        <v>0</v>
      </c>
      <c r="I179" s="31">
        <v>0</v>
      </c>
      <c r="J179" s="31">
        <v>0</v>
      </c>
      <c r="K179" s="74">
        <v>2</v>
      </c>
      <c r="L179" s="31">
        <v>2712861.94</v>
      </c>
      <c r="M179" s="31">
        <v>0</v>
      </c>
      <c r="N179" s="31">
        <v>0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v>0</v>
      </c>
      <c r="AF179" s="34" t="s">
        <v>270</v>
      </c>
      <c r="AG179" s="34">
        <v>2020</v>
      </c>
      <c r="AH179" s="35" t="s">
        <v>270</v>
      </c>
      <c r="BZ179" s="71"/>
      <c r="CD179" s="20" t="e">
        <f t="shared" si="23"/>
        <v>#N/A</v>
      </c>
      <c r="CE179" s="109" t="s">
        <v>1264</v>
      </c>
      <c r="CF179" s="109">
        <v>835.43</v>
      </c>
    </row>
    <row r="180" spans="1:84" ht="61.5" x14ac:dyDescent="0.85">
      <c r="A180" s="20">
        <v>1</v>
      </c>
      <c r="B180" s="66">
        <f>SUBTOTAL(103,$A$22:A180)</f>
        <v>157</v>
      </c>
      <c r="C180" s="24" t="s">
        <v>1162</v>
      </c>
      <c r="D180" s="31">
        <f t="shared" si="22"/>
        <v>2237682.5499999998</v>
      </c>
      <c r="E180" s="31">
        <v>0</v>
      </c>
      <c r="F180" s="31">
        <v>0</v>
      </c>
      <c r="G180" s="39">
        <v>2225331.96</v>
      </c>
      <c r="H180" s="31">
        <v>0</v>
      </c>
      <c r="I180" s="31">
        <v>0</v>
      </c>
      <c r="J180" s="31">
        <v>0</v>
      </c>
      <c r="K180" s="33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31">
        <v>0</v>
      </c>
      <c r="R180" s="31">
        <v>0</v>
      </c>
      <c r="S180" s="31">
        <v>0</v>
      </c>
      <c r="T180" s="31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9">
        <v>12350.59</v>
      </c>
      <c r="AD180" s="31">
        <v>0</v>
      </c>
      <c r="AE180" s="31">
        <v>0</v>
      </c>
      <c r="AF180" s="34" t="s">
        <v>270</v>
      </c>
      <c r="AG180" s="34">
        <v>2020</v>
      </c>
      <c r="AH180" s="35">
        <v>2020</v>
      </c>
      <c r="BZ180" s="71"/>
      <c r="CD180" s="20" t="e">
        <f t="shared" si="23"/>
        <v>#N/A</v>
      </c>
      <c r="CE180" s="109" t="s">
        <v>91</v>
      </c>
      <c r="CF180" s="109">
        <v>613.20000000000005</v>
      </c>
    </row>
    <row r="181" spans="1:84" ht="61.5" x14ac:dyDescent="0.85">
      <c r="A181" s="20">
        <v>1</v>
      </c>
      <c r="B181" s="66">
        <f>SUBTOTAL(103,$A$22:A181)</f>
        <v>158</v>
      </c>
      <c r="C181" s="24" t="s">
        <v>1163</v>
      </c>
      <c r="D181" s="31">
        <f t="shared" si="22"/>
        <v>2418873.6</v>
      </c>
      <c r="E181" s="31">
        <v>0</v>
      </c>
      <c r="F181" s="31">
        <v>0</v>
      </c>
      <c r="G181" s="31">
        <v>0</v>
      </c>
      <c r="H181" s="31">
        <v>0</v>
      </c>
      <c r="I181" s="31">
        <v>0</v>
      </c>
      <c r="J181" s="31">
        <v>0</v>
      </c>
      <c r="K181" s="33">
        <v>0</v>
      </c>
      <c r="L181" s="31">
        <v>0</v>
      </c>
      <c r="M181" s="39">
        <v>494.53</v>
      </c>
      <c r="N181" s="179">
        <v>2337937.12</v>
      </c>
      <c r="O181" s="31">
        <v>0</v>
      </c>
      <c r="P181" s="31">
        <v>0</v>
      </c>
      <c r="Q181" s="31">
        <v>0</v>
      </c>
      <c r="R181" s="31">
        <v>0</v>
      </c>
      <c r="S181" s="31">
        <v>0</v>
      </c>
      <c r="T181" s="31">
        <v>0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179">
        <v>12975.55</v>
      </c>
      <c r="AD181" s="39">
        <v>67960.929999999993</v>
      </c>
      <c r="AE181" s="31">
        <v>0</v>
      </c>
      <c r="AF181" s="34">
        <v>2020</v>
      </c>
      <c r="AG181" s="34">
        <v>2020</v>
      </c>
      <c r="AH181" s="35">
        <v>2020</v>
      </c>
      <c r="BZ181" s="71"/>
      <c r="CD181" s="20" t="e">
        <f t="shared" si="23"/>
        <v>#N/A</v>
      </c>
      <c r="CE181" s="109" t="s">
        <v>452</v>
      </c>
      <c r="CF181" s="109">
        <v>567.62</v>
      </c>
    </row>
    <row r="182" spans="1:84" ht="61.5" x14ac:dyDescent="0.85">
      <c r="A182" s="20">
        <v>1</v>
      </c>
      <c r="B182" s="66">
        <f>SUBTOTAL(103,$A$22:A182)</f>
        <v>159</v>
      </c>
      <c r="C182" s="24" t="s">
        <v>1166</v>
      </c>
      <c r="D182" s="31">
        <f t="shared" si="22"/>
        <v>1640571.49</v>
      </c>
      <c r="E182" s="31">
        <v>0</v>
      </c>
      <c r="F182" s="31">
        <v>0</v>
      </c>
      <c r="G182" s="31">
        <v>0</v>
      </c>
      <c r="H182" s="31">
        <v>0</v>
      </c>
      <c r="I182" s="31">
        <v>0</v>
      </c>
      <c r="J182" s="31">
        <v>0</v>
      </c>
      <c r="K182" s="244">
        <v>1</v>
      </c>
      <c r="L182" s="137">
        <v>1640571.49</v>
      </c>
      <c r="M182" s="31">
        <v>0</v>
      </c>
      <c r="N182" s="31">
        <v>0</v>
      </c>
      <c r="O182" s="31">
        <v>0</v>
      </c>
      <c r="P182" s="31">
        <v>0</v>
      </c>
      <c r="Q182" s="31">
        <v>0</v>
      </c>
      <c r="R182" s="31">
        <v>0</v>
      </c>
      <c r="S182" s="31">
        <v>0</v>
      </c>
      <c r="T182" s="31">
        <v>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v>0</v>
      </c>
      <c r="AF182" s="34" t="s">
        <v>270</v>
      </c>
      <c r="AG182" s="34">
        <v>2020</v>
      </c>
      <c r="AH182" s="35" t="s">
        <v>270</v>
      </c>
      <c r="BZ182" s="71"/>
      <c r="CD182" s="20" t="e">
        <f t="shared" si="23"/>
        <v>#N/A</v>
      </c>
      <c r="CE182" s="109" t="s">
        <v>1289</v>
      </c>
      <c r="CF182" s="109">
        <v>958</v>
      </c>
    </row>
    <row r="183" spans="1:84" ht="61.5" x14ac:dyDescent="0.85">
      <c r="A183" s="20">
        <v>1</v>
      </c>
      <c r="B183" s="66">
        <f>SUBTOTAL(103,$A$22:A183)</f>
        <v>160</v>
      </c>
      <c r="C183" s="24" t="s">
        <v>1167</v>
      </c>
      <c r="D183" s="31">
        <f t="shared" si="22"/>
        <v>1784450.96</v>
      </c>
      <c r="E183" s="31">
        <v>0</v>
      </c>
      <c r="F183" s="31">
        <v>0</v>
      </c>
      <c r="G183" s="31">
        <v>0</v>
      </c>
      <c r="H183" s="31">
        <v>0</v>
      </c>
      <c r="I183" s="31">
        <v>0</v>
      </c>
      <c r="J183" s="31">
        <v>0</v>
      </c>
      <c r="K183" s="244">
        <v>1</v>
      </c>
      <c r="L183" s="137">
        <v>1784450.96</v>
      </c>
      <c r="M183" s="31">
        <v>0</v>
      </c>
      <c r="N183" s="31">
        <v>0</v>
      </c>
      <c r="O183" s="31">
        <v>0</v>
      </c>
      <c r="P183" s="31">
        <v>0</v>
      </c>
      <c r="Q183" s="31">
        <v>0</v>
      </c>
      <c r="R183" s="31">
        <v>0</v>
      </c>
      <c r="S183" s="31">
        <v>0</v>
      </c>
      <c r="T183" s="31">
        <v>0</v>
      </c>
      <c r="U183" s="31">
        <v>0</v>
      </c>
      <c r="V183" s="31">
        <v>0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0</v>
      </c>
      <c r="AD183" s="31">
        <v>0</v>
      </c>
      <c r="AE183" s="31">
        <v>0</v>
      </c>
      <c r="AF183" s="34" t="s">
        <v>270</v>
      </c>
      <c r="AG183" s="34">
        <v>2020</v>
      </c>
      <c r="AH183" s="35" t="s">
        <v>270</v>
      </c>
      <c r="BZ183" s="71"/>
      <c r="CD183" s="20" t="e">
        <f t="shared" si="23"/>
        <v>#N/A</v>
      </c>
      <c r="CE183" s="109" t="s">
        <v>185</v>
      </c>
      <c r="CF183" s="109">
        <v>255.2</v>
      </c>
    </row>
    <row r="184" spans="1:84" ht="61.5" x14ac:dyDescent="0.85">
      <c r="A184" s="20">
        <v>1</v>
      </c>
      <c r="B184" s="66">
        <f>SUBTOTAL(103,$A$22:A184)</f>
        <v>161</v>
      </c>
      <c r="C184" s="24" t="s">
        <v>1168</v>
      </c>
      <c r="D184" s="31">
        <f t="shared" si="22"/>
        <v>6364982.3099999996</v>
      </c>
      <c r="E184" s="31">
        <v>0</v>
      </c>
      <c r="F184" s="31">
        <v>0</v>
      </c>
      <c r="G184" s="31">
        <v>0</v>
      </c>
      <c r="H184" s="31">
        <v>0</v>
      </c>
      <c r="I184" s="31">
        <v>0</v>
      </c>
      <c r="J184" s="31">
        <v>0</v>
      </c>
      <c r="K184" s="74">
        <v>4</v>
      </c>
      <c r="L184" s="31">
        <v>6364982.3099999996</v>
      </c>
      <c r="M184" s="31">
        <v>0</v>
      </c>
      <c r="N184" s="31">
        <v>0</v>
      </c>
      <c r="O184" s="31">
        <v>0</v>
      </c>
      <c r="P184" s="31">
        <v>0</v>
      </c>
      <c r="Q184" s="31">
        <v>0</v>
      </c>
      <c r="R184" s="31">
        <v>0</v>
      </c>
      <c r="S184" s="31">
        <v>0</v>
      </c>
      <c r="T184" s="31">
        <v>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0</v>
      </c>
      <c r="AF184" s="34" t="s">
        <v>270</v>
      </c>
      <c r="AG184" s="34">
        <v>2020</v>
      </c>
      <c r="AH184" s="35" t="s">
        <v>270</v>
      </c>
      <c r="BZ184" s="71"/>
      <c r="CD184" s="20" t="e">
        <f t="shared" si="23"/>
        <v>#N/A</v>
      </c>
      <c r="CE184" s="109" t="s">
        <v>135</v>
      </c>
      <c r="CF184" s="109">
        <v>1229.9000000000001</v>
      </c>
    </row>
    <row r="185" spans="1:84" ht="61.5" x14ac:dyDescent="0.85">
      <c r="A185" s="20">
        <v>1</v>
      </c>
      <c r="B185" s="66">
        <f>SUBTOTAL(103,$A$22:A185)</f>
        <v>162</v>
      </c>
      <c r="C185" s="24" t="s">
        <v>1284</v>
      </c>
      <c r="D185" s="31">
        <f t="shared" si="22"/>
        <v>2353234.23</v>
      </c>
      <c r="E185" s="31">
        <v>0</v>
      </c>
      <c r="F185" s="31">
        <v>0</v>
      </c>
      <c r="G185" s="39">
        <v>2318457.37</v>
      </c>
      <c r="H185" s="31">
        <v>0</v>
      </c>
      <c r="I185" s="31">
        <v>0</v>
      </c>
      <c r="J185" s="31">
        <v>0</v>
      </c>
      <c r="K185" s="33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0</v>
      </c>
      <c r="Q185" s="31">
        <v>0</v>
      </c>
      <c r="R185" s="31">
        <v>0</v>
      </c>
      <c r="S185" s="31">
        <v>0</v>
      </c>
      <c r="T185" s="31">
        <v>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f>ROUND((E185+F185+G185+H185+I185+J185)*1.5%,2)</f>
        <v>34776.86</v>
      </c>
      <c r="AD185" s="31">
        <v>0</v>
      </c>
      <c r="AE185" s="31">
        <v>0</v>
      </c>
      <c r="AF185" s="34" t="s">
        <v>270</v>
      </c>
      <c r="AG185" s="34">
        <v>2020</v>
      </c>
      <c r="AH185" s="35">
        <v>2020</v>
      </c>
      <c r="BZ185" s="71"/>
      <c r="CD185" s="20" t="e">
        <f t="shared" si="23"/>
        <v>#N/A</v>
      </c>
    </row>
    <row r="186" spans="1:84" ht="61.5" x14ac:dyDescent="0.85">
      <c r="A186" s="20">
        <v>1</v>
      </c>
      <c r="B186" s="66">
        <f>SUBTOTAL(103,$A$22:A186)</f>
        <v>163</v>
      </c>
      <c r="C186" s="24" t="s">
        <v>1297</v>
      </c>
      <c r="D186" s="31">
        <f t="shared" si="22"/>
        <v>131828.92000000001</v>
      </c>
      <c r="E186" s="31">
        <v>0</v>
      </c>
      <c r="F186" s="31">
        <v>0</v>
      </c>
      <c r="G186" s="31">
        <v>0</v>
      </c>
      <c r="H186" s="31">
        <v>0</v>
      </c>
      <c r="I186" s="31">
        <v>0</v>
      </c>
      <c r="J186" s="31">
        <v>0</v>
      </c>
      <c r="K186" s="33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0</v>
      </c>
      <c r="Q186" s="31">
        <v>0</v>
      </c>
      <c r="R186" s="31">
        <v>0</v>
      </c>
      <c r="S186" s="31">
        <v>0</v>
      </c>
      <c r="T186" s="31">
        <v>0</v>
      </c>
      <c r="U186" s="31">
        <v>0</v>
      </c>
      <c r="V186" s="31">
        <v>0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f>ROUND(R186*1.5%,2)</f>
        <v>0</v>
      </c>
      <c r="AD186" s="39">
        <v>131828.92000000001</v>
      </c>
      <c r="AE186" s="31">
        <v>0</v>
      </c>
      <c r="AF186" s="34">
        <v>2020</v>
      </c>
      <c r="AG186" s="34" t="s">
        <v>270</v>
      </c>
      <c r="AH186" s="35" t="s">
        <v>270</v>
      </c>
      <c r="AI186" s="34">
        <v>2020</v>
      </c>
      <c r="AJ186" s="34">
        <v>2020</v>
      </c>
      <c r="AK186" s="34">
        <v>2020</v>
      </c>
      <c r="AL186" s="34">
        <v>2020</v>
      </c>
      <c r="AM186" s="34">
        <v>2020</v>
      </c>
      <c r="AN186" s="34">
        <v>2020</v>
      </c>
      <c r="AO186" s="34">
        <v>2020</v>
      </c>
      <c r="AP186" s="34">
        <v>2020</v>
      </c>
      <c r="AQ186" s="34">
        <v>2020</v>
      </c>
      <c r="AR186" s="34">
        <v>2020</v>
      </c>
      <c r="AS186" s="34">
        <v>2020</v>
      </c>
      <c r="AT186" s="34">
        <v>2020</v>
      </c>
      <c r="AU186" s="34">
        <v>2020</v>
      </c>
      <c r="AV186" s="34">
        <v>2020</v>
      </c>
      <c r="AW186" s="34">
        <v>2020</v>
      </c>
      <c r="AX186" s="34">
        <v>2020</v>
      </c>
      <c r="AY186" s="34">
        <v>2020</v>
      </c>
      <c r="AZ186" s="34">
        <v>2020</v>
      </c>
      <c r="BA186" s="34">
        <v>2020</v>
      </c>
      <c r="BB186" s="34">
        <v>2020</v>
      </c>
      <c r="BC186" s="34">
        <v>2020</v>
      </c>
      <c r="BD186" s="34">
        <v>2020</v>
      </c>
      <c r="BE186" s="34">
        <v>2020</v>
      </c>
      <c r="BF186" s="34">
        <v>2020</v>
      </c>
      <c r="BG186" s="34">
        <v>2020</v>
      </c>
      <c r="BH186" s="34">
        <v>2020</v>
      </c>
      <c r="BI186" s="34">
        <v>2020</v>
      </c>
      <c r="BJ186" s="34">
        <v>2020</v>
      </c>
      <c r="BK186" s="34">
        <v>2020</v>
      </c>
      <c r="BL186" s="34">
        <v>2020</v>
      </c>
      <c r="BM186" s="34">
        <v>2020</v>
      </c>
      <c r="BN186" s="34">
        <v>2020</v>
      </c>
      <c r="BO186" s="34">
        <v>2020</v>
      </c>
      <c r="BP186" s="34">
        <v>2020</v>
      </c>
      <c r="BQ186" s="34">
        <v>2020</v>
      </c>
      <c r="BR186" s="34">
        <v>2020</v>
      </c>
      <c r="BS186" s="34">
        <v>2020</v>
      </c>
      <c r="BT186" s="34">
        <v>2020</v>
      </c>
      <c r="BU186" s="34">
        <v>2020</v>
      </c>
      <c r="BV186" s="34">
        <v>2020</v>
      </c>
      <c r="BW186" s="34">
        <v>2020</v>
      </c>
      <c r="BZ186" s="71"/>
      <c r="CD186" s="20" t="e">
        <f t="shared" si="23"/>
        <v>#N/A</v>
      </c>
    </row>
    <row r="187" spans="1:84" ht="61.5" x14ac:dyDescent="0.85">
      <c r="A187" s="20">
        <v>1</v>
      </c>
      <c r="B187" s="66">
        <f>SUBTOTAL(103,$A$22:A187)</f>
        <v>164</v>
      </c>
      <c r="C187" s="24" t="s">
        <v>1298</v>
      </c>
      <c r="D187" s="31">
        <f t="shared" si="22"/>
        <v>2609030.63</v>
      </c>
      <c r="E187" s="31">
        <v>0</v>
      </c>
      <c r="F187" s="31">
        <v>0</v>
      </c>
      <c r="G187" s="31">
        <v>0</v>
      </c>
      <c r="H187" s="31">
        <v>0</v>
      </c>
      <c r="I187" s="31">
        <v>0</v>
      </c>
      <c r="J187" s="31">
        <v>0</v>
      </c>
      <c r="K187" s="33">
        <v>0</v>
      </c>
      <c r="L187" s="31">
        <v>0</v>
      </c>
      <c r="M187" s="31">
        <v>590</v>
      </c>
      <c r="N187" s="31">
        <v>2511330.0499999998</v>
      </c>
      <c r="O187" s="31">
        <v>0</v>
      </c>
      <c r="P187" s="31">
        <v>0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f t="shared" ref="AC187:AC193" si="24">ROUND(N187*1.5%,2)</f>
        <v>37669.949999999997</v>
      </c>
      <c r="AD187" s="39">
        <v>60030.63</v>
      </c>
      <c r="AE187" s="31">
        <v>0</v>
      </c>
      <c r="AF187" s="34">
        <v>2020</v>
      </c>
      <c r="AG187" s="34">
        <v>2020</v>
      </c>
      <c r="AH187" s="35">
        <v>2020</v>
      </c>
      <c r="BZ187" s="71"/>
      <c r="CD187" s="20" t="e">
        <f t="shared" si="23"/>
        <v>#N/A</v>
      </c>
    </row>
    <row r="188" spans="1:84" ht="61.5" x14ac:dyDescent="0.85">
      <c r="A188" s="20">
        <v>1</v>
      </c>
      <c r="B188" s="66">
        <f>SUBTOTAL(103,$A$22:A188)</f>
        <v>165</v>
      </c>
      <c r="C188" s="24" t="s">
        <v>1299</v>
      </c>
      <c r="D188" s="31">
        <f t="shared" si="22"/>
        <v>3619449.67</v>
      </c>
      <c r="E188" s="31">
        <v>0</v>
      </c>
      <c r="F188" s="31">
        <v>0</v>
      </c>
      <c r="G188" s="31">
        <v>0</v>
      </c>
      <c r="H188" s="31">
        <v>0</v>
      </c>
      <c r="I188" s="31">
        <v>0</v>
      </c>
      <c r="J188" s="31">
        <v>0</v>
      </c>
      <c r="K188" s="33">
        <v>0</v>
      </c>
      <c r="L188" s="31">
        <v>0</v>
      </c>
      <c r="M188" s="31">
        <v>665</v>
      </c>
      <c r="N188" s="31">
        <v>3485221.67</v>
      </c>
      <c r="O188" s="31">
        <v>0</v>
      </c>
      <c r="P188" s="31">
        <v>0</v>
      </c>
      <c r="Q188" s="31">
        <v>0</v>
      </c>
      <c r="R188" s="31">
        <v>0</v>
      </c>
      <c r="S188" s="31">
        <v>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f t="shared" si="24"/>
        <v>52278.33</v>
      </c>
      <c r="AD188" s="39">
        <v>81949.67</v>
      </c>
      <c r="AE188" s="31">
        <v>0</v>
      </c>
      <c r="AF188" s="34">
        <v>2020</v>
      </c>
      <c r="AG188" s="34">
        <v>2020</v>
      </c>
      <c r="AH188" s="35">
        <v>2020</v>
      </c>
      <c r="BZ188" s="71"/>
      <c r="CD188" s="20" t="e">
        <f t="shared" si="23"/>
        <v>#N/A</v>
      </c>
    </row>
    <row r="189" spans="1:84" ht="61.5" x14ac:dyDescent="0.85">
      <c r="A189" s="20">
        <v>1</v>
      </c>
      <c r="B189" s="66">
        <f>SUBTOTAL(103,$A$22:A189)</f>
        <v>166</v>
      </c>
      <c r="C189" s="24" t="s">
        <v>1300</v>
      </c>
      <c r="D189" s="31">
        <f t="shared" si="22"/>
        <v>1139819.0599999998</v>
      </c>
      <c r="E189" s="31">
        <v>0</v>
      </c>
      <c r="F189" s="31">
        <v>0</v>
      </c>
      <c r="G189" s="31">
        <v>0</v>
      </c>
      <c r="H189" s="31">
        <v>0</v>
      </c>
      <c r="I189" s="31">
        <v>0</v>
      </c>
      <c r="J189" s="31">
        <v>0</v>
      </c>
      <c r="K189" s="33">
        <v>0</v>
      </c>
      <c r="L189" s="31">
        <v>0</v>
      </c>
      <c r="M189" s="39">
        <v>259.76</v>
      </c>
      <c r="N189" s="179">
        <v>1089346.73</v>
      </c>
      <c r="O189" s="31">
        <v>0</v>
      </c>
      <c r="P189" s="31">
        <v>0</v>
      </c>
      <c r="Q189" s="31">
        <v>0</v>
      </c>
      <c r="R189" s="31">
        <v>0</v>
      </c>
      <c r="S189" s="31">
        <v>0</v>
      </c>
      <c r="T189" s="31">
        <v>0</v>
      </c>
      <c r="U189" s="31">
        <v>0</v>
      </c>
      <c r="V189" s="31">
        <v>0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179">
        <v>5147.16</v>
      </c>
      <c r="AD189" s="39">
        <v>45325.17</v>
      </c>
      <c r="AE189" s="31">
        <v>0</v>
      </c>
      <c r="AF189" s="34">
        <v>2020</v>
      </c>
      <c r="AG189" s="34">
        <v>2020</v>
      </c>
      <c r="AH189" s="35">
        <v>2020</v>
      </c>
      <c r="BZ189" s="71"/>
      <c r="CD189" s="20" t="e">
        <f t="shared" si="23"/>
        <v>#N/A</v>
      </c>
    </row>
    <row r="190" spans="1:84" ht="61.5" x14ac:dyDescent="0.85">
      <c r="A190" s="20">
        <v>1</v>
      </c>
      <c r="B190" s="66">
        <f>SUBTOTAL(103,$A$22:A190)</f>
        <v>167</v>
      </c>
      <c r="C190" s="24" t="s">
        <v>1301</v>
      </c>
      <c r="D190" s="31">
        <f t="shared" si="22"/>
        <v>1338948.23</v>
      </c>
      <c r="E190" s="31">
        <v>0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3">
        <v>0</v>
      </c>
      <c r="L190" s="31">
        <v>0</v>
      </c>
      <c r="M190" s="31">
        <v>253</v>
      </c>
      <c r="N190" s="31">
        <v>1272413.79</v>
      </c>
      <c r="O190" s="31">
        <v>0</v>
      </c>
      <c r="P190" s="31">
        <v>0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f t="shared" si="24"/>
        <v>19086.21</v>
      </c>
      <c r="AD190" s="39">
        <v>47448.23</v>
      </c>
      <c r="AE190" s="31">
        <v>0</v>
      </c>
      <c r="AF190" s="34">
        <v>2020</v>
      </c>
      <c r="AG190" s="34">
        <v>2020</v>
      </c>
      <c r="AH190" s="35">
        <v>2020</v>
      </c>
      <c r="BZ190" s="71"/>
      <c r="CD190" s="20" t="e">
        <f t="shared" si="23"/>
        <v>#N/A</v>
      </c>
    </row>
    <row r="191" spans="1:84" ht="61.5" x14ac:dyDescent="0.85">
      <c r="A191" s="20">
        <v>1</v>
      </c>
      <c r="B191" s="66">
        <f>SUBTOTAL(103,$A$22:A191)</f>
        <v>168</v>
      </c>
      <c r="C191" s="24" t="s">
        <v>1560</v>
      </c>
      <c r="D191" s="31">
        <f t="shared" si="22"/>
        <v>2343822.52</v>
      </c>
      <c r="E191" s="31">
        <v>0</v>
      </c>
      <c r="F191" s="31">
        <v>0</v>
      </c>
      <c r="G191" s="31">
        <v>0</v>
      </c>
      <c r="H191" s="31">
        <v>0</v>
      </c>
      <c r="I191" s="31">
        <v>0</v>
      </c>
      <c r="J191" s="31">
        <v>0</v>
      </c>
      <c r="K191" s="33">
        <v>0</v>
      </c>
      <c r="L191" s="31">
        <v>0</v>
      </c>
      <c r="M191" s="31">
        <v>792</v>
      </c>
      <c r="N191" s="31">
        <v>2330886.1</v>
      </c>
      <c r="O191" s="31">
        <v>0</v>
      </c>
      <c r="P191" s="31">
        <v>0</v>
      </c>
      <c r="Q191" s="31">
        <v>0</v>
      </c>
      <c r="R191" s="31">
        <v>0</v>
      </c>
      <c r="S191" s="31">
        <v>0</v>
      </c>
      <c r="T191" s="31">
        <v>0</v>
      </c>
      <c r="U191" s="31">
        <v>0</v>
      </c>
      <c r="V191" s="31">
        <v>0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9">
        <v>12936.42</v>
      </c>
      <c r="AD191" s="31">
        <v>0</v>
      </c>
      <c r="AE191" s="31">
        <v>0</v>
      </c>
      <c r="AF191" s="34" t="s">
        <v>270</v>
      </c>
      <c r="AG191" s="34">
        <v>2020</v>
      </c>
      <c r="AH191" s="35">
        <v>2020</v>
      </c>
      <c r="BZ191" s="71"/>
      <c r="CD191" s="20">
        <f t="shared" si="23"/>
        <v>792</v>
      </c>
    </row>
    <row r="192" spans="1:84" ht="61.5" x14ac:dyDescent="0.85">
      <c r="A192" s="20">
        <v>1</v>
      </c>
      <c r="B192" s="66">
        <f>SUBTOTAL(103,$A$22:A192)</f>
        <v>169</v>
      </c>
      <c r="C192" s="24" t="s">
        <v>1572</v>
      </c>
      <c r="D192" s="31">
        <f t="shared" si="22"/>
        <v>3191227.59</v>
      </c>
      <c r="E192" s="31">
        <v>0</v>
      </c>
      <c r="F192" s="31">
        <v>0</v>
      </c>
      <c r="G192" s="31">
        <v>0</v>
      </c>
      <c r="H192" s="31">
        <v>0</v>
      </c>
      <c r="I192" s="31">
        <v>0</v>
      </c>
      <c r="J192" s="31">
        <v>0</v>
      </c>
      <c r="K192" s="33">
        <v>0</v>
      </c>
      <c r="L192" s="31">
        <v>0</v>
      </c>
      <c r="M192" s="31">
        <v>504</v>
      </c>
      <c r="N192" s="31">
        <v>3074667.19</v>
      </c>
      <c r="O192" s="31">
        <v>0</v>
      </c>
      <c r="P192" s="31">
        <v>0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f t="shared" si="24"/>
        <v>46120.01</v>
      </c>
      <c r="AD192" s="39">
        <v>70440.39</v>
      </c>
      <c r="AE192" s="31">
        <v>0</v>
      </c>
      <c r="AF192" s="34">
        <v>2020</v>
      </c>
      <c r="AG192" s="34">
        <v>2020</v>
      </c>
      <c r="AH192" s="35">
        <v>2020</v>
      </c>
      <c r="BZ192" s="71"/>
      <c r="CD192" s="20" t="e">
        <f t="shared" si="23"/>
        <v>#N/A</v>
      </c>
    </row>
    <row r="193" spans="1:82" ht="61.5" x14ac:dyDescent="0.85">
      <c r="A193" s="20">
        <v>1</v>
      </c>
      <c r="B193" s="66">
        <f>SUBTOTAL(103,$A$22:A193)</f>
        <v>170</v>
      </c>
      <c r="C193" s="24" t="s">
        <v>1573</v>
      </c>
      <c r="D193" s="31">
        <f t="shared" si="22"/>
        <v>3239524.45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0</v>
      </c>
      <c r="K193" s="33">
        <v>0</v>
      </c>
      <c r="L193" s="31">
        <v>0</v>
      </c>
      <c r="M193" s="31">
        <v>630</v>
      </c>
      <c r="N193" s="31">
        <v>3114086.93</v>
      </c>
      <c r="O193" s="31">
        <v>0</v>
      </c>
      <c r="P193" s="31">
        <v>0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f t="shared" si="24"/>
        <v>46711.3</v>
      </c>
      <c r="AD193" s="39">
        <v>78726.22</v>
      </c>
      <c r="AE193" s="31">
        <v>0</v>
      </c>
      <c r="AF193" s="34">
        <v>2020</v>
      </c>
      <c r="AG193" s="34">
        <v>2020</v>
      </c>
      <c r="AH193" s="35">
        <v>2020</v>
      </c>
      <c r="BZ193" s="71"/>
      <c r="CD193" s="20" t="e">
        <f t="shared" si="23"/>
        <v>#N/A</v>
      </c>
    </row>
    <row r="194" spans="1:82" ht="61.5" x14ac:dyDescent="0.85">
      <c r="A194" s="20">
        <v>1</v>
      </c>
      <c r="B194" s="66">
        <f>SUBTOTAL(103,$A$22:A194)</f>
        <v>171</v>
      </c>
      <c r="C194" s="24" t="s">
        <v>1603</v>
      </c>
      <c r="D194" s="31">
        <f t="shared" ref="D194" si="25">E194+F194+G194+H194+I194+J194+L194+N194+P194+R194+T194+U194+V194+W194+X194+Y194+Z194+AA194+AB194+AC194+AD194+AE194</f>
        <v>2039264.59</v>
      </c>
      <c r="E194" s="31">
        <v>0</v>
      </c>
      <c r="F194" s="31">
        <v>0</v>
      </c>
      <c r="G194" s="31">
        <v>0</v>
      </c>
      <c r="H194" s="31">
        <v>0</v>
      </c>
      <c r="I194" s="31">
        <v>0</v>
      </c>
      <c r="J194" s="31">
        <v>0</v>
      </c>
      <c r="K194" s="33">
        <v>0</v>
      </c>
      <c r="L194" s="31">
        <v>0</v>
      </c>
      <c r="M194" s="31">
        <v>792.98</v>
      </c>
      <c r="N194" s="31">
        <v>1767006.67</v>
      </c>
      <c r="O194" s="31">
        <v>0</v>
      </c>
      <c r="P194" s="31">
        <v>0</v>
      </c>
      <c r="Q194" s="31">
        <v>0</v>
      </c>
      <c r="R194" s="31">
        <v>0</v>
      </c>
      <c r="S194" s="31">
        <v>0</v>
      </c>
      <c r="T194" s="31">
        <v>0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9">
        <v>8349.11</v>
      </c>
      <c r="AD194" s="39">
        <v>263908.81</v>
      </c>
      <c r="AE194" s="31">
        <v>0</v>
      </c>
      <c r="AF194" s="34">
        <v>2020</v>
      </c>
      <c r="AG194" s="34">
        <v>2020</v>
      </c>
      <c r="AH194" s="35">
        <v>2020</v>
      </c>
      <c r="BZ194" s="71"/>
      <c r="CD194" s="20" t="e">
        <f t="shared" si="23"/>
        <v>#N/A</v>
      </c>
    </row>
    <row r="195" spans="1:82" ht="61.5" x14ac:dyDescent="0.85">
      <c r="A195" s="20">
        <v>1</v>
      </c>
      <c r="B195" s="66">
        <f>SUBTOTAL(103,$A$22:A195)</f>
        <v>172</v>
      </c>
      <c r="C195" s="24" t="s">
        <v>404</v>
      </c>
      <c r="D195" s="31">
        <f>E195+F195+G195+H195+I195+J195+L195+N195+P195+R195+T195+U195+V195+W195+X195+Y195+Z195+AA195+AB195+AC195+AD195+AE195</f>
        <v>2282153.6300000004</v>
      </c>
      <c r="E195" s="31">
        <v>0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3">
        <v>1</v>
      </c>
      <c r="L195" s="31">
        <f>2116554.68+27367.96-201180.44+266779.39</f>
        <v>2209521.5900000003</v>
      </c>
      <c r="M195" s="31">
        <v>0</v>
      </c>
      <c r="N195" s="31">
        <v>0</v>
      </c>
      <c r="O195" s="31">
        <v>0</v>
      </c>
      <c r="P195" s="31">
        <v>0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123">
        <v>72632.039999999994</v>
      </c>
      <c r="AE195" s="31">
        <v>0</v>
      </c>
      <c r="AF195" s="34">
        <v>2020</v>
      </c>
      <c r="AG195" s="34">
        <v>2020</v>
      </c>
      <c r="AH195" s="35" t="s">
        <v>270</v>
      </c>
      <c r="AT195" s="20">
        <f>VLOOKUP(C195,AW:AX,2,FALSE)</f>
        <v>1</v>
      </c>
      <c r="BZ195" s="71"/>
      <c r="CD195" s="20" t="e">
        <f t="shared" si="23"/>
        <v>#N/A</v>
      </c>
    </row>
    <row r="196" spans="1:82" ht="61.5" x14ac:dyDescent="0.85">
      <c r="A196" s="20">
        <v>1</v>
      </c>
      <c r="B196" s="66">
        <f>SUBTOTAL(103,$A$22:A196)</f>
        <v>173</v>
      </c>
      <c r="C196" s="24" t="s">
        <v>440</v>
      </c>
      <c r="D196" s="31">
        <f>E196+F196+G196+H196+I196+J196+L196+N196+P196+R196+T196+U196+V196+W196+X196+Y196+Z196+AA196+AB196+AC196+AD196+AE196</f>
        <v>105635.39</v>
      </c>
      <c r="E196" s="31">
        <v>0</v>
      </c>
      <c r="F196" s="31">
        <v>0</v>
      </c>
      <c r="G196" s="31">
        <v>0</v>
      </c>
      <c r="H196" s="31">
        <v>0</v>
      </c>
      <c r="I196" s="31">
        <v>0</v>
      </c>
      <c r="J196" s="31">
        <v>0</v>
      </c>
      <c r="K196" s="33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0</v>
      </c>
      <c r="Q196" s="31">
        <v>0</v>
      </c>
      <c r="R196" s="31">
        <v>0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f>ROUND(N196*1.5%,2)</f>
        <v>0</v>
      </c>
      <c r="AD196" s="31">
        <v>105635.39</v>
      </c>
      <c r="AE196" s="31">
        <v>0</v>
      </c>
      <c r="AF196" s="34">
        <v>2020</v>
      </c>
      <c r="AG196" s="35" t="s">
        <v>270</v>
      </c>
      <c r="AH196" s="35" t="s">
        <v>270</v>
      </c>
      <c r="BZ196" s="71"/>
      <c r="CD196" s="20" t="e">
        <f t="shared" si="23"/>
        <v>#N/A</v>
      </c>
    </row>
    <row r="197" spans="1:82" ht="61.5" x14ac:dyDescent="0.85">
      <c r="A197" s="20">
        <v>1</v>
      </c>
      <c r="B197" s="66">
        <f>SUBTOTAL(103,$A$22:A197)</f>
        <v>174</v>
      </c>
      <c r="C197" s="24" t="s">
        <v>408</v>
      </c>
      <c r="D197" s="31">
        <f t="shared" ref="D197:D202" si="26">E197+F197+G197+H197+I197+J197+L197+N197+P197+R197+T197+U197+V197+W197+X197+Y197+Z197+AA197+AB197+AC197+AD197+AE197</f>
        <v>92719.18</v>
      </c>
      <c r="E197" s="31">
        <v>0</v>
      </c>
      <c r="F197" s="31">
        <v>0</v>
      </c>
      <c r="G197" s="31">
        <v>0</v>
      </c>
      <c r="H197" s="31">
        <v>0</v>
      </c>
      <c r="I197" s="31">
        <v>0</v>
      </c>
      <c r="J197" s="31">
        <v>0</v>
      </c>
      <c r="K197" s="74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0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f t="shared" ref="AC197:AC202" si="27">ROUND(N197*1.5%,2)</f>
        <v>0</v>
      </c>
      <c r="AD197" s="31">
        <v>92719.18</v>
      </c>
      <c r="AE197" s="31">
        <v>0</v>
      </c>
      <c r="AF197" s="34">
        <v>2020</v>
      </c>
      <c r="AG197" s="35" t="s">
        <v>270</v>
      </c>
      <c r="AH197" s="35" t="s">
        <v>270</v>
      </c>
      <c r="AT197" s="20" t="e">
        <v>#N/A</v>
      </c>
      <c r="BZ197" s="71"/>
      <c r="CD197" s="20" t="e">
        <v>#N/A</v>
      </c>
    </row>
    <row r="198" spans="1:82" ht="61.5" x14ac:dyDescent="0.85">
      <c r="A198" s="20">
        <v>1</v>
      </c>
      <c r="B198" s="66">
        <f>SUBTOTAL(103,$A$22:A198)</f>
        <v>175</v>
      </c>
      <c r="C198" s="24" t="s">
        <v>409</v>
      </c>
      <c r="D198" s="31">
        <f t="shared" si="26"/>
        <v>73434.98</v>
      </c>
      <c r="E198" s="31">
        <v>0</v>
      </c>
      <c r="F198" s="31">
        <v>0</v>
      </c>
      <c r="G198" s="31">
        <v>0</v>
      </c>
      <c r="H198" s="31">
        <v>0</v>
      </c>
      <c r="I198" s="31">
        <v>0</v>
      </c>
      <c r="J198" s="31">
        <v>0</v>
      </c>
      <c r="K198" s="74">
        <v>0</v>
      </c>
      <c r="L198" s="31">
        <v>0</v>
      </c>
      <c r="M198" s="31">
        <v>0</v>
      </c>
      <c r="N198" s="31">
        <v>0</v>
      </c>
      <c r="O198" s="31">
        <v>0</v>
      </c>
      <c r="P198" s="31">
        <v>0</v>
      </c>
      <c r="Q198" s="31">
        <v>0</v>
      </c>
      <c r="R198" s="31">
        <v>0</v>
      </c>
      <c r="S198" s="31">
        <v>0</v>
      </c>
      <c r="T198" s="31">
        <v>0</v>
      </c>
      <c r="U198" s="31">
        <v>0</v>
      </c>
      <c r="V198" s="31">
        <v>0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f t="shared" si="27"/>
        <v>0</v>
      </c>
      <c r="AD198" s="31">
        <v>73434.98</v>
      </c>
      <c r="AE198" s="31">
        <v>0</v>
      </c>
      <c r="AF198" s="34">
        <v>2020</v>
      </c>
      <c r="AG198" s="35" t="s">
        <v>270</v>
      </c>
      <c r="AH198" s="35" t="s">
        <v>270</v>
      </c>
      <c r="AT198" s="20" t="e">
        <v>#N/A</v>
      </c>
      <c r="BZ198" s="71"/>
      <c r="CD198" s="20" t="e">
        <v>#N/A</v>
      </c>
    </row>
    <row r="199" spans="1:82" ht="61.5" x14ac:dyDescent="0.85">
      <c r="A199" s="20">
        <v>1</v>
      </c>
      <c r="B199" s="66">
        <f>SUBTOTAL(103,$A$22:A199)</f>
        <v>176</v>
      </c>
      <c r="C199" s="24" t="s">
        <v>410</v>
      </c>
      <c r="D199" s="31">
        <f t="shared" si="26"/>
        <v>73079.5</v>
      </c>
      <c r="E199" s="31">
        <v>0</v>
      </c>
      <c r="F199" s="31">
        <v>0</v>
      </c>
      <c r="G199" s="31">
        <v>0</v>
      </c>
      <c r="H199" s="31">
        <v>0</v>
      </c>
      <c r="I199" s="31">
        <v>0</v>
      </c>
      <c r="J199" s="31">
        <v>0</v>
      </c>
      <c r="K199" s="74">
        <v>0</v>
      </c>
      <c r="L199" s="31">
        <v>0</v>
      </c>
      <c r="M199" s="31">
        <v>0</v>
      </c>
      <c r="N199" s="31">
        <v>0</v>
      </c>
      <c r="O199" s="31">
        <v>0</v>
      </c>
      <c r="P199" s="31">
        <v>0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f t="shared" si="27"/>
        <v>0</v>
      </c>
      <c r="AD199" s="31">
        <v>73079.5</v>
      </c>
      <c r="AE199" s="31">
        <v>0</v>
      </c>
      <c r="AF199" s="34">
        <v>2020</v>
      </c>
      <c r="AG199" s="35" t="s">
        <v>270</v>
      </c>
      <c r="AH199" s="35" t="s">
        <v>270</v>
      </c>
      <c r="AT199" s="20" t="e">
        <v>#N/A</v>
      </c>
      <c r="BZ199" s="71"/>
      <c r="CD199" s="20" t="e">
        <v>#N/A</v>
      </c>
    </row>
    <row r="200" spans="1:82" ht="61.5" x14ac:dyDescent="0.85">
      <c r="A200" s="20">
        <v>1</v>
      </c>
      <c r="B200" s="66">
        <f>SUBTOTAL(103,$A$22:A200)</f>
        <v>177</v>
      </c>
      <c r="C200" s="24" t="s">
        <v>415</v>
      </c>
      <c r="D200" s="31">
        <f t="shared" si="26"/>
        <v>78212.149999999994</v>
      </c>
      <c r="E200" s="31">
        <v>0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74">
        <v>0</v>
      </c>
      <c r="L200" s="31">
        <v>0</v>
      </c>
      <c r="M200" s="31">
        <v>0</v>
      </c>
      <c r="N200" s="31">
        <v>0</v>
      </c>
      <c r="O200" s="31">
        <v>0</v>
      </c>
      <c r="P200" s="31">
        <v>0</v>
      </c>
      <c r="Q200" s="31">
        <v>0</v>
      </c>
      <c r="R200" s="31">
        <v>0</v>
      </c>
      <c r="S200" s="31">
        <v>0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f t="shared" si="27"/>
        <v>0</v>
      </c>
      <c r="AD200" s="31">
        <v>78212.149999999994</v>
      </c>
      <c r="AE200" s="31">
        <v>0</v>
      </c>
      <c r="AF200" s="34">
        <v>2020</v>
      </c>
      <c r="AG200" s="35" t="s">
        <v>270</v>
      </c>
      <c r="AH200" s="35" t="s">
        <v>270</v>
      </c>
      <c r="AT200" s="20" t="e">
        <v>#N/A</v>
      </c>
      <c r="BZ200" s="71"/>
      <c r="CD200" s="20" t="e">
        <v>#N/A</v>
      </c>
    </row>
    <row r="201" spans="1:82" ht="61.5" x14ac:dyDescent="0.85">
      <c r="A201" s="20">
        <v>1</v>
      </c>
      <c r="B201" s="66">
        <f>SUBTOTAL(103,$A$22:A201)</f>
        <v>178</v>
      </c>
      <c r="C201" s="24" t="s">
        <v>416</v>
      </c>
      <c r="D201" s="31">
        <f t="shared" si="26"/>
        <v>55647.31</v>
      </c>
      <c r="E201" s="31">
        <v>0</v>
      </c>
      <c r="F201" s="31">
        <v>0</v>
      </c>
      <c r="G201" s="31">
        <v>0</v>
      </c>
      <c r="H201" s="31">
        <v>0</v>
      </c>
      <c r="I201" s="31">
        <v>0</v>
      </c>
      <c r="J201" s="31">
        <v>0</v>
      </c>
      <c r="K201" s="74">
        <v>0</v>
      </c>
      <c r="L201" s="31">
        <v>0</v>
      </c>
      <c r="M201" s="31">
        <v>0</v>
      </c>
      <c r="N201" s="31">
        <v>0</v>
      </c>
      <c r="O201" s="31">
        <v>0</v>
      </c>
      <c r="P201" s="31">
        <v>0</v>
      </c>
      <c r="Q201" s="31">
        <v>0</v>
      </c>
      <c r="R201" s="31">
        <v>0</v>
      </c>
      <c r="S201" s="31">
        <v>0</v>
      </c>
      <c r="T201" s="31">
        <v>0</v>
      </c>
      <c r="U201" s="31">
        <v>0</v>
      </c>
      <c r="V201" s="31">
        <v>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f t="shared" si="27"/>
        <v>0</v>
      </c>
      <c r="AD201" s="31">
        <v>55647.31</v>
      </c>
      <c r="AE201" s="31">
        <v>0</v>
      </c>
      <c r="AF201" s="34">
        <v>2020</v>
      </c>
      <c r="AG201" s="35" t="s">
        <v>270</v>
      </c>
      <c r="AH201" s="35" t="s">
        <v>270</v>
      </c>
      <c r="AT201" s="20" t="e">
        <v>#N/A</v>
      </c>
      <c r="BZ201" s="71"/>
      <c r="CD201" s="20" t="e">
        <v>#N/A</v>
      </c>
    </row>
    <row r="202" spans="1:82" ht="61.5" x14ac:dyDescent="0.85">
      <c r="A202" s="20">
        <v>1</v>
      </c>
      <c r="B202" s="66">
        <f>SUBTOTAL(103,$A$22:A202)</f>
        <v>179</v>
      </c>
      <c r="C202" s="24" t="s">
        <v>424</v>
      </c>
      <c r="D202" s="31">
        <f t="shared" si="26"/>
        <v>74945.88</v>
      </c>
      <c r="E202" s="31">
        <v>0</v>
      </c>
      <c r="F202" s="31">
        <v>0</v>
      </c>
      <c r="G202" s="31">
        <v>0</v>
      </c>
      <c r="H202" s="31">
        <v>0</v>
      </c>
      <c r="I202" s="31">
        <v>0</v>
      </c>
      <c r="J202" s="31">
        <v>0</v>
      </c>
      <c r="K202" s="74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f t="shared" si="27"/>
        <v>0</v>
      </c>
      <c r="AD202" s="31">
        <v>74945.88</v>
      </c>
      <c r="AE202" s="31">
        <v>0</v>
      </c>
      <c r="AF202" s="34">
        <v>2020</v>
      </c>
      <c r="AG202" s="35" t="s">
        <v>270</v>
      </c>
      <c r="AH202" s="35" t="s">
        <v>270</v>
      </c>
      <c r="AT202" s="20" t="e">
        <v>#N/A</v>
      </c>
      <c r="BZ202" s="71"/>
      <c r="CD202" s="20" t="e">
        <v>#N/A</v>
      </c>
    </row>
    <row r="203" spans="1:82" ht="61.5" x14ac:dyDescent="0.85">
      <c r="B203" s="24" t="s">
        <v>766</v>
      </c>
      <c r="C203" s="108"/>
      <c r="D203" s="195">
        <f t="shared" ref="D203:AE203" si="28">SUM(D204:D240)</f>
        <v>137725231.69</v>
      </c>
      <c r="E203" s="31">
        <f t="shared" si="28"/>
        <v>0</v>
      </c>
      <c r="F203" s="31">
        <f t="shared" si="28"/>
        <v>0</v>
      </c>
      <c r="G203" s="31">
        <f t="shared" si="28"/>
        <v>0</v>
      </c>
      <c r="H203" s="31">
        <f t="shared" si="28"/>
        <v>0</v>
      </c>
      <c r="I203" s="31">
        <f t="shared" si="28"/>
        <v>576161.37</v>
      </c>
      <c r="J203" s="31">
        <f t="shared" si="28"/>
        <v>0</v>
      </c>
      <c r="K203" s="33">
        <f t="shared" si="28"/>
        <v>66</v>
      </c>
      <c r="L203" s="31">
        <f t="shared" si="28"/>
        <v>114060333.36000003</v>
      </c>
      <c r="M203" s="31">
        <f t="shared" si="28"/>
        <v>3533.4900000000002</v>
      </c>
      <c r="N203" s="31">
        <f t="shared" si="28"/>
        <v>12975999.990000002</v>
      </c>
      <c r="O203" s="31">
        <f t="shared" si="28"/>
        <v>0</v>
      </c>
      <c r="P203" s="31">
        <f t="shared" si="28"/>
        <v>0</v>
      </c>
      <c r="Q203" s="31">
        <f t="shared" si="28"/>
        <v>2075.4399999999996</v>
      </c>
      <c r="R203" s="31">
        <f t="shared" si="28"/>
        <v>8026913.3000000007</v>
      </c>
      <c r="S203" s="31">
        <f t="shared" si="28"/>
        <v>0</v>
      </c>
      <c r="T203" s="31">
        <f t="shared" si="28"/>
        <v>0</v>
      </c>
      <c r="U203" s="31">
        <f t="shared" si="28"/>
        <v>0</v>
      </c>
      <c r="V203" s="31">
        <f t="shared" si="28"/>
        <v>0</v>
      </c>
      <c r="W203" s="31">
        <f t="shared" si="28"/>
        <v>0</v>
      </c>
      <c r="X203" s="31">
        <f t="shared" si="28"/>
        <v>0</v>
      </c>
      <c r="Y203" s="31">
        <f t="shared" si="28"/>
        <v>0</v>
      </c>
      <c r="Z203" s="31">
        <f t="shared" si="28"/>
        <v>0</v>
      </c>
      <c r="AA203" s="31">
        <f t="shared" si="28"/>
        <v>0</v>
      </c>
      <c r="AB203" s="31">
        <f t="shared" si="28"/>
        <v>0</v>
      </c>
      <c r="AC203" s="31">
        <f t="shared" si="28"/>
        <v>204759.88999999996</v>
      </c>
      <c r="AD203" s="31">
        <f t="shared" si="28"/>
        <v>1881063.78</v>
      </c>
      <c r="AE203" s="31">
        <f t="shared" si="28"/>
        <v>0</v>
      </c>
      <c r="AF203" s="72" t="s">
        <v>757</v>
      </c>
      <c r="AG203" s="72" t="s">
        <v>757</v>
      </c>
      <c r="AH203" s="87" t="s">
        <v>757</v>
      </c>
      <c r="AT203" s="20" t="e">
        <f t="shared" ref="AT203:AT214" si="29">VLOOKUP(C203,AW:AX,2,FALSE)</f>
        <v>#N/A</v>
      </c>
      <c r="BZ203" s="71">
        <v>182923711.81999996</v>
      </c>
      <c r="CB203" s="71">
        <f>BZ203-D203</f>
        <v>45198480.129999965</v>
      </c>
      <c r="CD203" s="20" t="e">
        <f t="shared" ref="CD203:CD266" si="30">VLOOKUP(C203,CE:CF,2,FALSE)</f>
        <v>#N/A</v>
      </c>
    </row>
    <row r="204" spans="1:82" ht="61.5" x14ac:dyDescent="0.85">
      <c r="A204" s="20">
        <v>1</v>
      </c>
      <c r="B204" s="66">
        <f>SUBTOTAL(103,$A$22:A204)</f>
        <v>180</v>
      </c>
      <c r="C204" s="24" t="s">
        <v>767</v>
      </c>
      <c r="D204" s="31">
        <f t="shared" ref="D204:D232" si="31">E204+F204+G204+H204+I204+J204+L204+N204+P204+R204+T204+U204+V204+W204+X204+Y204+Z204+AA204+AB204+AC204+AD204+AE204</f>
        <v>149143.37</v>
      </c>
      <c r="E204" s="31">
        <v>0</v>
      </c>
      <c r="F204" s="31">
        <v>0</v>
      </c>
      <c r="G204" s="31">
        <v>0</v>
      </c>
      <c r="H204" s="31">
        <v>0</v>
      </c>
      <c r="I204" s="31">
        <v>0</v>
      </c>
      <c r="J204" s="31">
        <v>0</v>
      </c>
      <c r="K204" s="33">
        <v>0</v>
      </c>
      <c r="L204" s="31">
        <v>0</v>
      </c>
      <c r="M204" s="31">
        <v>0</v>
      </c>
      <c r="N204" s="31">
        <v>0</v>
      </c>
      <c r="O204" s="31">
        <v>0</v>
      </c>
      <c r="P204" s="31">
        <v>0</v>
      </c>
      <c r="Q204" s="31">
        <v>0</v>
      </c>
      <c r="R204" s="31">
        <v>0</v>
      </c>
      <c r="S204" s="31">
        <v>0</v>
      </c>
      <c r="T204" s="31">
        <v>0</v>
      </c>
      <c r="U204" s="31">
        <v>0</v>
      </c>
      <c r="V204" s="31">
        <v>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f>ROUND(R204*1.5%,2)</f>
        <v>0</v>
      </c>
      <c r="AD204" s="39">
        <v>149143.37</v>
      </c>
      <c r="AE204" s="31">
        <v>0</v>
      </c>
      <c r="AF204" s="34">
        <v>2020</v>
      </c>
      <c r="AG204" s="35" t="s">
        <v>270</v>
      </c>
      <c r="AH204" s="35" t="s">
        <v>270</v>
      </c>
      <c r="AT204" s="20" t="e">
        <f t="shared" si="29"/>
        <v>#N/A</v>
      </c>
      <c r="BZ204" s="71"/>
      <c r="CD204" s="20" t="e">
        <f t="shared" si="30"/>
        <v>#N/A</v>
      </c>
    </row>
    <row r="205" spans="1:82" ht="61.5" x14ac:dyDescent="0.85">
      <c r="A205" s="20">
        <v>1</v>
      </c>
      <c r="B205" s="66">
        <f>SUBTOTAL(103,$A$22:A205)</f>
        <v>181</v>
      </c>
      <c r="C205" s="24" t="s">
        <v>768</v>
      </c>
      <c r="D205" s="31">
        <f t="shared" si="31"/>
        <v>2194413.6799999997</v>
      </c>
      <c r="E205" s="31">
        <v>0</v>
      </c>
      <c r="F205" s="31">
        <v>0</v>
      </c>
      <c r="G205" s="31">
        <v>0</v>
      </c>
      <c r="H205" s="31">
        <v>0</v>
      </c>
      <c r="I205" s="31">
        <v>0</v>
      </c>
      <c r="J205" s="31">
        <v>0</v>
      </c>
      <c r="K205" s="33">
        <v>0</v>
      </c>
      <c r="L205" s="31">
        <v>0</v>
      </c>
      <c r="M205" s="39">
        <v>540.37</v>
      </c>
      <c r="N205" s="179">
        <v>2078453.13</v>
      </c>
      <c r="O205" s="31">
        <v>0</v>
      </c>
      <c r="P205" s="31">
        <v>0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9">
        <v>26812.05</v>
      </c>
      <c r="AD205" s="39">
        <v>89148.5</v>
      </c>
      <c r="AE205" s="31">
        <v>0</v>
      </c>
      <c r="AF205" s="34">
        <v>2020</v>
      </c>
      <c r="AG205" s="34">
        <v>2020</v>
      </c>
      <c r="AH205" s="35">
        <v>2020</v>
      </c>
      <c r="AT205" s="20" t="e">
        <f t="shared" si="29"/>
        <v>#N/A</v>
      </c>
      <c r="BZ205" s="71"/>
      <c r="CD205" s="20" t="e">
        <f t="shared" si="30"/>
        <v>#N/A</v>
      </c>
    </row>
    <row r="206" spans="1:82" ht="61.5" x14ac:dyDescent="0.85">
      <c r="A206" s="20">
        <v>1</v>
      </c>
      <c r="B206" s="66">
        <f>SUBTOTAL(103,$A$22:A206)</f>
        <v>182</v>
      </c>
      <c r="C206" s="24" t="s">
        <v>769</v>
      </c>
      <c r="D206" s="31">
        <f t="shared" si="31"/>
        <v>62023.07</v>
      </c>
      <c r="E206" s="31">
        <v>0</v>
      </c>
      <c r="F206" s="31">
        <v>0</v>
      </c>
      <c r="G206" s="31">
        <v>0</v>
      </c>
      <c r="H206" s="31">
        <v>0</v>
      </c>
      <c r="I206" s="31">
        <v>0</v>
      </c>
      <c r="J206" s="31">
        <v>0</v>
      </c>
      <c r="K206" s="33">
        <v>0</v>
      </c>
      <c r="L206" s="31">
        <v>0</v>
      </c>
      <c r="M206" s="31">
        <v>0</v>
      </c>
      <c r="N206" s="31">
        <v>0</v>
      </c>
      <c r="O206" s="31">
        <v>0</v>
      </c>
      <c r="P206" s="31">
        <v>0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f>ROUND(N206*1.5%,2)</f>
        <v>0</v>
      </c>
      <c r="AD206" s="179">
        <v>62023.07</v>
      </c>
      <c r="AE206" s="31">
        <v>0</v>
      </c>
      <c r="AF206" s="34">
        <v>2020</v>
      </c>
      <c r="AG206" s="35" t="s">
        <v>270</v>
      </c>
      <c r="AH206" s="35" t="s">
        <v>270</v>
      </c>
      <c r="AT206" s="20" t="e">
        <f t="shared" si="29"/>
        <v>#N/A</v>
      </c>
      <c r="BZ206" s="71"/>
      <c r="CD206" s="20" t="e">
        <f t="shared" si="30"/>
        <v>#N/A</v>
      </c>
    </row>
    <row r="207" spans="1:82" ht="61.5" x14ac:dyDescent="0.85">
      <c r="A207" s="20">
        <v>1</v>
      </c>
      <c r="B207" s="66">
        <f>SUBTOTAL(103,$A$22:A207)</f>
        <v>183</v>
      </c>
      <c r="C207" s="24" t="s">
        <v>770</v>
      </c>
      <c r="D207" s="31">
        <f t="shared" si="31"/>
        <v>4939980.5199999996</v>
      </c>
      <c r="E207" s="31">
        <v>0</v>
      </c>
      <c r="F207" s="31">
        <v>0</v>
      </c>
      <c r="G207" s="31">
        <v>0</v>
      </c>
      <c r="H207" s="31">
        <v>0</v>
      </c>
      <c r="I207" s="31">
        <v>0</v>
      </c>
      <c r="J207" s="31">
        <v>0</v>
      </c>
      <c r="K207" s="241">
        <v>3</v>
      </c>
      <c r="L207" s="39">
        <f>1646660.18+1646660.17+1646660.17</f>
        <v>4939980.5199999996</v>
      </c>
      <c r="M207" s="31">
        <v>0</v>
      </c>
      <c r="N207" s="31">
        <v>0</v>
      </c>
      <c r="O207" s="31">
        <v>0</v>
      </c>
      <c r="P207" s="31">
        <v>0</v>
      </c>
      <c r="Q207" s="31">
        <v>0</v>
      </c>
      <c r="R207" s="31">
        <v>0</v>
      </c>
      <c r="S207" s="31">
        <v>0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4" t="s">
        <v>270</v>
      </c>
      <c r="AG207" s="34">
        <v>2020</v>
      </c>
      <c r="AH207" s="35" t="s">
        <v>270</v>
      </c>
      <c r="AT207" s="20" t="e">
        <f t="shared" si="29"/>
        <v>#N/A</v>
      </c>
      <c r="BZ207" s="71"/>
      <c r="CD207" s="20" t="e">
        <f t="shared" si="30"/>
        <v>#N/A</v>
      </c>
    </row>
    <row r="208" spans="1:82" ht="61.5" x14ac:dyDescent="0.85">
      <c r="A208" s="20">
        <v>1</v>
      </c>
      <c r="B208" s="66">
        <f>SUBTOTAL(103,$A$22:A208)</f>
        <v>184</v>
      </c>
      <c r="C208" s="24" t="s">
        <v>771</v>
      </c>
      <c r="D208" s="31">
        <f t="shared" si="31"/>
        <v>6608023.2199999997</v>
      </c>
      <c r="E208" s="31">
        <v>0</v>
      </c>
      <c r="F208" s="31">
        <v>0</v>
      </c>
      <c r="G208" s="31">
        <v>0</v>
      </c>
      <c r="H208" s="31">
        <v>0</v>
      </c>
      <c r="I208" s="31">
        <v>0</v>
      </c>
      <c r="J208" s="31">
        <v>0</v>
      </c>
      <c r="K208" s="241">
        <v>4</v>
      </c>
      <c r="L208" s="39">
        <v>6608023.2199999997</v>
      </c>
      <c r="M208" s="31">
        <v>0</v>
      </c>
      <c r="N208" s="31">
        <v>0</v>
      </c>
      <c r="O208" s="31">
        <v>0</v>
      </c>
      <c r="P208" s="31">
        <v>0</v>
      </c>
      <c r="Q208" s="31">
        <v>0</v>
      </c>
      <c r="R208" s="31">
        <v>0</v>
      </c>
      <c r="S208" s="31">
        <v>0</v>
      </c>
      <c r="T208" s="31">
        <v>0</v>
      </c>
      <c r="U208" s="31">
        <v>0</v>
      </c>
      <c r="V208" s="31">
        <v>0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0</v>
      </c>
      <c r="AF208" s="34" t="s">
        <v>270</v>
      </c>
      <c r="AG208" s="34">
        <v>2020</v>
      </c>
      <c r="AH208" s="35" t="s">
        <v>270</v>
      </c>
      <c r="AT208" s="20" t="e">
        <f t="shared" si="29"/>
        <v>#N/A</v>
      </c>
      <c r="BZ208" s="71"/>
      <c r="CD208" s="20" t="e">
        <f t="shared" si="30"/>
        <v>#N/A</v>
      </c>
    </row>
    <row r="209" spans="1:82" ht="61.5" x14ac:dyDescent="0.85">
      <c r="A209" s="20">
        <v>1</v>
      </c>
      <c r="B209" s="66">
        <f>SUBTOTAL(103,$A$22:A209)</f>
        <v>185</v>
      </c>
      <c r="C209" s="24" t="s">
        <v>772</v>
      </c>
      <c r="D209" s="31">
        <f t="shared" si="31"/>
        <v>8162096.2000000002</v>
      </c>
      <c r="E209" s="31">
        <v>0</v>
      </c>
      <c r="F209" s="31">
        <v>0</v>
      </c>
      <c r="G209" s="31">
        <v>0</v>
      </c>
      <c r="H209" s="31">
        <v>0</v>
      </c>
      <c r="I209" s="31">
        <v>0</v>
      </c>
      <c r="J209" s="31">
        <v>0</v>
      </c>
      <c r="K209" s="241">
        <v>5</v>
      </c>
      <c r="L209" s="39">
        <f>1632419.24+1632419.24+1632419.24+1632419.24+1632419.24</f>
        <v>8162096.2000000002</v>
      </c>
      <c r="M209" s="31">
        <v>0</v>
      </c>
      <c r="N209" s="31">
        <v>0</v>
      </c>
      <c r="O209" s="31">
        <v>0</v>
      </c>
      <c r="P209" s="31">
        <v>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4" t="s">
        <v>270</v>
      </c>
      <c r="AG209" s="34">
        <v>2020</v>
      </c>
      <c r="AH209" s="35" t="s">
        <v>270</v>
      </c>
      <c r="AT209" s="20" t="e">
        <f t="shared" si="29"/>
        <v>#N/A</v>
      </c>
      <c r="BZ209" s="71"/>
      <c r="CD209" s="20" t="e">
        <f t="shared" si="30"/>
        <v>#N/A</v>
      </c>
    </row>
    <row r="210" spans="1:82" ht="61.5" x14ac:dyDescent="0.85">
      <c r="A210" s="20">
        <v>1</v>
      </c>
      <c r="B210" s="66">
        <f>SUBTOTAL(103,$A$22:A210)</f>
        <v>186</v>
      </c>
      <c r="C210" s="24" t="s">
        <v>773</v>
      </c>
      <c r="D210" s="31">
        <f t="shared" si="31"/>
        <v>7899262.5999999996</v>
      </c>
      <c r="E210" s="31">
        <v>0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241">
        <v>5</v>
      </c>
      <c r="L210" s="39">
        <f>1579852.52+1579852.52+1579852.52+1579852.52+1579852.52</f>
        <v>7899262.5999999996</v>
      </c>
      <c r="M210" s="31">
        <v>0</v>
      </c>
      <c r="N210" s="31">
        <v>0</v>
      </c>
      <c r="O210" s="31">
        <v>0</v>
      </c>
      <c r="P210" s="31">
        <v>0</v>
      </c>
      <c r="Q210" s="31">
        <v>0</v>
      </c>
      <c r="R210" s="31">
        <v>0</v>
      </c>
      <c r="S210" s="31">
        <v>0</v>
      </c>
      <c r="T210" s="31">
        <v>0</v>
      </c>
      <c r="U210" s="31">
        <v>0</v>
      </c>
      <c r="V210" s="31">
        <v>0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0</v>
      </c>
      <c r="AF210" s="34" t="s">
        <v>270</v>
      </c>
      <c r="AG210" s="34">
        <v>2020</v>
      </c>
      <c r="AH210" s="35" t="s">
        <v>270</v>
      </c>
      <c r="AT210" s="20" t="e">
        <f t="shared" si="29"/>
        <v>#N/A</v>
      </c>
      <c r="BZ210" s="71"/>
      <c r="CD210" s="20" t="e">
        <f t="shared" si="30"/>
        <v>#N/A</v>
      </c>
    </row>
    <row r="211" spans="1:82" ht="61.5" x14ac:dyDescent="0.85">
      <c r="A211" s="20">
        <v>1</v>
      </c>
      <c r="B211" s="66">
        <f>SUBTOTAL(103,$A$22:A211)</f>
        <v>187</v>
      </c>
      <c r="C211" s="24" t="s">
        <v>774</v>
      </c>
      <c r="D211" s="31">
        <f t="shared" si="31"/>
        <v>249196.36</v>
      </c>
      <c r="E211" s="31">
        <v>0</v>
      </c>
      <c r="F211" s="31">
        <v>0</v>
      </c>
      <c r="G211" s="31">
        <v>0</v>
      </c>
      <c r="H211" s="31">
        <v>0</v>
      </c>
      <c r="I211" s="31">
        <v>0</v>
      </c>
      <c r="J211" s="31">
        <v>0</v>
      </c>
      <c r="K211" s="33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0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f>ROUND((E211+F211+G211+H211+I211+J211)*1.5%,2)</f>
        <v>0</v>
      </c>
      <c r="AD211" s="39">
        <v>249196.36</v>
      </c>
      <c r="AE211" s="31">
        <v>0</v>
      </c>
      <c r="AF211" s="34">
        <v>2020</v>
      </c>
      <c r="AG211" s="35" t="s">
        <v>270</v>
      </c>
      <c r="AH211" s="35" t="s">
        <v>270</v>
      </c>
      <c r="AT211" s="20" t="e">
        <f t="shared" si="29"/>
        <v>#N/A</v>
      </c>
      <c r="BZ211" s="71"/>
      <c r="CD211" s="20" t="e">
        <f t="shared" si="30"/>
        <v>#N/A</v>
      </c>
    </row>
    <row r="212" spans="1:82" ht="61.5" x14ac:dyDescent="0.85">
      <c r="A212" s="20">
        <v>1</v>
      </c>
      <c r="B212" s="66">
        <f>SUBTOTAL(103,$A$22:A212)</f>
        <v>188</v>
      </c>
      <c r="C212" s="24" t="s">
        <v>775</v>
      </c>
      <c r="D212" s="31">
        <f t="shared" si="31"/>
        <v>1703879.76</v>
      </c>
      <c r="E212" s="31">
        <v>0</v>
      </c>
      <c r="F212" s="31">
        <v>0</v>
      </c>
      <c r="G212" s="31">
        <v>0</v>
      </c>
      <c r="H212" s="31">
        <v>0</v>
      </c>
      <c r="I212" s="31">
        <v>0</v>
      </c>
      <c r="J212" s="31">
        <v>0</v>
      </c>
      <c r="K212" s="33">
        <v>0</v>
      </c>
      <c r="L212" s="31">
        <v>0</v>
      </c>
      <c r="M212" s="31">
        <v>675</v>
      </c>
      <c r="N212" s="39">
        <v>1622576.28</v>
      </c>
      <c r="O212" s="31">
        <v>0</v>
      </c>
      <c r="P212" s="31">
        <v>0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9">
        <v>81303.48</v>
      </c>
      <c r="AE212" s="31">
        <v>0</v>
      </c>
      <c r="AF212" s="34">
        <v>2020</v>
      </c>
      <c r="AG212" s="34">
        <v>2020</v>
      </c>
      <c r="AH212" s="35" t="s">
        <v>270</v>
      </c>
      <c r="AT212" s="20" t="e">
        <f t="shared" si="29"/>
        <v>#N/A</v>
      </c>
      <c r="BZ212" s="71"/>
      <c r="CD212" s="20" t="e">
        <f t="shared" si="30"/>
        <v>#N/A</v>
      </c>
    </row>
    <row r="213" spans="1:82" ht="61.5" x14ac:dyDescent="0.85">
      <c r="A213" s="20">
        <v>1</v>
      </c>
      <c r="B213" s="66">
        <f>SUBTOTAL(103,$A$22:A213)</f>
        <v>189</v>
      </c>
      <c r="C213" s="24" t="s">
        <v>776</v>
      </c>
      <c r="D213" s="31">
        <f t="shared" si="31"/>
        <v>114842.89</v>
      </c>
      <c r="E213" s="31">
        <v>0</v>
      </c>
      <c r="F213" s="31">
        <v>0</v>
      </c>
      <c r="G213" s="31">
        <v>0</v>
      </c>
      <c r="H213" s="31">
        <v>0</v>
      </c>
      <c r="I213" s="31">
        <v>0</v>
      </c>
      <c r="J213" s="31">
        <v>0</v>
      </c>
      <c r="K213" s="33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0</v>
      </c>
      <c r="Q213" s="31">
        <v>0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f>ROUND(N213*1.5%,2)</f>
        <v>0</v>
      </c>
      <c r="AD213" s="39">
        <v>114842.89</v>
      </c>
      <c r="AE213" s="31">
        <v>0</v>
      </c>
      <c r="AF213" s="34">
        <v>2020</v>
      </c>
      <c r="AG213" s="34" t="s">
        <v>270</v>
      </c>
      <c r="AH213" s="34" t="s">
        <v>270</v>
      </c>
      <c r="AT213" s="20" t="e">
        <f t="shared" si="29"/>
        <v>#N/A</v>
      </c>
      <c r="BZ213" s="71"/>
      <c r="CD213" s="20">
        <f t="shared" si="30"/>
        <v>1319.27</v>
      </c>
    </row>
    <row r="214" spans="1:82" ht="61.5" x14ac:dyDescent="0.85">
      <c r="A214" s="20">
        <v>1</v>
      </c>
      <c r="B214" s="66">
        <f>SUBTOTAL(103,$A$22:A214)</f>
        <v>190</v>
      </c>
      <c r="C214" s="24" t="s">
        <v>777</v>
      </c>
      <c r="D214" s="31">
        <f t="shared" si="31"/>
        <v>136497.56</v>
      </c>
      <c r="E214" s="31">
        <v>0</v>
      </c>
      <c r="F214" s="31">
        <v>0</v>
      </c>
      <c r="G214" s="31">
        <v>0</v>
      </c>
      <c r="H214" s="31">
        <v>0</v>
      </c>
      <c r="I214" s="31">
        <v>0</v>
      </c>
      <c r="J214" s="31">
        <v>0</v>
      </c>
      <c r="K214" s="33">
        <v>0</v>
      </c>
      <c r="L214" s="31">
        <v>0</v>
      </c>
      <c r="M214" s="31">
        <v>0</v>
      </c>
      <c r="N214" s="31">
        <v>0</v>
      </c>
      <c r="O214" s="31">
        <v>0</v>
      </c>
      <c r="P214" s="31">
        <v>0</v>
      </c>
      <c r="Q214" s="31">
        <v>0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f>ROUND(N214*1.5%,2)</f>
        <v>0</v>
      </c>
      <c r="AD214" s="39">
        <v>136497.56</v>
      </c>
      <c r="AE214" s="31">
        <v>0</v>
      </c>
      <c r="AF214" s="34">
        <v>2020</v>
      </c>
      <c r="AG214" s="34" t="s">
        <v>270</v>
      </c>
      <c r="AH214" s="34" t="s">
        <v>270</v>
      </c>
      <c r="AT214" s="20" t="e">
        <f t="shared" si="29"/>
        <v>#N/A</v>
      </c>
      <c r="BZ214" s="71"/>
      <c r="CD214" s="20" t="e">
        <f t="shared" si="30"/>
        <v>#N/A</v>
      </c>
    </row>
    <row r="215" spans="1:82" ht="61.5" x14ac:dyDescent="0.85">
      <c r="A215" s="20">
        <v>1</v>
      </c>
      <c r="B215" s="66">
        <f>SUBTOTAL(103,$A$22:A215)</f>
        <v>191</v>
      </c>
      <c r="C215" s="24" t="s">
        <v>1169</v>
      </c>
      <c r="D215" s="31">
        <f t="shared" si="31"/>
        <v>3517276.18</v>
      </c>
      <c r="E215" s="31">
        <v>0</v>
      </c>
      <c r="F215" s="31">
        <v>0</v>
      </c>
      <c r="G215" s="31">
        <v>0</v>
      </c>
      <c r="H215" s="31">
        <v>0</v>
      </c>
      <c r="I215" s="31">
        <v>0</v>
      </c>
      <c r="J215" s="31">
        <v>0</v>
      </c>
      <c r="K215" s="33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0</v>
      </c>
      <c r="Q215" s="242">
        <v>815.66</v>
      </c>
      <c r="R215" s="242">
        <v>3517276.18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v>0</v>
      </c>
      <c r="AF215" s="34" t="s">
        <v>270</v>
      </c>
      <c r="AG215" s="34">
        <v>2020</v>
      </c>
      <c r="AH215" s="35" t="s">
        <v>270</v>
      </c>
      <c r="BZ215" s="71"/>
      <c r="CD215" s="20" t="e">
        <f t="shared" si="30"/>
        <v>#N/A</v>
      </c>
    </row>
    <row r="216" spans="1:82" ht="61.5" x14ac:dyDescent="0.85">
      <c r="A216" s="20">
        <v>1</v>
      </c>
      <c r="B216" s="66">
        <f>SUBTOTAL(103,$A$22:A216)</f>
        <v>192</v>
      </c>
      <c r="C216" s="24" t="s">
        <v>1170</v>
      </c>
      <c r="D216" s="31">
        <f t="shared" si="31"/>
        <v>581865.37</v>
      </c>
      <c r="E216" s="31">
        <v>0</v>
      </c>
      <c r="F216" s="31">
        <v>0</v>
      </c>
      <c r="G216" s="31">
        <v>0</v>
      </c>
      <c r="H216" s="31">
        <v>0</v>
      </c>
      <c r="I216" s="179">
        <v>576161.37</v>
      </c>
      <c r="J216" s="31">
        <v>0</v>
      </c>
      <c r="K216" s="33">
        <v>0</v>
      </c>
      <c r="L216" s="31">
        <v>0</v>
      </c>
      <c r="M216" s="31">
        <v>0</v>
      </c>
      <c r="N216" s="31">
        <v>0</v>
      </c>
      <c r="O216" s="31">
        <v>0</v>
      </c>
      <c r="P216" s="31">
        <v>0</v>
      </c>
      <c r="Q216" s="31">
        <v>0</v>
      </c>
      <c r="R216" s="31">
        <v>0</v>
      </c>
      <c r="S216" s="31">
        <v>0</v>
      </c>
      <c r="T216" s="31">
        <v>0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179">
        <v>5704</v>
      </c>
      <c r="AD216" s="31">
        <v>0</v>
      </c>
      <c r="AE216" s="31">
        <v>0</v>
      </c>
      <c r="AF216" s="34" t="s">
        <v>270</v>
      </c>
      <c r="AG216" s="34">
        <v>2020</v>
      </c>
      <c r="AH216" s="35">
        <v>2020</v>
      </c>
      <c r="BZ216" s="71"/>
      <c r="CD216" s="20" t="e">
        <f t="shared" si="30"/>
        <v>#N/A</v>
      </c>
    </row>
    <row r="217" spans="1:82" ht="61.5" x14ac:dyDescent="0.85">
      <c r="A217" s="20">
        <v>1</v>
      </c>
      <c r="B217" s="66">
        <f>SUBTOTAL(103,$A$22:A217)</f>
        <v>193</v>
      </c>
      <c r="C217" s="24" t="s">
        <v>1171</v>
      </c>
      <c r="D217" s="31">
        <f t="shared" si="31"/>
        <v>5597667.4300000006</v>
      </c>
      <c r="E217" s="31">
        <v>0</v>
      </c>
      <c r="F217" s="31">
        <v>0</v>
      </c>
      <c r="G217" s="31">
        <v>0</v>
      </c>
      <c r="H217" s="31">
        <v>0</v>
      </c>
      <c r="I217" s="31">
        <v>0</v>
      </c>
      <c r="J217" s="31">
        <v>0</v>
      </c>
      <c r="K217" s="33">
        <v>0</v>
      </c>
      <c r="L217" s="31">
        <v>0</v>
      </c>
      <c r="M217" s="31">
        <v>1206.22</v>
      </c>
      <c r="N217" s="31">
        <v>5514943.2800000003</v>
      </c>
      <c r="O217" s="31">
        <v>0</v>
      </c>
      <c r="P217" s="31">
        <v>0</v>
      </c>
      <c r="Q217" s="31">
        <v>0</v>
      </c>
      <c r="R217" s="31">
        <v>0</v>
      </c>
      <c r="S217" s="31">
        <v>0</v>
      </c>
      <c r="T217" s="31">
        <v>0</v>
      </c>
      <c r="U217" s="31">
        <v>0</v>
      </c>
      <c r="V217" s="31">
        <v>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f>ROUND(N217*1.5%,2)</f>
        <v>82724.149999999994</v>
      </c>
      <c r="AD217" s="31">
        <v>0</v>
      </c>
      <c r="AE217" s="31">
        <v>0</v>
      </c>
      <c r="AF217" s="34" t="s">
        <v>270</v>
      </c>
      <c r="AG217" s="34">
        <v>2020</v>
      </c>
      <c r="AH217" s="35">
        <v>2020</v>
      </c>
      <c r="BZ217" s="71"/>
      <c r="CD217" s="20">
        <f t="shared" si="30"/>
        <v>1206.22</v>
      </c>
    </row>
    <row r="218" spans="1:82" ht="61.5" x14ac:dyDescent="0.85">
      <c r="A218" s="20">
        <v>1</v>
      </c>
      <c r="B218" s="66">
        <f>SUBTOTAL(103,$A$22:A218)</f>
        <v>194</v>
      </c>
      <c r="C218" s="24" t="s">
        <v>1174</v>
      </c>
      <c r="D218" s="31">
        <f t="shared" si="31"/>
        <v>3797251.5799999996</v>
      </c>
      <c r="E218" s="31">
        <v>0</v>
      </c>
      <c r="F218" s="31">
        <v>0</v>
      </c>
      <c r="G218" s="31">
        <v>0</v>
      </c>
      <c r="H218" s="31">
        <v>0</v>
      </c>
      <c r="I218" s="31">
        <v>0</v>
      </c>
      <c r="J218" s="31">
        <v>0</v>
      </c>
      <c r="K218" s="33">
        <v>0</v>
      </c>
      <c r="L218" s="31">
        <v>0</v>
      </c>
      <c r="M218" s="39">
        <v>1111.9000000000001</v>
      </c>
      <c r="N218" s="39">
        <v>3760027.3</v>
      </c>
      <c r="O218" s="31">
        <v>0</v>
      </c>
      <c r="P218" s="31">
        <v>0</v>
      </c>
      <c r="Q218" s="31">
        <v>0</v>
      </c>
      <c r="R218" s="31">
        <v>0</v>
      </c>
      <c r="S218" s="31">
        <v>0</v>
      </c>
      <c r="T218" s="31">
        <v>0</v>
      </c>
      <c r="U218" s="31">
        <v>0</v>
      </c>
      <c r="V218" s="31">
        <v>0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9">
        <v>37224.28</v>
      </c>
      <c r="AD218" s="31">
        <v>0</v>
      </c>
      <c r="AE218" s="31">
        <v>0</v>
      </c>
      <c r="AF218" s="34" t="s">
        <v>270</v>
      </c>
      <c r="AG218" s="34">
        <v>2020</v>
      </c>
      <c r="AH218" s="35">
        <v>2020</v>
      </c>
      <c r="BZ218" s="71"/>
      <c r="CD218" s="20">
        <f t="shared" si="30"/>
        <v>1137.3</v>
      </c>
    </row>
    <row r="219" spans="1:82" ht="61.5" x14ac:dyDescent="0.85">
      <c r="A219" s="20">
        <v>1</v>
      </c>
      <c r="B219" s="66">
        <f>SUBTOTAL(103,$A$22:A219)</f>
        <v>195</v>
      </c>
      <c r="C219" s="24" t="s">
        <v>1175</v>
      </c>
      <c r="D219" s="31">
        <f t="shared" si="31"/>
        <v>1338677.8699999999</v>
      </c>
      <c r="E219" s="31">
        <v>0</v>
      </c>
      <c r="F219" s="31">
        <v>0</v>
      </c>
      <c r="G219" s="31">
        <v>0</v>
      </c>
      <c r="H219" s="31">
        <v>0</v>
      </c>
      <c r="I219" s="31">
        <v>0</v>
      </c>
      <c r="J219" s="31">
        <v>0</v>
      </c>
      <c r="K219" s="33">
        <v>0</v>
      </c>
      <c r="L219" s="31">
        <v>0</v>
      </c>
      <c r="M219" s="31">
        <v>0</v>
      </c>
      <c r="N219" s="31">
        <v>0</v>
      </c>
      <c r="O219" s="31">
        <v>0</v>
      </c>
      <c r="P219" s="31">
        <v>0</v>
      </c>
      <c r="Q219" s="39">
        <v>379.48</v>
      </c>
      <c r="R219" s="39">
        <v>1325554.8799999999</v>
      </c>
      <c r="S219" s="31">
        <v>0</v>
      </c>
      <c r="T219" s="31">
        <v>0</v>
      </c>
      <c r="U219" s="31">
        <v>0</v>
      </c>
      <c r="V219" s="31">
        <v>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9">
        <v>13122.99</v>
      </c>
      <c r="AD219" s="31">
        <v>0</v>
      </c>
      <c r="AE219" s="31">
        <v>0</v>
      </c>
      <c r="AF219" s="34" t="s">
        <v>270</v>
      </c>
      <c r="AG219" s="34">
        <v>2020</v>
      </c>
      <c r="AH219" s="35">
        <v>2020</v>
      </c>
      <c r="BZ219" s="71"/>
      <c r="CD219" s="20" t="e">
        <f t="shared" si="30"/>
        <v>#N/A</v>
      </c>
    </row>
    <row r="220" spans="1:82" ht="61.5" x14ac:dyDescent="0.85">
      <c r="A220" s="20">
        <v>1</v>
      </c>
      <c r="B220" s="66">
        <f>SUBTOTAL(103,$A$22:A220)</f>
        <v>196</v>
      </c>
      <c r="C220" s="24" t="s">
        <v>1176</v>
      </c>
      <c r="D220" s="31">
        <f t="shared" si="31"/>
        <v>4355063.8499999996</v>
      </c>
      <c r="E220" s="31">
        <v>0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241">
        <v>3</v>
      </c>
      <c r="L220" s="39">
        <v>4355063.8499999996</v>
      </c>
      <c r="M220" s="31">
        <v>0</v>
      </c>
      <c r="N220" s="31">
        <v>0</v>
      </c>
      <c r="O220" s="31">
        <v>0</v>
      </c>
      <c r="P220" s="31">
        <v>0</v>
      </c>
      <c r="Q220" s="31">
        <v>0</v>
      </c>
      <c r="R220" s="31">
        <v>0</v>
      </c>
      <c r="S220" s="31">
        <v>0</v>
      </c>
      <c r="T220" s="31">
        <v>0</v>
      </c>
      <c r="U220" s="31">
        <v>0</v>
      </c>
      <c r="V220" s="31">
        <v>0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0</v>
      </c>
      <c r="AD220" s="31">
        <v>0</v>
      </c>
      <c r="AE220" s="31">
        <v>0</v>
      </c>
      <c r="AF220" s="34" t="s">
        <v>270</v>
      </c>
      <c r="AG220" s="34">
        <v>2020</v>
      </c>
      <c r="AH220" s="35" t="s">
        <v>270</v>
      </c>
      <c r="BZ220" s="71"/>
      <c r="CD220" s="20" t="e">
        <f t="shared" si="30"/>
        <v>#N/A</v>
      </c>
    </row>
    <row r="221" spans="1:82" ht="61.5" x14ac:dyDescent="0.85">
      <c r="A221" s="20">
        <v>1</v>
      </c>
      <c r="B221" s="66">
        <f>SUBTOTAL(103,$A$22:A221)</f>
        <v>197</v>
      </c>
      <c r="C221" s="24" t="s">
        <v>1177</v>
      </c>
      <c r="D221" s="31">
        <f t="shared" si="31"/>
        <v>1700754.66</v>
      </c>
      <c r="E221" s="31">
        <v>0</v>
      </c>
      <c r="F221" s="31">
        <v>0</v>
      </c>
      <c r="G221" s="31">
        <v>0</v>
      </c>
      <c r="H221" s="31">
        <v>0</v>
      </c>
      <c r="I221" s="31">
        <v>0</v>
      </c>
      <c r="J221" s="31">
        <v>0</v>
      </c>
      <c r="K221" s="33">
        <v>0</v>
      </c>
      <c r="L221" s="31">
        <v>0</v>
      </c>
      <c r="M221" s="31">
        <v>0</v>
      </c>
      <c r="N221" s="31">
        <v>0</v>
      </c>
      <c r="O221" s="31">
        <v>0</v>
      </c>
      <c r="P221" s="31">
        <v>0</v>
      </c>
      <c r="Q221" s="39">
        <v>503.64</v>
      </c>
      <c r="R221" s="179">
        <v>1684082.24</v>
      </c>
      <c r="S221" s="31">
        <v>0</v>
      </c>
      <c r="T221" s="31">
        <v>0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179">
        <v>16672.419999999998</v>
      </c>
      <c r="AD221" s="31">
        <v>0</v>
      </c>
      <c r="AE221" s="31">
        <v>0</v>
      </c>
      <c r="AF221" s="34" t="s">
        <v>270</v>
      </c>
      <c r="AG221" s="34">
        <v>2020</v>
      </c>
      <c r="AH221" s="35">
        <v>2020</v>
      </c>
      <c r="BZ221" s="71"/>
      <c r="CD221" s="20" t="e">
        <f t="shared" si="30"/>
        <v>#N/A</v>
      </c>
    </row>
    <row r="222" spans="1:82" ht="61.5" x14ac:dyDescent="0.85">
      <c r="A222" s="20">
        <v>1</v>
      </c>
      <c r="B222" s="66">
        <f>SUBTOTAL(103,$A$22:A222)</f>
        <v>198</v>
      </c>
      <c r="C222" s="24" t="s">
        <v>1178</v>
      </c>
      <c r="D222" s="31">
        <f t="shared" si="31"/>
        <v>1561052.04</v>
      </c>
      <c r="E222" s="31">
        <v>0</v>
      </c>
      <c r="F222" s="31">
        <v>0</v>
      </c>
      <c r="G222" s="31">
        <v>0</v>
      </c>
      <c r="H222" s="31">
        <v>0</v>
      </c>
      <c r="I222" s="31">
        <v>0</v>
      </c>
      <c r="J222" s="31">
        <v>0</v>
      </c>
      <c r="K222" s="33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0</v>
      </c>
      <c r="Q222" s="39">
        <v>376.66</v>
      </c>
      <c r="R222" s="31">
        <v>1500000</v>
      </c>
      <c r="S222" s="31">
        <v>0</v>
      </c>
      <c r="T222" s="31">
        <v>0</v>
      </c>
      <c r="U222" s="31">
        <v>0</v>
      </c>
      <c r="V222" s="31">
        <v>0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f>ROUND(R222*1.5%,2)</f>
        <v>22500</v>
      </c>
      <c r="AD222" s="39">
        <v>38552.04</v>
      </c>
      <c r="AE222" s="31">
        <v>0</v>
      </c>
      <c r="AF222" s="34">
        <v>2020</v>
      </c>
      <c r="AG222" s="34">
        <v>2020</v>
      </c>
      <c r="AH222" s="35">
        <v>2020</v>
      </c>
      <c r="BZ222" s="71"/>
      <c r="CD222" s="20" t="e">
        <f t="shared" si="30"/>
        <v>#N/A</v>
      </c>
    </row>
    <row r="223" spans="1:82" ht="61.5" x14ac:dyDescent="0.85">
      <c r="A223" s="20">
        <v>1</v>
      </c>
      <c r="B223" s="66">
        <f>SUBTOTAL(103,$A$22:A223)</f>
        <v>199</v>
      </c>
      <c r="C223" s="24" t="s">
        <v>1179</v>
      </c>
      <c r="D223" s="31">
        <f t="shared" si="31"/>
        <v>6356844.0800000001</v>
      </c>
      <c r="E223" s="31">
        <v>0</v>
      </c>
      <c r="F223" s="31">
        <v>0</v>
      </c>
      <c r="G223" s="31">
        <v>0</v>
      </c>
      <c r="H223" s="31">
        <v>0</v>
      </c>
      <c r="I223" s="31">
        <v>0</v>
      </c>
      <c r="J223" s="31">
        <v>0</v>
      </c>
      <c r="K223" s="241">
        <v>4</v>
      </c>
      <c r="L223" s="39">
        <v>6356844.0800000001</v>
      </c>
      <c r="M223" s="31">
        <v>0</v>
      </c>
      <c r="N223" s="31">
        <v>0</v>
      </c>
      <c r="O223" s="31">
        <v>0</v>
      </c>
      <c r="P223" s="31">
        <v>0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v>0</v>
      </c>
      <c r="AF223" s="34" t="s">
        <v>270</v>
      </c>
      <c r="AG223" s="34">
        <v>2020</v>
      </c>
      <c r="AH223" s="35" t="s">
        <v>270</v>
      </c>
      <c r="BZ223" s="71"/>
      <c r="CD223" s="20" t="e">
        <f t="shared" si="30"/>
        <v>#N/A</v>
      </c>
    </row>
    <row r="224" spans="1:82" ht="61.5" x14ac:dyDescent="0.85">
      <c r="A224" s="20">
        <v>1</v>
      </c>
      <c r="B224" s="66">
        <f>SUBTOTAL(103,$A$22:A224)</f>
        <v>200</v>
      </c>
      <c r="C224" s="24" t="s">
        <v>1283</v>
      </c>
      <c r="D224" s="31">
        <f t="shared" si="31"/>
        <v>172775.04000000001</v>
      </c>
      <c r="E224" s="31">
        <v>0</v>
      </c>
      <c r="F224" s="31">
        <v>0</v>
      </c>
      <c r="G224" s="31">
        <v>0</v>
      </c>
      <c r="H224" s="31">
        <v>0</v>
      </c>
      <c r="I224" s="31">
        <v>0</v>
      </c>
      <c r="J224" s="31">
        <v>0</v>
      </c>
      <c r="K224" s="33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0</v>
      </c>
      <c r="Q224" s="31">
        <v>0</v>
      </c>
      <c r="R224" s="31">
        <v>0</v>
      </c>
      <c r="S224" s="31">
        <v>0</v>
      </c>
      <c r="T224" s="31">
        <v>0</v>
      </c>
      <c r="U224" s="31">
        <v>0</v>
      </c>
      <c r="V224" s="31">
        <v>0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f>ROUND(N224*1.5%,2)</f>
        <v>0</v>
      </c>
      <c r="AD224" s="179">
        <v>172775.04000000001</v>
      </c>
      <c r="AE224" s="31">
        <v>0</v>
      </c>
      <c r="AF224" s="34">
        <v>2020</v>
      </c>
      <c r="AG224" s="34" t="s">
        <v>270</v>
      </c>
      <c r="AH224" s="34" t="s">
        <v>270</v>
      </c>
      <c r="BZ224" s="71"/>
      <c r="CD224" s="20" t="e">
        <f t="shared" si="30"/>
        <v>#N/A</v>
      </c>
    </row>
    <row r="225" spans="1:82" ht="61.5" x14ac:dyDescent="0.85">
      <c r="A225" s="20">
        <v>1</v>
      </c>
      <c r="B225" s="66">
        <f>SUBTOTAL(103,$A$22:A225)</f>
        <v>201</v>
      </c>
      <c r="C225" s="24" t="s">
        <v>1375</v>
      </c>
      <c r="D225" s="31">
        <f t="shared" si="31"/>
        <v>13083489.59</v>
      </c>
      <c r="E225" s="31">
        <v>0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241">
        <v>9</v>
      </c>
      <c r="L225" s="39">
        <v>13083489.59</v>
      </c>
      <c r="M225" s="31">
        <v>0</v>
      </c>
      <c r="N225" s="31">
        <v>0</v>
      </c>
      <c r="O225" s="31">
        <v>0</v>
      </c>
      <c r="P225" s="31">
        <v>0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v>0</v>
      </c>
      <c r="AF225" s="34" t="s">
        <v>270</v>
      </c>
      <c r="AG225" s="34">
        <v>2020</v>
      </c>
      <c r="AH225" s="35" t="s">
        <v>270</v>
      </c>
      <c r="BZ225" s="71"/>
      <c r="CD225" s="20" t="e">
        <f t="shared" si="30"/>
        <v>#N/A</v>
      </c>
    </row>
    <row r="226" spans="1:82" ht="61.5" x14ac:dyDescent="0.85">
      <c r="A226" s="20">
        <v>1</v>
      </c>
      <c r="B226" s="66">
        <f>SUBTOTAL(103,$A$22:A226)</f>
        <v>202</v>
      </c>
      <c r="C226" s="24" t="s">
        <v>1391</v>
      </c>
      <c r="D226" s="31">
        <f t="shared" si="31"/>
        <v>5478127.7400000002</v>
      </c>
      <c r="E226" s="31">
        <v>0</v>
      </c>
      <c r="F226" s="31">
        <v>0</v>
      </c>
      <c r="G226" s="31">
        <v>0</v>
      </c>
      <c r="H226" s="31">
        <v>0</v>
      </c>
      <c r="I226" s="31">
        <v>0</v>
      </c>
      <c r="J226" s="31">
        <v>0</v>
      </c>
      <c r="K226" s="241">
        <v>3</v>
      </c>
      <c r="L226" s="39">
        <v>5478127.7400000002</v>
      </c>
      <c r="M226" s="31">
        <v>0</v>
      </c>
      <c r="N226" s="31">
        <v>0</v>
      </c>
      <c r="O226" s="31">
        <v>0</v>
      </c>
      <c r="P226" s="31">
        <v>0</v>
      </c>
      <c r="Q226" s="31">
        <v>0</v>
      </c>
      <c r="R226" s="31">
        <v>0</v>
      </c>
      <c r="S226" s="31">
        <v>0</v>
      </c>
      <c r="T226" s="31">
        <v>0</v>
      </c>
      <c r="U226" s="31">
        <v>0</v>
      </c>
      <c r="V226" s="31">
        <v>0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0</v>
      </c>
      <c r="AD226" s="31">
        <v>0</v>
      </c>
      <c r="AE226" s="31">
        <v>0</v>
      </c>
      <c r="AF226" s="34" t="s">
        <v>270</v>
      </c>
      <c r="AG226" s="34">
        <v>2020</v>
      </c>
      <c r="AH226" s="35" t="s">
        <v>270</v>
      </c>
      <c r="BZ226" s="71"/>
      <c r="CD226" s="20" t="e">
        <f t="shared" si="30"/>
        <v>#N/A</v>
      </c>
    </row>
    <row r="227" spans="1:82" ht="61.5" x14ac:dyDescent="0.85">
      <c r="A227" s="20">
        <v>1</v>
      </c>
      <c r="B227" s="66">
        <f>SUBTOTAL(103,$A$22:A227)</f>
        <v>203</v>
      </c>
      <c r="C227" s="24" t="s">
        <v>1392</v>
      </c>
      <c r="D227" s="31">
        <f t="shared" si="31"/>
        <v>7310851.2000000002</v>
      </c>
      <c r="E227" s="31">
        <v>0</v>
      </c>
      <c r="F227" s="31">
        <v>0</v>
      </c>
      <c r="G227" s="31">
        <v>0</v>
      </c>
      <c r="H227" s="31">
        <v>0</v>
      </c>
      <c r="I227" s="31">
        <v>0</v>
      </c>
      <c r="J227" s="31">
        <v>0</v>
      </c>
      <c r="K227" s="241">
        <v>4</v>
      </c>
      <c r="L227" s="39">
        <v>7310851.2000000002</v>
      </c>
      <c r="M227" s="31">
        <v>0</v>
      </c>
      <c r="N227" s="31">
        <v>0</v>
      </c>
      <c r="O227" s="31">
        <v>0</v>
      </c>
      <c r="P227" s="31">
        <v>0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v>0</v>
      </c>
      <c r="AF227" s="34" t="s">
        <v>270</v>
      </c>
      <c r="AG227" s="34">
        <v>2020</v>
      </c>
      <c r="AH227" s="35" t="s">
        <v>270</v>
      </c>
      <c r="BZ227" s="71"/>
      <c r="CD227" s="20" t="e">
        <f t="shared" si="30"/>
        <v>#N/A</v>
      </c>
    </row>
    <row r="228" spans="1:82" ht="61.5" x14ac:dyDescent="0.85">
      <c r="A228" s="20">
        <v>1</v>
      </c>
      <c r="B228" s="66">
        <f>SUBTOTAL(103,$A$22:A228)</f>
        <v>204</v>
      </c>
      <c r="C228" s="24" t="s">
        <v>1393</v>
      </c>
      <c r="D228" s="31">
        <f t="shared" si="31"/>
        <v>5327196</v>
      </c>
      <c r="E228" s="31">
        <v>0</v>
      </c>
      <c r="F228" s="31">
        <v>0</v>
      </c>
      <c r="G228" s="31">
        <v>0</v>
      </c>
      <c r="H228" s="31">
        <v>0</v>
      </c>
      <c r="I228" s="31">
        <v>0</v>
      </c>
      <c r="J228" s="31">
        <v>0</v>
      </c>
      <c r="K228" s="241">
        <v>3</v>
      </c>
      <c r="L228" s="39">
        <v>5327196</v>
      </c>
      <c r="M228" s="31">
        <v>0</v>
      </c>
      <c r="N228" s="31">
        <v>0</v>
      </c>
      <c r="O228" s="31">
        <v>0</v>
      </c>
      <c r="P228" s="31">
        <v>0</v>
      </c>
      <c r="Q228" s="31">
        <v>0</v>
      </c>
      <c r="R228" s="31">
        <v>0</v>
      </c>
      <c r="S228" s="31">
        <v>0</v>
      </c>
      <c r="T228" s="31">
        <v>0</v>
      </c>
      <c r="U228" s="31">
        <v>0</v>
      </c>
      <c r="V228" s="31">
        <v>0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0</v>
      </c>
      <c r="AD228" s="31">
        <v>0</v>
      </c>
      <c r="AE228" s="31">
        <v>0</v>
      </c>
      <c r="AF228" s="34" t="s">
        <v>270</v>
      </c>
      <c r="AG228" s="34">
        <v>2020</v>
      </c>
      <c r="AH228" s="35" t="s">
        <v>270</v>
      </c>
      <c r="BZ228" s="71"/>
      <c r="CD228" s="20" t="e">
        <f t="shared" si="30"/>
        <v>#N/A</v>
      </c>
    </row>
    <row r="229" spans="1:82" ht="61.5" x14ac:dyDescent="0.85">
      <c r="A229" s="20">
        <v>1</v>
      </c>
      <c r="B229" s="66">
        <f>SUBTOTAL(103,$A$22:A229)</f>
        <v>205</v>
      </c>
      <c r="C229" s="24" t="s">
        <v>1394</v>
      </c>
      <c r="D229" s="31">
        <f t="shared" si="31"/>
        <v>7367915.9199999999</v>
      </c>
      <c r="E229" s="31">
        <v>0</v>
      </c>
      <c r="F229" s="31">
        <v>0</v>
      </c>
      <c r="G229" s="31">
        <v>0</v>
      </c>
      <c r="H229" s="31">
        <v>0</v>
      </c>
      <c r="I229" s="31">
        <v>0</v>
      </c>
      <c r="J229" s="31">
        <v>0</v>
      </c>
      <c r="K229" s="241">
        <v>4</v>
      </c>
      <c r="L229" s="39">
        <v>7367915.9199999999</v>
      </c>
      <c r="M229" s="31">
        <v>0</v>
      </c>
      <c r="N229" s="31">
        <v>0</v>
      </c>
      <c r="O229" s="31">
        <v>0</v>
      </c>
      <c r="P229" s="31">
        <v>0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v>0</v>
      </c>
      <c r="AF229" s="34" t="s">
        <v>270</v>
      </c>
      <c r="AG229" s="34">
        <v>2020</v>
      </c>
      <c r="AH229" s="35" t="s">
        <v>270</v>
      </c>
      <c r="BZ229" s="71"/>
      <c r="CD229" s="20" t="e">
        <f t="shared" si="30"/>
        <v>#N/A</v>
      </c>
    </row>
    <row r="230" spans="1:82" ht="61.5" x14ac:dyDescent="0.85">
      <c r="A230" s="20">
        <v>1</v>
      </c>
      <c r="B230" s="66">
        <f>SUBTOTAL(103,$A$22:A230)</f>
        <v>206</v>
      </c>
      <c r="C230" s="24" t="s">
        <v>1395</v>
      </c>
      <c r="D230" s="31">
        <f t="shared" si="31"/>
        <v>5462413.6200000001</v>
      </c>
      <c r="E230" s="31">
        <v>0</v>
      </c>
      <c r="F230" s="31">
        <v>0</v>
      </c>
      <c r="G230" s="31">
        <v>0</v>
      </c>
      <c r="H230" s="31">
        <v>0</v>
      </c>
      <c r="I230" s="31">
        <v>0</v>
      </c>
      <c r="J230" s="31">
        <v>0</v>
      </c>
      <c r="K230" s="241">
        <v>3</v>
      </c>
      <c r="L230" s="39">
        <v>5462413.6200000001</v>
      </c>
      <c r="M230" s="31">
        <v>0</v>
      </c>
      <c r="N230" s="31">
        <v>0</v>
      </c>
      <c r="O230" s="31">
        <v>0</v>
      </c>
      <c r="P230" s="31">
        <v>0</v>
      </c>
      <c r="Q230" s="31">
        <v>0</v>
      </c>
      <c r="R230" s="31">
        <v>0</v>
      </c>
      <c r="S230" s="31">
        <v>0</v>
      </c>
      <c r="T230" s="31">
        <v>0</v>
      </c>
      <c r="U230" s="31">
        <v>0</v>
      </c>
      <c r="V230" s="31">
        <v>0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0</v>
      </c>
      <c r="AD230" s="31">
        <v>0</v>
      </c>
      <c r="AE230" s="31">
        <v>0</v>
      </c>
      <c r="AF230" s="34" t="s">
        <v>270</v>
      </c>
      <c r="AG230" s="34">
        <v>2020</v>
      </c>
      <c r="AH230" s="35" t="s">
        <v>270</v>
      </c>
      <c r="BZ230" s="71"/>
      <c r="CD230" s="20" t="e">
        <f t="shared" si="30"/>
        <v>#N/A</v>
      </c>
    </row>
    <row r="231" spans="1:82" ht="61.5" x14ac:dyDescent="0.85">
      <c r="A231" s="20">
        <v>1</v>
      </c>
      <c r="B231" s="66">
        <f>SUBTOTAL(103,$A$22:A231)</f>
        <v>207</v>
      </c>
      <c r="C231" s="24" t="s">
        <v>1546</v>
      </c>
      <c r="D231" s="31">
        <f t="shared" si="31"/>
        <v>1452147.29</v>
      </c>
      <c r="E231" s="31">
        <v>0</v>
      </c>
      <c r="F231" s="31">
        <v>0</v>
      </c>
      <c r="G231" s="31">
        <v>0</v>
      </c>
      <c r="H231" s="31">
        <v>0</v>
      </c>
      <c r="I231" s="31">
        <v>0</v>
      </c>
      <c r="J231" s="31">
        <v>0</v>
      </c>
      <c r="K231" s="241">
        <v>1</v>
      </c>
      <c r="L231" s="39">
        <v>1452147.29</v>
      </c>
      <c r="M231" s="31">
        <v>0</v>
      </c>
      <c r="N231" s="31">
        <v>0</v>
      </c>
      <c r="O231" s="31">
        <v>0</v>
      </c>
      <c r="P231" s="31">
        <v>0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v>0</v>
      </c>
      <c r="AF231" s="34" t="s">
        <v>270</v>
      </c>
      <c r="AG231" s="34">
        <v>2020</v>
      </c>
      <c r="AH231" s="35" t="s">
        <v>270</v>
      </c>
      <c r="BZ231" s="71"/>
      <c r="CD231" s="20" t="e">
        <f t="shared" si="30"/>
        <v>#N/A</v>
      </c>
    </row>
    <row r="232" spans="1:82" ht="61.5" x14ac:dyDescent="0.85">
      <c r="A232" s="20">
        <v>1</v>
      </c>
      <c r="B232" s="66">
        <f>SUBTOTAL(103,$A$22:A232)</f>
        <v>208</v>
      </c>
      <c r="C232" s="24" t="s">
        <v>1547</v>
      </c>
      <c r="D232" s="31">
        <f t="shared" si="31"/>
        <v>2915220.6</v>
      </c>
      <c r="E232" s="31">
        <v>0</v>
      </c>
      <c r="F232" s="31">
        <v>0</v>
      </c>
      <c r="G232" s="31">
        <v>0</v>
      </c>
      <c r="H232" s="31">
        <v>0</v>
      </c>
      <c r="I232" s="31">
        <v>0</v>
      </c>
      <c r="J232" s="31">
        <v>0</v>
      </c>
      <c r="K232" s="241">
        <v>2</v>
      </c>
      <c r="L232" s="39">
        <v>2915220.6</v>
      </c>
      <c r="M232" s="31">
        <v>0</v>
      </c>
      <c r="N232" s="31">
        <v>0</v>
      </c>
      <c r="O232" s="31">
        <v>0</v>
      </c>
      <c r="P232" s="31">
        <v>0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v>0</v>
      </c>
      <c r="AF232" s="34" t="s">
        <v>270</v>
      </c>
      <c r="AG232" s="34">
        <v>2020</v>
      </c>
      <c r="AH232" s="35" t="s">
        <v>270</v>
      </c>
      <c r="BZ232" s="71"/>
      <c r="CD232" s="20" t="e">
        <f t="shared" si="30"/>
        <v>#N/A</v>
      </c>
    </row>
    <row r="233" spans="1:82" ht="61.5" x14ac:dyDescent="0.85">
      <c r="A233" s="20">
        <v>1</v>
      </c>
      <c r="B233" s="66">
        <f>SUBTOTAL(103,$A$22:A233)</f>
        <v>209</v>
      </c>
      <c r="C233" s="24" t="s">
        <v>1548</v>
      </c>
      <c r="D233" s="31">
        <f>E233+F233+G233+H233+I233+J233+L233+N233+P233+R233+T233+U233+V233+W233+X233+Y233+Z233+AA233+AB233+AC233+AD233+AE233</f>
        <v>4354761.09</v>
      </c>
      <c r="E233" s="31">
        <v>0</v>
      </c>
      <c r="F233" s="31">
        <v>0</v>
      </c>
      <c r="G233" s="31">
        <v>0</v>
      </c>
      <c r="H233" s="31">
        <v>0</v>
      </c>
      <c r="I233" s="31">
        <v>0</v>
      </c>
      <c r="J233" s="31">
        <v>0</v>
      </c>
      <c r="K233" s="241">
        <v>3</v>
      </c>
      <c r="L233" s="39">
        <v>4354761.09</v>
      </c>
      <c r="M233" s="31">
        <v>0</v>
      </c>
      <c r="N233" s="31">
        <v>0</v>
      </c>
      <c r="O233" s="31">
        <v>0</v>
      </c>
      <c r="P233" s="31">
        <v>0</v>
      </c>
      <c r="Q233" s="31">
        <v>0</v>
      </c>
      <c r="R233" s="31">
        <v>0</v>
      </c>
      <c r="S233" s="31">
        <v>0</v>
      </c>
      <c r="T233" s="31">
        <v>0</v>
      </c>
      <c r="U233" s="31">
        <v>0</v>
      </c>
      <c r="V233" s="31">
        <v>0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0</v>
      </c>
      <c r="AD233" s="31">
        <v>0</v>
      </c>
      <c r="AE233" s="31">
        <v>0</v>
      </c>
      <c r="AF233" s="34" t="s">
        <v>270</v>
      </c>
      <c r="AG233" s="34">
        <v>2020</v>
      </c>
      <c r="AH233" s="35" t="s">
        <v>270</v>
      </c>
      <c r="BZ233" s="71"/>
      <c r="CD233" s="20" t="e">
        <f t="shared" si="30"/>
        <v>#N/A</v>
      </c>
    </row>
    <row r="234" spans="1:82" ht="61.5" x14ac:dyDescent="0.85">
      <c r="A234" s="20">
        <v>1</v>
      </c>
      <c r="B234" s="66">
        <f>SUBTOTAL(103,$A$22:A234)</f>
        <v>210</v>
      </c>
      <c r="C234" s="24" t="s">
        <v>780</v>
      </c>
      <c r="D234" s="31">
        <f>E234+F234+G234+H234+I234+J234+L234+N234+P234+R234+T234+U234+V234+W234+X234+Y234+Z234+AA234+AB234+AC234+AD234+AE234</f>
        <v>6862081.1600000001</v>
      </c>
      <c r="E234" s="31">
        <v>0</v>
      </c>
      <c r="F234" s="31">
        <v>0</v>
      </c>
      <c r="G234" s="31">
        <v>0</v>
      </c>
      <c r="H234" s="31">
        <v>0</v>
      </c>
      <c r="I234" s="31">
        <v>0</v>
      </c>
      <c r="J234" s="31">
        <v>0</v>
      </c>
      <c r="K234" s="74">
        <v>3</v>
      </c>
      <c r="L234" s="31">
        <f>6508517.22+392684.9-122303.03</f>
        <v>6778899.0899999999</v>
      </c>
      <c r="M234" s="31">
        <v>0</v>
      </c>
      <c r="N234" s="31">
        <v>0</v>
      </c>
      <c r="O234" s="31">
        <v>0</v>
      </c>
      <c r="P234" s="31">
        <v>0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83182.070000000007</v>
      </c>
      <c r="AE234" s="31">
        <v>0</v>
      </c>
      <c r="AF234" s="34">
        <v>2020</v>
      </c>
      <c r="AG234" s="34">
        <v>2020</v>
      </c>
      <c r="AH234" s="35" t="s">
        <v>270</v>
      </c>
      <c r="AT234" s="20" t="e">
        <f>VLOOKUP(C234,AW:AX,2,FALSE)</f>
        <v>#N/A</v>
      </c>
      <c r="BZ234" s="71"/>
      <c r="CD234" s="20" t="e">
        <f t="shared" si="30"/>
        <v>#N/A</v>
      </c>
    </row>
    <row r="235" spans="1:82" ht="61.5" x14ac:dyDescent="0.85">
      <c r="A235" s="20">
        <v>1</v>
      </c>
      <c r="B235" s="66">
        <f>SUBTOTAL(103,$A$22:A235)</f>
        <v>211</v>
      </c>
      <c r="C235" s="24" t="s">
        <v>783</v>
      </c>
      <c r="D235" s="31">
        <f>E235+F235+G235+H235+I235+J235+L235+N235+P235+R235+T235+U235+V235+W235+X235+Y235+Z235+AA235+AB235+AC235+AD235+AE235</f>
        <v>4848740.71</v>
      </c>
      <c r="E235" s="31">
        <v>0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74">
        <v>2</v>
      </c>
      <c r="L235" s="31">
        <v>4772344.59</v>
      </c>
      <c r="M235" s="31">
        <v>0</v>
      </c>
      <c r="N235" s="31">
        <v>0</v>
      </c>
      <c r="O235" s="31">
        <v>0</v>
      </c>
      <c r="P235" s="31">
        <v>0</v>
      </c>
      <c r="Q235" s="31">
        <v>0</v>
      </c>
      <c r="R235" s="31">
        <v>0</v>
      </c>
      <c r="S235" s="31">
        <v>0</v>
      </c>
      <c r="T235" s="31">
        <v>0</v>
      </c>
      <c r="U235" s="31">
        <v>0</v>
      </c>
      <c r="V235" s="31">
        <v>0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0</v>
      </c>
      <c r="AD235" s="31">
        <v>76396.12</v>
      </c>
      <c r="AE235" s="31">
        <v>0</v>
      </c>
      <c r="AF235" s="34">
        <v>2020</v>
      </c>
      <c r="AG235" s="34">
        <v>2020</v>
      </c>
      <c r="AH235" s="35" t="s">
        <v>270</v>
      </c>
      <c r="AT235" s="20" t="e">
        <f>VLOOKUP(C235,AW:AX,2,FALSE)</f>
        <v>#N/A</v>
      </c>
      <c r="BZ235" s="71"/>
      <c r="CD235" s="20" t="e">
        <f t="shared" si="30"/>
        <v>#N/A</v>
      </c>
    </row>
    <row r="236" spans="1:82" ht="61.5" x14ac:dyDescent="0.85">
      <c r="A236" s="20">
        <v>1</v>
      </c>
      <c r="B236" s="66">
        <f>SUBTOTAL(103,$A$22:A236)</f>
        <v>212</v>
      </c>
      <c r="C236" s="24" t="s">
        <v>785</v>
      </c>
      <c r="D236" s="31">
        <f>E236+F236+G236+H236+I236+J236+L236+N236+P236+R236+T236+U236+V236+W236+X236+Y236+Z236+AA236+AB236+AC236+AD236+AE236</f>
        <v>4848888.49</v>
      </c>
      <c r="E236" s="31">
        <v>0</v>
      </c>
      <c r="F236" s="31">
        <v>0</v>
      </c>
      <c r="G236" s="31">
        <v>0</v>
      </c>
      <c r="H236" s="31">
        <v>0</v>
      </c>
      <c r="I236" s="31">
        <v>0</v>
      </c>
      <c r="J236" s="31">
        <v>0</v>
      </c>
      <c r="K236" s="74">
        <v>2</v>
      </c>
      <c r="L236" s="31">
        <v>4772344.59</v>
      </c>
      <c r="M236" s="31">
        <v>0</v>
      </c>
      <c r="N236" s="31">
        <v>0</v>
      </c>
      <c r="O236" s="31">
        <v>0</v>
      </c>
      <c r="P236" s="31">
        <v>0</v>
      </c>
      <c r="Q236" s="31">
        <v>0</v>
      </c>
      <c r="R236" s="31">
        <v>0</v>
      </c>
      <c r="S236" s="31">
        <v>0</v>
      </c>
      <c r="T236" s="31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76543.899999999994</v>
      </c>
      <c r="AE236" s="31">
        <v>0</v>
      </c>
      <c r="AF236" s="34">
        <v>2020</v>
      </c>
      <c r="AG236" s="34">
        <v>2020</v>
      </c>
      <c r="AH236" s="35" t="s">
        <v>270</v>
      </c>
      <c r="AT236" s="20" t="e">
        <f>VLOOKUP(C236,AW:AX,2,FALSE)</f>
        <v>#N/A</v>
      </c>
      <c r="BZ236" s="71"/>
      <c r="CD236" s="20" t="e">
        <f t="shared" si="30"/>
        <v>#N/A</v>
      </c>
    </row>
    <row r="237" spans="1:82" ht="61.5" x14ac:dyDescent="0.85">
      <c r="A237" s="20">
        <v>1</v>
      </c>
      <c r="B237" s="66">
        <f>SUBTOTAL(103,$A$22:A237)</f>
        <v>213</v>
      </c>
      <c r="C237" s="24" t="s">
        <v>781</v>
      </c>
      <c r="D237" s="31">
        <f t="shared" ref="D237" si="32">E237+F237+G237+H237+I237+J237+L237+N237+P237+R237+T237+U237+V237+W237+X237+Y237+Z237+AA237+AB237+AC237+AD237+AE237</f>
        <v>123350.33</v>
      </c>
      <c r="E237" s="31">
        <v>0</v>
      </c>
      <c r="F237" s="31">
        <v>0</v>
      </c>
      <c r="G237" s="31">
        <v>0</v>
      </c>
      <c r="H237" s="31">
        <v>0</v>
      </c>
      <c r="I237" s="31">
        <v>0</v>
      </c>
      <c r="J237" s="31">
        <v>0</v>
      </c>
      <c r="K237" s="33">
        <v>0</v>
      </c>
      <c r="L237" s="31">
        <v>0</v>
      </c>
      <c r="M237" s="31">
        <v>0</v>
      </c>
      <c r="N237" s="31">
        <v>0</v>
      </c>
      <c r="O237" s="31">
        <v>0</v>
      </c>
      <c r="P237" s="31">
        <v>0</v>
      </c>
      <c r="Q237" s="31">
        <v>0</v>
      </c>
      <c r="R237" s="31">
        <v>0</v>
      </c>
      <c r="S237" s="31">
        <v>0</v>
      </c>
      <c r="T237" s="31">
        <v>0</v>
      </c>
      <c r="U237" s="31">
        <v>0</v>
      </c>
      <c r="V237" s="31">
        <v>0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0</v>
      </c>
      <c r="AD237" s="31">
        <v>123350.33</v>
      </c>
      <c r="AE237" s="31">
        <v>0</v>
      </c>
      <c r="AF237" s="34">
        <v>2020</v>
      </c>
      <c r="AG237" s="34" t="s">
        <v>270</v>
      </c>
      <c r="AH237" s="35" t="s">
        <v>270</v>
      </c>
      <c r="AT237" s="20" t="e">
        <f>VLOOKUP(C237,AW:AX,2,FALSE)</f>
        <v>#N/A</v>
      </c>
      <c r="BZ237" s="71"/>
      <c r="CD237" s="20" t="e">
        <f t="shared" si="30"/>
        <v>#N/A</v>
      </c>
    </row>
    <row r="238" spans="1:82" ht="61.5" x14ac:dyDescent="0.85">
      <c r="A238" s="20">
        <v>1</v>
      </c>
      <c r="B238" s="66">
        <f>SUBTOTAL(103,$A$22:A238)</f>
        <v>214</v>
      </c>
      <c r="C238" s="24" t="s">
        <v>786</v>
      </c>
      <c r="D238" s="31">
        <f t="shared" ref="D238:D240" si="33">E238+F238+G238+H238+I238+J238+L238+N238+P238+R238+T238+U238+V238+W238+X238+Y238+Z238+AA238+AB238+AC238+AD238+AE238</f>
        <v>2226554.6800000002</v>
      </c>
      <c r="E238" s="31">
        <v>0</v>
      </c>
      <c r="F238" s="31">
        <v>0</v>
      </c>
      <c r="G238" s="31">
        <v>0</v>
      </c>
      <c r="H238" s="31">
        <v>0</v>
      </c>
      <c r="I238" s="31">
        <v>0</v>
      </c>
      <c r="J238" s="31">
        <v>0</v>
      </c>
      <c r="K238" s="74">
        <v>1</v>
      </c>
      <c r="L238" s="31">
        <f>2106554.68+8062.25</f>
        <v>2114616.9300000002</v>
      </c>
      <c r="M238" s="31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31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9">
        <v>111937.75</v>
      </c>
      <c r="AE238" s="31">
        <v>0</v>
      </c>
      <c r="AF238" s="34">
        <v>2020</v>
      </c>
      <c r="AG238" s="34">
        <v>2020</v>
      </c>
      <c r="AH238" s="35" t="s">
        <v>270</v>
      </c>
      <c r="AT238" s="20" t="e">
        <f>VLOOKUP(C238,AW:AX,2,FALSE)</f>
        <v>#N/A</v>
      </c>
      <c r="BZ238" s="71"/>
      <c r="CD238" s="20" t="e">
        <f t="shared" si="30"/>
        <v>#N/A</v>
      </c>
    </row>
    <row r="239" spans="1:82" ht="61.5" x14ac:dyDescent="0.85">
      <c r="A239" s="20">
        <v>1</v>
      </c>
      <c r="B239" s="66">
        <f>SUBTOTAL(103,$A$22:A239)</f>
        <v>215</v>
      </c>
      <c r="C239" s="24" t="s">
        <v>1688</v>
      </c>
      <c r="D239" s="31">
        <f>E239+F239+G239+H239+I239+J239+L239+N239+P239+R239+T239+U239+V239+W239+X239+Y239+Z239+AA239+AB239+AC239+AD239+AE239</f>
        <v>4654905.9400000004</v>
      </c>
      <c r="E239" s="31">
        <v>0</v>
      </c>
      <c r="F239" s="31">
        <v>0</v>
      </c>
      <c r="G239" s="31">
        <v>0</v>
      </c>
      <c r="H239" s="31">
        <v>0</v>
      </c>
      <c r="I239" s="31">
        <v>0</v>
      </c>
      <c r="J239" s="31">
        <v>0</v>
      </c>
      <c r="K239" s="74">
        <v>2</v>
      </c>
      <c r="L239" s="31">
        <f>4544905.94+3828.7</f>
        <v>4548734.6400000006</v>
      </c>
      <c r="M239" s="31">
        <v>0</v>
      </c>
      <c r="N239" s="31">
        <v>0</v>
      </c>
      <c r="O239" s="31">
        <v>0</v>
      </c>
      <c r="P239" s="31">
        <v>0</v>
      </c>
      <c r="Q239" s="31">
        <v>0</v>
      </c>
      <c r="R239" s="31">
        <v>0</v>
      </c>
      <c r="S239" s="31">
        <v>0</v>
      </c>
      <c r="T239" s="31">
        <v>0</v>
      </c>
      <c r="U239" s="31">
        <v>0</v>
      </c>
      <c r="V239" s="31">
        <v>0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0</v>
      </c>
      <c r="AD239" s="39">
        <v>106171.3</v>
      </c>
      <c r="AE239" s="31">
        <v>0</v>
      </c>
      <c r="AF239" s="34">
        <v>2020</v>
      </c>
      <c r="AG239" s="34">
        <v>2020</v>
      </c>
      <c r="AH239" s="35" t="s">
        <v>270</v>
      </c>
      <c r="BZ239" s="71"/>
      <c r="CD239" s="20" t="e">
        <f t="shared" si="30"/>
        <v>#N/A</v>
      </c>
    </row>
    <row r="240" spans="1:82" ht="61.5" x14ac:dyDescent="0.85">
      <c r="A240" s="20">
        <v>1</v>
      </c>
      <c r="B240" s="66">
        <f>SUBTOTAL(103,$A$22:A240)</f>
        <v>216</v>
      </c>
      <c r="C240" s="24" t="s">
        <v>1173</v>
      </c>
      <c r="D240" s="31">
        <f t="shared" si="33"/>
        <v>210000</v>
      </c>
      <c r="E240" s="31">
        <v>0</v>
      </c>
      <c r="F240" s="31">
        <v>0</v>
      </c>
      <c r="G240" s="31">
        <v>0</v>
      </c>
      <c r="H240" s="31">
        <v>0</v>
      </c>
      <c r="I240" s="31">
        <v>0</v>
      </c>
      <c r="J240" s="31">
        <v>0</v>
      </c>
      <c r="K240" s="74">
        <v>0</v>
      </c>
      <c r="L240" s="31">
        <v>0</v>
      </c>
      <c r="M240" s="31">
        <v>0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f>ROUND(R240*1.5%,2)</f>
        <v>0</v>
      </c>
      <c r="AD240" s="31">
        <v>210000</v>
      </c>
      <c r="AE240" s="31">
        <v>0</v>
      </c>
      <c r="AF240" s="34">
        <v>2020</v>
      </c>
      <c r="AG240" s="34" t="s">
        <v>270</v>
      </c>
      <c r="AH240" s="34" t="s">
        <v>270</v>
      </c>
      <c r="BZ240" s="71"/>
      <c r="CD240" s="20" t="e">
        <f t="shared" si="30"/>
        <v>#N/A</v>
      </c>
    </row>
    <row r="241" spans="1:82" ht="61.5" x14ac:dyDescent="0.85">
      <c r="B241" s="24" t="s">
        <v>764</v>
      </c>
      <c r="C241" s="108"/>
      <c r="D241" s="195">
        <f t="shared" ref="D241:AE241" si="34">SUM(D242:D246)</f>
        <v>11570369.789999999</v>
      </c>
      <c r="E241" s="31">
        <f t="shared" si="34"/>
        <v>0</v>
      </c>
      <c r="F241" s="31">
        <f t="shared" si="34"/>
        <v>0</v>
      </c>
      <c r="G241" s="31">
        <f t="shared" si="34"/>
        <v>0</v>
      </c>
      <c r="H241" s="31">
        <f t="shared" si="34"/>
        <v>0</v>
      </c>
      <c r="I241" s="31">
        <f t="shared" si="34"/>
        <v>0</v>
      </c>
      <c r="J241" s="31">
        <f t="shared" si="34"/>
        <v>0</v>
      </c>
      <c r="K241" s="33">
        <f t="shared" si="34"/>
        <v>4</v>
      </c>
      <c r="L241" s="31">
        <f t="shared" si="34"/>
        <v>6300657.04</v>
      </c>
      <c r="M241" s="31">
        <f t="shared" si="34"/>
        <v>386.2</v>
      </c>
      <c r="N241" s="31">
        <f t="shared" si="34"/>
        <v>1209598.77</v>
      </c>
      <c r="O241" s="31">
        <f t="shared" si="34"/>
        <v>0</v>
      </c>
      <c r="P241" s="31">
        <f t="shared" si="34"/>
        <v>0</v>
      </c>
      <c r="Q241" s="31">
        <f t="shared" si="34"/>
        <v>2995.9</v>
      </c>
      <c r="R241" s="31">
        <f t="shared" si="34"/>
        <v>3560240.43</v>
      </c>
      <c r="S241" s="31">
        <f t="shared" si="34"/>
        <v>0</v>
      </c>
      <c r="T241" s="31">
        <f t="shared" si="34"/>
        <v>0</v>
      </c>
      <c r="U241" s="31">
        <f t="shared" si="34"/>
        <v>0</v>
      </c>
      <c r="V241" s="31">
        <f t="shared" si="34"/>
        <v>0</v>
      </c>
      <c r="W241" s="31">
        <f t="shared" si="34"/>
        <v>0</v>
      </c>
      <c r="X241" s="31">
        <f t="shared" si="34"/>
        <v>0</v>
      </c>
      <c r="Y241" s="31">
        <f t="shared" si="34"/>
        <v>0</v>
      </c>
      <c r="Z241" s="31">
        <f t="shared" si="34"/>
        <v>0</v>
      </c>
      <c r="AA241" s="31">
        <f t="shared" si="34"/>
        <v>0</v>
      </c>
      <c r="AB241" s="31">
        <f t="shared" si="34"/>
        <v>0</v>
      </c>
      <c r="AC241" s="31">
        <f t="shared" si="34"/>
        <v>30765.46</v>
      </c>
      <c r="AD241" s="31">
        <f t="shared" si="34"/>
        <v>469108.09</v>
      </c>
      <c r="AE241" s="31">
        <f t="shared" si="34"/>
        <v>0</v>
      </c>
      <c r="AF241" s="72" t="s">
        <v>757</v>
      </c>
      <c r="AG241" s="72" t="s">
        <v>757</v>
      </c>
      <c r="AH241" s="87" t="s">
        <v>757</v>
      </c>
      <c r="AT241" s="20" t="e">
        <f>VLOOKUP(C241,AW:AX,2,FALSE)</f>
        <v>#N/A</v>
      </c>
      <c r="BZ241" s="71">
        <v>51784138.459999993</v>
      </c>
      <c r="CB241" s="71">
        <f>BZ241-D241</f>
        <v>40213768.669999994</v>
      </c>
      <c r="CD241" s="20" t="e">
        <f t="shared" si="30"/>
        <v>#N/A</v>
      </c>
    </row>
    <row r="242" spans="1:82" ht="61.5" x14ac:dyDescent="0.85">
      <c r="A242" s="20">
        <v>1</v>
      </c>
      <c r="B242" s="66">
        <f>SUBTOTAL(103,$A$22:A242)</f>
        <v>217</v>
      </c>
      <c r="C242" s="24" t="s">
        <v>381</v>
      </c>
      <c r="D242" s="31">
        <f t="shared" ref="D242:D244" si="35">E242+F242+G242+H242+I242+J242+L242+N242+P242+R242+T242+U242+V242+W242+X242+Y242+Z242+AA242+AB242+AC242+AD242+AE242</f>
        <v>1217400.68</v>
      </c>
      <c r="E242" s="31">
        <v>0</v>
      </c>
      <c r="F242" s="31">
        <v>0</v>
      </c>
      <c r="G242" s="31">
        <v>0</v>
      </c>
      <c r="H242" s="31">
        <v>0</v>
      </c>
      <c r="I242" s="31">
        <v>0</v>
      </c>
      <c r="J242" s="31">
        <v>0</v>
      </c>
      <c r="K242" s="33">
        <v>0</v>
      </c>
      <c r="L242" s="31">
        <v>0</v>
      </c>
      <c r="M242" s="39">
        <v>386.2</v>
      </c>
      <c r="N242" s="39">
        <v>1209598.77</v>
      </c>
      <c r="O242" s="31">
        <v>0</v>
      </c>
      <c r="P242" s="31">
        <v>0</v>
      </c>
      <c r="Q242" s="31">
        <v>0</v>
      </c>
      <c r="R242" s="31">
        <v>0</v>
      </c>
      <c r="S242" s="31">
        <v>0</v>
      </c>
      <c r="T242" s="31">
        <v>0</v>
      </c>
      <c r="U242" s="31">
        <v>0</v>
      </c>
      <c r="V242" s="31">
        <v>0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9">
        <v>7801.91</v>
      </c>
      <c r="AD242" s="31">
        <v>0</v>
      </c>
      <c r="AE242" s="31">
        <v>0</v>
      </c>
      <c r="AF242" s="34" t="s">
        <v>270</v>
      </c>
      <c r="AG242" s="34">
        <v>2020</v>
      </c>
      <c r="AH242" s="35">
        <v>2020</v>
      </c>
      <c r="AT242" s="20" t="e">
        <f>VLOOKUP(C242,AW:AX,2,FALSE)</f>
        <v>#N/A</v>
      </c>
      <c r="BZ242" s="71"/>
      <c r="CB242" s="71"/>
      <c r="CD242" s="20">
        <f t="shared" si="30"/>
        <v>386.2</v>
      </c>
    </row>
    <row r="243" spans="1:82" ht="61.5" x14ac:dyDescent="0.85">
      <c r="A243" s="20">
        <v>1</v>
      </c>
      <c r="B243" s="66">
        <f>SUBTOTAL(103,$A$22:A243)</f>
        <v>218</v>
      </c>
      <c r="C243" s="24" t="s">
        <v>382</v>
      </c>
      <c r="D243" s="31">
        <f t="shared" si="35"/>
        <v>3757493.57</v>
      </c>
      <c r="E243" s="31">
        <v>0</v>
      </c>
      <c r="F243" s="31">
        <v>0</v>
      </c>
      <c r="G243" s="31">
        <v>0</v>
      </c>
      <c r="H243" s="31">
        <v>0</v>
      </c>
      <c r="I243" s="31">
        <v>0</v>
      </c>
      <c r="J243" s="31">
        <v>0</v>
      </c>
      <c r="K243" s="33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0</v>
      </c>
      <c r="Q243" s="39">
        <v>2995.9</v>
      </c>
      <c r="R243" s="179">
        <v>3560240.43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179">
        <v>22963.55</v>
      </c>
      <c r="AD243" s="39">
        <v>174289.59</v>
      </c>
      <c r="AE243" s="31">
        <v>0</v>
      </c>
      <c r="AF243" s="34">
        <v>2020</v>
      </c>
      <c r="AG243" s="34">
        <v>2020</v>
      </c>
      <c r="AH243" s="35">
        <v>2020</v>
      </c>
      <c r="AT243" s="20" t="e">
        <f>VLOOKUP(C243,AW:AX,2,FALSE)</f>
        <v>#N/A</v>
      </c>
      <c r="BZ243" s="71"/>
      <c r="CD243" s="20" t="e">
        <f t="shared" si="30"/>
        <v>#N/A</v>
      </c>
    </row>
    <row r="244" spans="1:82" ht="61.5" x14ac:dyDescent="0.85">
      <c r="A244" s="20">
        <v>1</v>
      </c>
      <c r="B244" s="66">
        <f>SUBTOTAL(103,$A$22:A244)</f>
        <v>219</v>
      </c>
      <c r="C244" s="24" t="s">
        <v>383</v>
      </c>
      <c r="D244" s="31">
        <f t="shared" si="35"/>
        <v>174120.8</v>
      </c>
      <c r="E244" s="31">
        <v>0</v>
      </c>
      <c r="F244" s="31">
        <v>0</v>
      </c>
      <c r="G244" s="31">
        <v>0</v>
      </c>
      <c r="H244" s="31">
        <v>0</v>
      </c>
      <c r="I244" s="31">
        <v>0</v>
      </c>
      <c r="J244" s="31">
        <v>0</v>
      </c>
      <c r="K244" s="33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0</v>
      </c>
      <c r="Q244" s="31">
        <v>0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f>ROUND(R244*1.5%,2)</f>
        <v>0</v>
      </c>
      <c r="AD244" s="179">
        <v>174120.8</v>
      </c>
      <c r="AE244" s="31">
        <v>0</v>
      </c>
      <c r="AF244" s="34">
        <v>2020</v>
      </c>
      <c r="AG244" s="35" t="s">
        <v>270</v>
      </c>
      <c r="AH244" s="35" t="s">
        <v>270</v>
      </c>
      <c r="AT244" s="20" t="e">
        <f>VLOOKUP(C244,AW:AX,2,FALSE)</f>
        <v>#N/A</v>
      </c>
      <c r="BZ244" s="71"/>
      <c r="CD244" s="20" t="e">
        <f t="shared" si="30"/>
        <v>#N/A</v>
      </c>
    </row>
    <row r="245" spans="1:82" ht="61.5" x14ac:dyDescent="0.85">
      <c r="A245" s="20">
        <v>1</v>
      </c>
      <c r="B245" s="66">
        <f>SUBTOTAL(103,$A$22:A245)</f>
        <v>220</v>
      </c>
      <c r="C245" s="24" t="s">
        <v>1565</v>
      </c>
      <c r="D245" s="31">
        <f t="shared" ref="D245" si="36">E245+F245+G245+H245+I245+J245+L245+N245+P245+R245+T245+U245+V245+W245+X245+Y245+Z245+AA245+AB245+AC245+AD245+AE245</f>
        <v>6300657.04</v>
      </c>
      <c r="E245" s="31">
        <v>0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241">
        <v>4</v>
      </c>
      <c r="L245" s="39">
        <v>6300657.04</v>
      </c>
      <c r="M245" s="31">
        <v>0</v>
      </c>
      <c r="N245" s="31">
        <v>0</v>
      </c>
      <c r="O245" s="31">
        <v>0</v>
      </c>
      <c r="P245" s="31">
        <v>0</v>
      </c>
      <c r="Q245" s="31">
        <v>0</v>
      </c>
      <c r="R245" s="31">
        <v>0</v>
      </c>
      <c r="S245" s="31">
        <v>0</v>
      </c>
      <c r="T245" s="31">
        <v>0</v>
      </c>
      <c r="U245" s="31">
        <v>0</v>
      </c>
      <c r="V245" s="31">
        <v>0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0</v>
      </c>
      <c r="AD245" s="31">
        <v>0</v>
      </c>
      <c r="AE245" s="31">
        <v>0</v>
      </c>
      <c r="AF245" s="34" t="s">
        <v>270</v>
      </c>
      <c r="AG245" s="34">
        <v>2020</v>
      </c>
      <c r="AH245" s="35" t="s">
        <v>270</v>
      </c>
      <c r="BZ245" s="71"/>
      <c r="CD245" s="20" t="e">
        <f t="shared" si="30"/>
        <v>#N/A</v>
      </c>
    </row>
    <row r="246" spans="1:82" ht="61.5" x14ac:dyDescent="0.85">
      <c r="A246" s="20">
        <v>1</v>
      </c>
      <c r="B246" s="66">
        <f>SUBTOTAL(103,$A$22:A246)</f>
        <v>221</v>
      </c>
      <c r="C246" s="24" t="s">
        <v>384</v>
      </c>
      <c r="D246" s="31">
        <f>E246+F246+G246+H246+I246+J246+L246+N246+P246+R246+T246+U246+V246+W246+X246+Y246+Z246+AA246+AB246+AC246+AD246+AE246</f>
        <v>120697.7</v>
      </c>
      <c r="E246" s="31">
        <v>0</v>
      </c>
      <c r="F246" s="31">
        <v>0</v>
      </c>
      <c r="G246" s="31">
        <v>0</v>
      </c>
      <c r="H246" s="31">
        <v>0</v>
      </c>
      <c r="I246" s="31">
        <v>0</v>
      </c>
      <c r="J246" s="31">
        <v>0</v>
      </c>
      <c r="K246" s="74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0</v>
      </c>
      <c r="Q246" s="31">
        <v>0</v>
      </c>
      <c r="R246" s="31">
        <v>0</v>
      </c>
      <c r="S246" s="31">
        <v>0</v>
      </c>
      <c r="T246" s="31">
        <v>0</v>
      </c>
      <c r="U246" s="31">
        <v>0</v>
      </c>
      <c r="V246" s="31">
        <v>0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0</v>
      </c>
      <c r="AD246" s="31">
        <v>120697.7</v>
      </c>
      <c r="AE246" s="31">
        <v>0</v>
      </c>
      <c r="AF246" s="34">
        <v>2020</v>
      </c>
      <c r="AG246" s="35" t="s">
        <v>270</v>
      </c>
      <c r="AH246" s="35" t="s">
        <v>270</v>
      </c>
      <c r="AT246" s="20" t="e">
        <f t="shared" ref="AT246:AT257" si="37">VLOOKUP(C246,AW:AX,2,FALSE)</f>
        <v>#N/A</v>
      </c>
      <c r="BZ246" s="71"/>
      <c r="CD246" s="20" t="e">
        <f t="shared" si="30"/>
        <v>#N/A</v>
      </c>
    </row>
    <row r="247" spans="1:82" ht="61.5" x14ac:dyDescent="0.85">
      <c r="B247" s="24" t="s">
        <v>821</v>
      </c>
      <c r="C247" s="108"/>
      <c r="D247" s="195">
        <f t="shared" ref="D247:AE247" si="38">SUM(D248:D273)</f>
        <v>66002186.390000001</v>
      </c>
      <c r="E247" s="31">
        <f t="shared" si="38"/>
        <v>682532.23</v>
      </c>
      <c r="F247" s="31">
        <f t="shared" si="38"/>
        <v>1291083.82</v>
      </c>
      <c r="G247" s="31">
        <f t="shared" si="38"/>
        <v>0</v>
      </c>
      <c r="H247" s="31">
        <f t="shared" si="38"/>
        <v>288852.59999999998</v>
      </c>
      <c r="I247" s="31">
        <f t="shared" si="38"/>
        <v>0</v>
      </c>
      <c r="J247" s="31">
        <f t="shared" si="38"/>
        <v>0</v>
      </c>
      <c r="K247" s="33">
        <f t="shared" si="38"/>
        <v>5</v>
      </c>
      <c r="L247" s="31">
        <f t="shared" si="38"/>
        <v>8620900.5199999996</v>
      </c>
      <c r="M247" s="31">
        <f t="shared" si="38"/>
        <v>14807.31</v>
      </c>
      <c r="N247" s="31">
        <f t="shared" si="38"/>
        <v>51801191.729999997</v>
      </c>
      <c r="O247" s="31">
        <f t="shared" si="38"/>
        <v>0</v>
      </c>
      <c r="P247" s="31">
        <f t="shared" si="38"/>
        <v>0</v>
      </c>
      <c r="Q247" s="31">
        <f t="shared" si="38"/>
        <v>639.89</v>
      </c>
      <c r="R247" s="31">
        <f t="shared" si="38"/>
        <v>1660924.18</v>
      </c>
      <c r="S247" s="31">
        <f t="shared" si="38"/>
        <v>0</v>
      </c>
      <c r="T247" s="31">
        <f t="shared" si="38"/>
        <v>0</v>
      </c>
      <c r="U247" s="31">
        <f t="shared" si="38"/>
        <v>0</v>
      </c>
      <c r="V247" s="31">
        <f t="shared" si="38"/>
        <v>0</v>
      </c>
      <c r="W247" s="31">
        <f t="shared" si="38"/>
        <v>0</v>
      </c>
      <c r="X247" s="31">
        <f t="shared" si="38"/>
        <v>0</v>
      </c>
      <c r="Y247" s="31">
        <f t="shared" si="38"/>
        <v>0</v>
      </c>
      <c r="Z247" s="31">
        <f t="shared" si="38"/>
        <v>0</v>
      </c>
      <c r="AA247" s="31">
        <f t="shared" si="38"/>
        <v>0</v>
      </c>
      <c r="AB247" s="31">
        <f t="shared" si="38"/>
        <v>0</v>
      </c>
      <c r="AC247" s="31">
        <f t="shared" si="38"/>
        <v>597646.50000000012</v>
      </c>
      <c r="AD247" s="31">
        <f t="shared" si="38"/>
        <v>1059054.8099999998</v>
      </c>
      <c r="AE247" s="31">
        <f t="shared" si="38"/>
        <v>0</v>
      </c>
      <c r="AF247" s="72" t="s">
        <v>757</v>
      </c>
      <c r="AG247" s="72" t="s">
        <v>757</v>
      </c>
      <c r="AH247" s="87" t="s">
        <v>757</v>
      </c>
      <c r="AT247" s="20" t="e">
        <f t="shared" si="37"/>
        <v>#N/A</v>
      </c>
      <c r="BZ247" s="31">
        <v>113740245.04000002</v>
      </c>
      <c r="CA247" s="31"/>
      <c r="CB247" s="31">
        <f>BZ247-D247</f>
        <v>47738058.650000021</v>
      </c>
      <c r="CD247" s="20" t="e">
        <f t="shared" si="30"/>
        <v>#N/A</v>
      </c>
    </row>
    <row r="248" spans="1:82" ht="61.5" x14ac:dyDescent="0.85">
      <c r="A248" s="20">
        <v>1</v>
      </c>
      <c r="B248" s="66">
        <f>SUBTOTAL(103,$A$22:A248)</f>
        <v>222</v>
      </c>
      <c r="C248" s="24" t="s">
        <v>618</v>
      </c>
      <c r="D248" s="31">
        <f t="shared" ref="D248:D271" si="39">E248+F248+G248+H248+I248+J248+L248+N248+P248+R248+T248+U248+V248+W248+X248+Y248+Z248+AA248+AB248+AC248+AD248+AE248</f>
        <v>3589738.75</v>
      </c>
      <c r="E248" s="36">
        <v>0</v>
      </c>
      <c r="F248" s="36">
        <v>0</v>
      </c>
      <c r="G248" s="36">
        <v>0</v>
      </c>
      <c r="H248" s="36">
        <v>0</v>
      </c>
      <c r="I248" s="36">
        <v>0</v>
      </c>
      <c r="J248" s="36">
        <v>0</v>
      </c>
      <c r="K248" s="241">
        <v>2</v>
      </c>
      <c r="L248" s="39">
        <f>1884703.03+1705035.72</f>
        <v>3589738.75</v>
      </c>
      <c r="M248" s="31">
        <v>0</v>
      </c>
      <c r="N248" s="31">
        <v>0</v>
      </c>
      <c r="O248" s="36">
        <v>0</v>
      </c>
      <c r="P248" s="36">
        <v>0</v>
      </c>
      <c r="Q248" s="36">
        <v>0</v>
      </c>
      <c r="R248" s="36">
        <v>0</v>
      </c>
      <c r="S248" s="31">
        <v>0</v>
      </c>
      <c r="T248" s="31">
        <v>0</v>
      </c>
      <c r="U248" s="31">
        <v>0</v>
      </c>
      <c r="V248" s="31">
        <v>0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0</v>
      </c>
      <c r="AD248" s="31">
        <v>0</v>
      </c>
      <c r="AE248" s="31">
        <v>0</v>
      </c>
      <c r="AF248" s="34" t="s">
        <v>270</v>
      </c>
      <c r="AG248" s="34">
        <v>2020</v>
      </c>
      <c r="AH248" s="35" t="s">
        <v>270</v>
      </c>
      <c r="AT248" s="20" t="e">
        <f t="shared" si="37"/>
        <v>#N/A</v>
      </c>
      <c r="BZ248" s="71"/>
      <c r="CD248" s="20" t="e">
        <f t="shared" si="30"/>
        <v>#N/A</v>
      </c>
    </row>
    <row r="249" spans="1:82" ht="61.5" x14ac:dyDescent="0.85">
      <c r="A249" s="20">
        <v>1</v>
      </c>
      <c r="B249" s="66">
        <f>SUBTOTAL(103,$A$22:A249)</f>
        <v>223</v>
      </c>
      <c r="C249" s="24" t="s">
        <v>622</v>
      </c>
      <c r="D249" s="31">
        <f t="shared" si="39"/>
        <v>130936.07</v>
      </c>
      <c r="E249" s="36">
        <v>0</v>
      </c>
      <c r="F249" s="36">
        <v>0</v>
      </c>
      <c r="G249" s="36">
        <v>0</v>
      </c>
      <c r="H249" s="36">
        <v>0</v>
      </c>
      <c r="I249" s="36">
        <v>0</v>
      </c>
      <c r="J249" s="36">
        <v>0</v>
      </c>
      <c r="K249" s="33">
        <v>0</v>
      </c>
      <c r="L249" s="31">
        <v>0</v>
      </c>
      <c r="M249" s="31">
        <v>0</v>
      </c>
      <c r="N249" s="31">
        <v>0</v>
      </c>
      <c r="O249" s="36">
        <v>0</v>
      </c>
      <c r="P249" s="36">
        <v>0</v>
      </c>
      <c r="Q249" s="36">
        <v>0</v>
      </c>
      <c r="R249" s="36">
        <v>0</v>
      </c>
      <c r="S249" s="31">
        <v>0</v>
      </c>
      <c r="T249" s="31">
        <v>0</v>
      </c>
      <c r="U249" s="31">
        <v>0</v>
      </c>
      <c r="V249" s="31">
        <v>0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f>ROUND(U249*1.5%,2)</f>
        <v>0</v>
      </c>
      <c r="AD249" s="39">
        <v>130936.07</v>
      </c>
      <c r="AE249" s="31">
        <v>0</v>
      </c>
      <c r="AF249" s="34">
        <v>2020</v>
      </c>
      <c r="AG249" s="35" t="s">
        <v>270</v>
      </c>
      <c r="AH249" s="35" t="s">
        <v>270</v>
      </c>
      <c r="AT249" s="20" t="e">
        <f t="shared" si="37"/>
        <v>#N/A</v>
      </c>
      <c r="BZ249" s="71"/>
      <c r="CD249" s="20" t="e">
        <f t="shared" si="30"/>
        <v>#N/A</v>
      </c>
    </row>
    <row r="250" spans="1:82" ht="61.5" x14ac:dyDescent="0.85">
      <c r="A250" s="20">
        <v>1</v>
      </c>
      <c r="B250" s="66">
        <f>SUBTOTAL(103,$A$22:A250)</f>
        <v>224</v>
      </c>
      <c r="C250" s="24" t="s">
        <v>623</v>
      </c>
      <c r="D250" s="31">
        <f t="shared" si="39"/>
        <v>143632.79</v>
      </c>
      <c r="E250" s="36">
        <v>0</v>
      </c>
      <c r="F250" s="36">
        <v>0</v>
      </c>
      <c r="G250" s="36">
        <v>0</v>
      </c>
      <c r="H250" s="36">
        <v>0</v>
      </c>
      <c r="I250" s="36">
        <v>0</v>
      </c>
      <c r="J250" s="36">
        <v>0</v>
      </c>
      <c r="K250" s="33">
        <v>0</v>
      </c>
      <c r="L250" s="31">
        <v>0</v>
      </c>
      <c r="M250" s="31">
        <v>0</v>
      </c>
      <c r="N250" s="31">
        <v>0</v>
      </c>
      <c r="O250" s="36">
        <v>0</v>
      </c>
      <c r="P250" s="36">
        <v>0</v>
      </c>
      <c r="Q250" s="31">
        <v>0</v>
      </c>
      <c r="R250" s="31">
        <v>0</v>
      </c>
      <c r="S250" s="31">
        <v>0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f>ROUND((R250+T250)*1.5%,2)</f>
        <v>0</v>
      </c>
      <c r="AD250" s="179">
        <v>143632.79</v>
      </c>
      <c r="AE250" s="31">
        <v>0</v>
      </c>
      <c r="AF250" s="34">
        <v>2020</v>
      </c>
      <c r="AG250" s="35" t="s">
        <v>270</v>
      </c>
      <c r="AH250" s="35" t="s">
        <v>270</v>
      </c>
      <c r="AT250" s="20" t="e">
        <f t="shared" si="37"/>
        <v>#N/A</v>
      </c>
      <c r="BZ250" s="71"/>
      <c r="CD250" s="20" t="e">
        <f t="shared" si="30"/>
        <v>#N/A</v>
      </c>
    </row>
    <row r="251" spans="1:82" ht="61.5" x14ac:dyDescent="0.85">
      <c r="A251" s="20">
        <v>1</v>
      </c>
      <c r="B251" s="66">
        <f>SUBTOTAL(103,$A$22:A251)</f>
        <v>225</v>
      </c>
      <c r="C251" s="24" t="s">
        <v>626</v>
      </c>
      <c r="D251" s="31">
        <f t="shared" si="39"/>
        <v>3407945.42</v>
      </c>
      <c r="E251" s="36">
        <v>0</v>
      </c>
      <c r="F251" s="36">
        <v>0</v>
      </c>
      <c r="G251" s="36">
        <v>0</v>
      </c>
      <c r="H251" s="36">
        <v>0</v>
      </c>
      <c r="I251" s="36">
        <v>0</v>
      </c>
      <c r="J251" s="36">
        <v>0</v>
      </c>
      <c r="K251" s="241">
        <v>2</v>
      </c>
      <c r="L251" s="39">
        <v>3407945.42</v>
      </c>
      <c r="M251" s="31">
        <v>0</v>
      </c>
      <c r="N251" s="31">
        <v>0</v>
      </c>
      <c r="O251" s="36">
        <v>0</v>
      </c>
      <c r="P251" s="36">
        <v>0</v>
      </c>
      <c r="Q251" s="31">
        <v>0</v>
      </c>
      <c r="R251" s="31">
        <v>0</v>
      </c>
      <c r="S251" s="31">
        <v>0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4" t="s">
        <v>270</v>
      </c>
      <c r="AG251" s="34">
        <v>2020</v>
      </c>
      <c r="AH251" s="35" t="s">
        <v>270</v>
      </c>
      <c r="AT251" s="20">
        <f t="shared" si="37"/>
        <v>1</v>
      </c>
      <c r="BZ251" s="71"/>
      <c r="CD251" s="20" t="e">
        <f t="shared" si="30"/>
        <v>#N/A</v>
      </c>
    </row>
    <row r="252" spans="1:82" ht="61.5" x14ac:dyDescent="0.85">
      <c r="A252" s="20">
        <v>1</v>
      </c>
      <c r="B252" s="66">
        <f>SUBTOTAL(103,$A$22:A252)</f>
        <v>226</v>
      </c>
      <c r="C252" s="24" t="s">
        <v>628</v>
      </c>
      <c r="D252" s="31">
        <f t="shared" si="39"/>
        <v>1860691.51</v>
      </c>
      <c r="E252" s="36">
        <v>0</v>
      </c>
      <c r="F252" s="36">
        <v>0</v>
      </c>
      <c r="G252" s="36">
        <v>0</v>
      </c>
      <c r="H252" s="36">
        <v>0</v>
      </c>
      <c r="I252" s="36">
        <v>0</v>
      </c>
      <c r="J252" s="36">
        <v>0</v>
      </c>
      <c r="K252" s="33">
        <v>0</v>
      </c>
      <c r="L252" s="31">
        <v>0</v>
      </c>
      <c r="M252" s="39">
        <v>500</v>
      </c>
      <c r="N252" s="39">
        <v>1799039.95</v>
      </c>
      <c r="O252" s="36">
        <v>0</v>
      </c>
      <c r="P252" s="36">
        <v>0</v>
      </c>
      <c r="Q252" s="31">
        <v>0</v>
      </c>
      <c r="R252" s="31">
        <v>0</v>
      </c>
      <c r="S252" s="31">
        <v>0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9">
        <v>10794.24</v>
      </c>
      <c r="AD252" s="39">
        <v>50857.32</v>
      </c>
      <c r="AE252" s="31">
        <v>0</v>
      </c>
      <c r="AF252" s="34">
        <v>2020</v>
      </c>
      <c r="AG252" s="34">
        <v>2020</v>
      </c>
      <c r="AH252" s="35">
        <v>2020</v>
      </c>
      <c r="AT252" s="20" t="e">
        <f t="shared" si="37"/>
        <v>#N/A</v>
      </c>
      <c r="BZ252" s="71"/>
      <c r="CD252" s="20">
        <f t="shared" si="30"/>
        <v>486.27</v>
      </c>
    </row>
    <row r="253" spans="1:82" ht="61.5" x14ac:dyDescent="0.85">
      <c r="A253" s="20">
        <v>1</v>
      </c>
      <c r="B253" s="66">
        <f>SUBTOTAL(103,$A$22:A253)</f>
        <v>227</v>
      </c>
      <c r="C253" s="24" t="s">
        <v>631</v>
      </c>
      <c r="D253" s="31">
        <f t="shared" si="39"/>
        <v>2404378.48</v>
      </c>
      <c r="E253" s="36">
        <v>0</v>
      </c>
      <c r="F253" s="36">
        <v>0</v>
      </c>
      <c r="G253" s="36">
        <v>0</v>
      </c>
      <c r="H253" s="36">
        <v>0</v>
      </c>
      <c r="I253" s="36">
        <v>0</v>
      </c>
      <c r="J253" s="36">
        <v>0</v>
      </c>
      <c r="K253" s="33">
        <v>0</v>
      </c>
      <c r="L253" s="31">
        <v>0</v>
      </c>
      <c r="M253" s="39">
        <v>541.6</v>
      </c>
      <c r="N253" s="39">
        <v>2283128.7999999998</v>
      </c>
      <c r="O253" s="36">
        <v>0</v>
      </c>
      <c r="P253" s="36">
        <v>0</v>
      </c>
      <c r="Q253" s="31">
        <v>0</v>
      </c>
      <c r="R253" s="31">
        <v>0</v>
      </c>
      <c r="S253" s="31">
        <v>0</v>
      </c>
      <c r="T253" s="31">
        <v>0</v>
      </c>
      <c r="U253" s="31">
        <v>0</v>
      </c>
      <c r="V253" s="31">
        <v>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179">
        <v>13698.77</v>
      </c>
      <c r="AD253" s="179">
        <v>107550.91</v>
      </c>
      <c r="AE253" s="31">
        <v>0</v>
      </c>
      <c r="AF253" s="34">
        <v>2020</v>
      </c>
      <c r="AG253" s="34">
        <v>2020</v>
      </c>
      <c r="AH253" s="35">
        <v>2020</v>
      </c>
      <c r="AT253" s="20" t="e">
        <f t="shared" si="37"/>
        <v>#N/A</v>
      </c>
      <c r="BZ253" s="71"/>
      <c r="CD253" s="20">
        <f t="shared" si="30"/>
        <v>586.70000000000005</v>
      </c>
    </row>
    <row r="254" spans="1:82" ht="61.5" x14ac:dyDescent="0.85">
      <c r="A254" s="20">
        <v>1</v>
      </c>
      <c r="B254" s="66">
        <f>SUBTOTAL(103,$A$22:A254)</f>
        <v>228</v>
      </c>
      <c r="C254" s="24" t="s">
        <v>632</v>
      </c>
      <c r="D254" s="31">
        <f t="shared" si="39"/>
        <v>1323171.2200000002</v>
      </c>
      <c r="E254" s="36">
        <v>0</v>
      </c>
      <c r="F254" s="36">
        <v>0</v>
      </c>
      <c r="G254" s="36">
        <v>0</v>
      </c>
      <c r="H254" s="36">
        <v>0</v>
      </c>
      <c r="I254" s="36">
        <v>0</v>
      </c>
      <c r="J254" s="36">
        <v>0</v>
      </c>
      <c r="K254" s="33">
        <v>0</v>
      </c>
      <c r="L254" s="31">
        <v>0</v>
      </c>
      <c r="M254" s="39">
        <v>391.2</v>
      </c>
      <c r="N254" s="39">
        <v>1270891.82</v>
      </c>
      <c r="O254" s="36">
        <v>0</v>
      </c>
      <c r="P254" s="36">
        <v>0</v>
      </c>
      <c r="Q254" s="31">
        <v>0</v>
      </c>
      <c r="R254" s="31">
        <v>0</v>
      </c>
      <c r="S254" s="31">
        <v>0</v>
      </c>
      <c r="T254" s="31">
        <v>0</v>
      </c>
      <c r="U254" s="31">
        <v>0</v>
      </c>
      <c r="V254" s="31">
        <v>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9">
        <v>7625.35</v>
      </c>
      <c r="AD254" s="39">
        <v>44654.05</v>
      </c>
      <c r="AE254" s="31">
        <v>0</v>
      </c>
      <c r="AF254" s="34">
        <v>2020</v>
      </c>
      <c r="AG254" s="34">
        <v>2020</v>
      </c>
      <c r="AH254" s="35">
        <v>2020</v>
      </c>
      <c r="AT254" s="20" t="e">
        <f t="shared" si="37"/>
        <v>#N/A</v>
      </c>
      <c r="BZ254" s="71"/>
      <c r="CD254" s="20">
        <f t="shared" si="30"/>
        <v>384.56</v>
      </c>
    </row>
    <row r="255" spans="1:82" ht="61.5" x14ac:dyDescent="0.85">
      <c r="A255" s="20">
        <v>1</v>
      </c>
      <c r="B255" s="66">
        <f>SUBTOTAL(103,$A$22:A255)</f>
        <v>229</v>
      </c>
      <c r="C255" s="24" t="s">
        <v>633</v>
      </c>
      <c r="D255" s="31">
        <f t="shared" si="39"/>
        <v>1623216.35</v>
      </c>
      <c r="E255" s="36">
        <v>0</v>
      </c>
      <c r="F255" s="36">
        <v>0</v>
      </c>
      <c r="G255" s="36">
        <v>0</v>
      </c>
      <c r="H255" s="36">
        <v>0</v>
      </c>
      <c r="I255" s="36">
        <v>0</v>
      </c>
      <c r="J255" s="36">
        <v>0</v>
      </c>
      <c r="K255" s="241">
        <v>1</v>
      </c>
      <c r="L255" s="39">
        <v>1623216.35</v>
      </c>
      <c r="M255" s="31">
        <v>0</v>
      </c>
      <c r="N255" s="31">
        <v>0</v>
      </c>
      <c r="O255" s="36">
        <v>0</v>
      </c>
      <c r="P255" s="36">
        <v>0</v>
      </c>
      <c r="Q255" s="31">
        <v>0</v>
      </c>
      <c r="R255" s="31">
        <v>0</v>
      </c>
      <c r="S255" s="31">
        <v>0</v>
      </c>
      <c r="T255" s="31">
        <v>0</v>
      </c>
      <c r="U255" s="31">
        <v>0</v>
      </c>
      <c r="V255" s="31">
        <v>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0</v>
      </c>
      <c r="AD255" s="31">
        <v>0</v>
      </c>
      <c r="AE255" s="31">
        <v>0</v>
      </c>
      <c r="AF255" s="34" t="s">
        <v>270</v>
      </c>
      <c r="AG255" s="34">
        <v>2020</v>
      </c>
      <c r="AH255" s="35" t="s">
        <v>270</v>
      </c>
      <c r="AT255" s="20" t="e">
        <f t="shared" si="37"/>
        <v>#N/A</v>
      </c>
      <c r="BZ255" s="71"/>
      <c r="CD255" s="20" t="e">
        <f t="shared" si="30"/>
        <v>#N/A</v>
      </c>
    </row>
    <row r="256" spans="1:82" ht="61.5" x14ac:dyDescent="0.85">
      <c r="A256" s="20">
        <v>1</v>
      </c>
      <c r="B256" s="66">
        <f>SUBTOTAL(103,$A$22:A256)</f>
        <v>230</v>
      </c>
      <c r="C256" s="24" t="s">
        <v>635</v>
      </c>
      <c r="D256" s="31">
        <f t="shared" si="39"/>
        <v>840825.44000000006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3">
        <v>0</v>
      </c>
      <c r="L256" s="31">
        <v>0</v>
      </c>
      <c r="M256" s="39">
        <v>215.9</v>
      </c>
      <c r="N256" s="39">
        <v>785551.29</v>
      </c>
      <c r="O256" s="36">
        <v>0</v>
      </c>
      <c r="P256" s="36">
        <v>0</v>
      </c>
      <c r="Q256" s="31">
        <v>0</v>
      </c>
      <c r="R256" s="31">
        <v>0</v>
      </c>
      <c r="S256" s="31">
        <v>0</v>
      </c>
      <c r="T256" s="31">
        <v>0</v>
      </c>
      <c r="U256" s="31">
        <v>0</v>
      </c>
      <c r="V256" s="31">
        <v>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f t="shared" ref="AC256:AC261" si="40">ROUND(N256*1.5%,2)</f>
        <v>11783.27</v>
      </c>
      <c r="AD256" s="179">
        <v>43490.879999999997</v>
      </c>
      <c r="AE256" s="31">
        <v>0</v>
      </c>
      <c r="AF256" s="34">
        <v>2020</v>
      </c>
      <c r="AG256" s="34">
        <v>2020</v>
      </c>
      <c r="AH256" s="35">
        <v>2020</v>
      </c>
      <c r="AT256" s="20" t="e">
        <f t="shared" si="37"/>
        <v>#N/A</v>
      </c>
      <c r="BZ256" s="71"/>
      <c r="CD256" s="20" t="e">
        <f t="shared" si="30"/>
        <v>#N/A</v>
      </c>
    </row>
    <row r="257" spans="1:82" ht="61.5" x14ac:dyDescent="0.85">
      <c r="A257" s="20">
        <v>1</v>
      </c>
      <c r="B257" s="66">
        <f>SUBTOTAL(103,$A$22:A257)</f>
        <v>231</v>
      </c>
      <c r="C257" s="24" t="s">
        <v>639</v>
      </c>
      <c r="D257" s="31">
        <f t="shared" si="39"/>
        <v>1500690.63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3">
        <v>0</v>
      </c>
      <c r="L257" s="31">
        <v>0</v>
      </c>
      <c r="M257" s="39">
        <v>565</v>
      </c>
      <c r="N257" s="39">
        <v>1491740.19</v>
      </c>
      <c r="O257" s="36">
        <v>0</v>
      </c>
      <c r="P257" s="36">
        <v>0</v>
      </c>
      <c r="Q257" s="31">
        <v>0</v>
      </c>
      <c r="R257" s="31">
        <v>0</v>
      </c>
      <c r="S257" s="31">
        <v>0</v>
      </c>
      <c r="T257" s="31">
        <v>0</v>
      </c>
      <c r="U257" s="31">
        <v>0</v>
      </c>
      <c r="V257" s="31">
        <v>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9">
        <v>8950.44</v>
      </c>
      <c r="AD257" s="31">
        <v>0</v>
      </c>
      <c r="AE257" s="31">
        <v>0</v>
      </c>
      <c r="AF257" s="34" t="s">
        <v>270</v>
      </c>
      <c r="AG257" s="34">
        <v>2020</v>
      </c>
      <c r="AH257" s="35">
        <v>2020</v>
      </c>
      <c r="AT257" s="20" t="e">
        <f t="shared" si="37"/>
        <v>#N/A</v>
      </c>
      <c r="BZ257" s="71"/>
      <c r="CD257" s="20">
        <f t="shared" si="30"/>
        <v>563.1</v>
      </c>
    </row>
    <row r="258" spans="1:82" ht="61.5" x14ac:dyDescent="0.85">
      <c r="A258" s="20">
        <v>1</v>
      </c>
      <c r="B258" s="66">
        <f>SUBTOTAL(103,$A$22:A258)</f>
        <v>232</v>
      </c>
      <c r="C258" s="24" t="s">
        <v>1096</v>
      </c>
      <c r="D258" s="31">
        <f t="shared" si="39"/>
        <v>4918728.9799999995</v>
      </c>
      <c r="E258" s="31">
        <v>0</v>
      </c>
      <c r="F258" s="31">
        <v>0</v>
      </c>
      <c r="G258" s="31">
        <v>0</v>
      </c>
      <c r="H258" s="31">
        <v>0</v>
      </c>
      <c r="I258" s="31">
        <v>0</v>
      </c>
      <c r="J258" s="31">
        <v>0</v>
      </c>
      <c r="K258" s="74">
        <v>0</v>
      </c>
      <c r="L258" s="31">
        <v>0</v>
      </c>
      <c r="M258" s="39">
        <v>1093</v>
      </c>
      <c r="N258" s="39">
        <v>4724224.93</v>
      </c>
      <c r="O258" s="31">
        <v>0</v>
      </c>
      <c r="P258" s="31">
        <v>0</v>
      </c>
      <c r="Q258" s="31">
        <v>0</v>
      </c>
      <c r="R258" s="31">
        <v>0</v>
      </c>
      <c r="S258" s="31">
        <v>0</v>
      </c>
      <c r="T258" s="31">
        <v>0</v>
      </c>
      <c r="U258" s="31">
        <v>0</v>
      </c>
      <c r="V258" s="31">
        <v>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f t="shared" si="40"/>
        <v>70863.37</v>
      </c>
      <c r="AD258" s="39">
        <v>123640.68</v>
      </c>
      <c r="AE258" s="31">
        <v>0</v>
      </c>
      <c r="AF258" s="34">
        <v>2020</v>
      </c>
      <c r="AG258" s="34">
        <v>2020</v>
      </c>
      <c r="AH258" s="35">
        <v>2020</v>
      </c>
      <c r="BZ258" s="71"/>
      <c r="CD258" s="20" t="e">
        <f t="shared" si="30"/>
        <v>#N/A</v>
      </c>
    </row>
    <row r="259" spans="1:82" ht="61.5" x14ac:dyDescent="0.85">
      <c r="A259" s="20">
        <v>1</v>
      </c>
      <c r="B259" s="66">
        <f>SUBTOTAL(103,$A$22:A259)</f>
        <v>233</v>
      </c>
      <c r="C259" s="24" t="s">
        <v>1182</v>
      </c>
      <c r="D259" s="31">
        <f t="shared" si="39"/>
        <v>978702.2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3">
        <v>0</v>
      </c>
      <c r="L259" s="31">
        <v>0</v>
      </c>
      <c r="M259" s="39">
        <v>540.5</v>
      </c>
      <c r="N259" s="39">
        <v>964309.88</v>
      </c>
      <c r="O259" s="36">
        <v>0</v>
      </c>
      <c r="P259" s="36">
        <v>0</v>
      </c>
      <c r="Q259" s="31">
        <v>0</v>
      </c>
      <c r="R259" s="31">
        <v>0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9">
        <v>14392.32</v>
      </c>
      <c r="AD259" s="31">
        <v>0</v>
      </c>
      <c r="AE259" s="31">
        <v>0</v>
      </c>
      <c r="AF259" s="34" t="s">
        <v>270</v>
      </c>
      <c r="AG259" s="34">
        <v>2020</v>
      </c>
      <c r="AH259" s="35">
        <v>2020</v>
      </c>
      <c r="BZ259" s="71"/>
      <c r="CD259" s="20">
        <f t="shared" si="30"/>
        <v>540.5</v>
      </c>
    </row>
    <row r="260" spans="1:82" ht="61.5" x14ac:dyDescent="0.85">
      <c r="A260" s="20">
        <v>1</v>
      </c>
      <c r="B260" s="66">
        <f>SUBTOTAL(103,$A$22:A260)</f>
        <v>234</v>
      </c>
      <c r="C260" s="24" t="s">
        <v>1183</v>
      </c>
      <c r="D260" s="31">
        <f t="shared" si="39"/>
        <v>3528045.11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74">
        <v>0</v>
      </c>
      <c r="L260" s="31">
        <v>0</v>
      </c>
      <c r="M260" s="31">
        <v>603.5</v>
      </c>
      <c r="N260" s="31">
        <f>3299185.88+100000</f>
        <v>3399185.88</v>
      </c>
      <c r="O260" s="36">
        <v>0</v>
      </c>
      <c r="P260" s="36">
        <v>0</v>
      </c>
      <c r="Q260" s="31">
        <v>0</v>
      </c>
      <c r="R260" s="31">
        <v>0</v>
      </c>
      <c r="S260" s="31">
        <v>0</v>
      </c>
      <c r="T260" s="31">
        <v>0</v>
      </c>
      <c r="U260" s="31">
        <v>0</v>
      </c>
      <c r="V260" s="31">
        <v>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f t="shared" si="40"/>
        <v>50987.79</v>
      </c>
      <c r="AD260" s="39">
        <v>77871.44</v>
      </c>
      <c r="AE260" s="31">
        <v>0</v>
      </c>
      <c r="AF260" s="34">
        <v>2020</v>
      </c>
      <c r="AG260" s="34">
        <v>2020</v>
      </c>
      <c r="AH260" s="34">
        <v>2020</v>
      </c>
      <c r="BZ260" s="71"/>
      <c r="CD260" s="20">
        <f t="shared" si="30"/>
        <v>603.5</v>
      </c>
    </row>
    <row r="261" spans="1:82" ht="61.5" x14ac:dyDescent="0.85">
      <c r="A261" s="20">
        <v>1</v>
      </c>
      <c r="B261" s="66">
        <f>SUBTOTAL(103,$A$22:A261)</f>
        <v>235</v>
      </c>
      <c r="C261" s="24" t="s">
        <v>1184</v>
      </c>
      <c r="D261" s="31">
        <f t="shared" si="39"/>
        <v>8000993.2200000007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3">
        <v>0</v>
      </c>
      <c r="L261" s="31">
        <v>0</v>
      </c>
      <c r="M261" s="242">
        <v>1580.66</v>
      </c>
      <c r="N261" s="242">
        <v>7882751.9400000004</v>
      </c>
      <c r="O261" s="36">
        <v>0</v>
      </c>
      <c r="P261" s="36">
        <v>0</v>
      </c>
      <c r="Q261" s="31">
        <v>0</v>
      </c>
      <c r="R261" s="31">
        <v>0</v>
      </c>
      <c r="S261" s="31">
        <v>0</v>
      </c>
      <c r="T261" s="31">
        <v>0</v>
      </c>
      <c r="U261" s="31">
        <v>0</v>
      </c>
      <c r="V261" s="31">
        <v>0</v>
      </c>
      <c r="W261" s="31">
        <v>0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f t="shared" si="40"/>
        <v>118241.28</v>
      </c>
      <c r="AD261" s="31">
        <v>0</v>
      </c>
      <c r="AE261" s="31">
        <v>0</v>
      </c>
      <c r="AF261" s="34" t="s">
        <v>270</v>
      </c>
      <c r="AG261" s="34">
        <v>2020</v>
      </c>
      <c r="AH261" s="35">
        <v>2020</v>
      </c>
      <c r="BZ261" s="71"/>
      <c r="CD261" s="20">
        <f t="shared" si="30"/>
        <v>1650</v>
      </c>
    </row>
    <row r="262" spans="1:82" ht="61.5" x14ac:dyDescent="0.85">
      <c r="A262" s="20">
        <v>1</v>
      </c>
      <c r="B262" s="66">
        <f>SUBTOTAL(103,$A$22:A262)</f>
        <v>236</v>
      </c>
      <c r="C262" s="24" t="s">
        <v>1185</v>
      </c>
      <c r="D262" s="31">
        <f t="shared" si="39"/>
        <v>1685838.04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3">
        <v>0</v>
      </c>
      <c r="L262" s="31">
        <v>0</v>
      </c>
      <c r="M262" s="31">
        <v>0</v>
      </c>
      <c r="N262" s="31">
        <v>0</v>
      </c>
      <c r="O262" s="36">
        <v>0</v>
      </c>
      <c r="P262" s="36">
        <v>0</v>
      </c>
      <c r="Q262" s="39">
        <v>639.89</v>
      </c>
      <c r="R262" s="39">
        <v>1660924.18</v>
      </c>
      <c r="S262" s="31">
        <v>0</v>
      </c>
      <c r="T262" s="31">
        <v>0</v>
      </c>
      <c r="U262" s="31">
        <v>0</v>
      </c>
      <c r="V262" s="31">
        <v>0</v>
      </c>
      <c r="W262" s="31">
        <v>0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f>ROUND(R262*1.5%,2)</f>
        <v>24913.86</v>
      </c>
      <c r="AD262" s="31">
        <v>0</v>
      </c>
      <c r="AE262" s="31">
        <v>0</v>
      </c>
      <c r="AF262" s="34" t="s">
        <v>270</v>
      </c>
      <c r="AG262" s="34">
        <v>2020</v>
      </c>
      <c r="AH262" s="35">
        <v>2020</v>
      </c>
      <c r="BZ262" s="71"/>
      <c r="CD262" s="20" t="e">
        <f t="shared" si="30"/>
        <v>#N/A</v>
      </c>
    </row>
    <row r="263" spans="1:82" ht="61.5" x14ac:dyDescent="0.85">
      <c r="A263" s="20">
        <v>1</v>
      </c>
      <c r="B263" s="66">
        <f>SUBTOTAL(103,$A$22:A263)</f>
        <v>237</v>
      </c>
      <c r="C263" s="24" t="s">
        <v>1186</v>
      </c>
      <c r="D263" s="31">
        <f t="shared" si="39"/>
        <v>3785233.7800000003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3">
        <v>0</v>
      </c>
      <c r="L263" s="31">
        <v>0</v>
      </c>
      <c r="M263" s="39">
        <v>1913</v>
      </c>
      <c r="N263" s="39">
        <v>3729569.95</v>
      </c>
      <c r="O263" s="36">
        <v>0</v>
      </c>
      <c r="P263" s="36">
        <v>0</v>
      </c>
      <c r="Q263" s="31">
        <v>0</v>
      </c>
      <c r="R263" s="31">
        <v>0</v>
      </c>
      <c r="S263" s="31">
        <v>0</v>
      </c>
      <c r="T263" s="31">
        <v>0</v>
      </c>
      <c r="U263" s="31">
        <v>0</v>
      </c>
      <c r="V263" s="31">
        <v>0</v>
      </c>
      <c r="W263" s="31">
        <v>0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9">
        <v>55663.83</v>
      </c>
      <c r="AD263" s="31">
        <v>0</v>
      </c>
      <c r="AE263" s="31">
        <v>0</v>
      </c>
      <c r="AF263" s="34" t="s">
        <v>270</v>
      </c>
      <c r="AG263" s="34">
        <v>2020</v>
      </c>
      <c r="AH263" s="35">
        <v>2020</v>
      </c>
      <c r="BZ263" s="71"/>
      <c r="CD263" s="20">
        <f t="shared" si="30"/>
        <v>1906.5</v>
      </c>
    </row>
    <row r="264" spans="1:82" ht="61.5" x14ac:dyDescent="0.85">
      <c r="A264" s="20">
        <v>1</v>
      </c>
      <c r="B264" s="66">
        <f>SUBTOTAL(103,$A$22:A264)</f>
        <v>238</v>
      </c>
      <c r="C264" s="24" t="s">
        <v>1190</v>
      </c>
      <c r="D264" s="31">
        <f t="shared" si="39"/>
        <v>2272822.6599999997</v>
      </c>
      <c r="E264" s="39">
        <v>682532.23</v>
      </c>
      <c r="F264" s="39">
        <v>1291083.82</v>
      </c>
      <c r="G264" s="36">
        <v>0</v>
      </c>
      <c r="H264" s="39">
        <v>288852.59999999998</v>
      </c>
      <c r="I264" s="36">
        <v>0</v>
      </c>
      <c r="J264" s="36">
        <v>0</v>
      </c>
      <c r="K264" s="33">
        <v>0</v>
      </c>
      <c r="L264" s="31">
        <v>0</v>
      </c>
      <c r="M264" s="31">
        <v>0</v>
      </c>
      <c r="N264" s="31">
        <v>0</v>
      </c>
      <c r="O264" s="36">
        <v>0</v>
      </c>
      <c r="P264" s="36">
        <v>0</v>
      </c>
      <c r="Q264" s="31">
        <v>0</v>
      </c>
      <c r="R264" s="31">
        <v>0</v>
      </c>
      <c r="S264" s="31">
        <v>0</v>
      </c>
      <c r="T264" s="31">
        <v>0</v>
      </c>
      <c r="U264" s="31">
        <v>0</v>
      </c>
      <c r="V264" s="31">
        <v>0</v>
      </c>
      <c r="W264" s="31">
        <v>0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9">
        <v>10354.01</v>
      </c>
      <c r="AD264" s="31">
        <v>0</v>
      </c>
      <c r="AE264" s="31">
        <v>0</v>
      </c>
      <c r="AF264" s="34" t="s">
        <v>270</v>
      </c>
      <c r="AG264" s="34">
        <v>2020</v>
      </c>
      <c r="AH264" s="35">
        <v>2020</v>
      </c>
      <c r="BZ264" s="71"/>
      <c r="CD264" s="20" t="e">
        <f t="shared" si="30"/>
        <v>#N/A</v>
      </c>
    </row>
    <row r="265" spans="1:82" ht="61.5" x14ac:dyDescent="0.85">
      <c r="A265" s="20">
        <v>1</v>
      </c>
      <c r="B265" s="66">
        <f>SUBTOTAL(103,$A$22:A265)</f>
        <v>239</v>
      </c>
      <c r="C265" s="24" t="s">
        <v>1191</v>
      </c>
      <c r="D265" s="31">
        <f t="shared" si="39"/>
        <v>4444796.6100000003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3">
        <v>0</v>
      </c>
      <c r="L265" s="31">
        <v>0</v>
      </c>
      <c r="M265" s="39">
        <v>1284.6300000000001</v>
      </c>
      <c r="N265" s="39">
        <v>4419604.91</v>
      </c>
      <c r="O265" s="36">
        <v>0</v>
      </c>
      <c r="P265" s="36">
        <v>0</v>
      </c>
      <c r="Q265" s="31">
        <v>0</v>
      </c>
      <c r="R265" s="31">
        <v>0</v>
      </c>
      <c r="S265" s="31">
        <v>0</v>
      </c>
      <c r="T265" s="31">
        <v>0</v>
      </c>
      <c r="U265" s="31">
        <v>0</v>
      </c>
      <c r="V265" s="31">
        <v>0</v>
      </c>
      <c r="W265" s="31">
        <v>0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9">
        <v>25191.7</v>
      </c>
      <c r="AD265" s="31">
        <v>0</v>
      </c>
      <c r="AE265" s="31">
        <v>0</v>
      </c>
      <c r="AF265" s="34" t="s">
        <v>270</v>
      </c>
      <c r="AG265" s="34">
        <v>2020</v>
      </c>
      <c r="AH265" s="35">
        <v>2020</v>
      </c>
      <c r="BZ265" s="71"/>
      <c r="CD265" s="20">
        <f t="shared" si="30"/>
        <v>1264.96</v>
      </c>
    </row>
    <row r="266" spans="1:82" ht="61.5" x14ac:dyDescent="0.85">
      <c r="A266" s="20">
        <v>1</v>
      </c>
      <c r="B266" s="66">
        <f>SUBTOTAL(103,$A$22:A266)</f>
        <v>240</v>
      </c>
      <c r="C266" s="24" t="s">
        <v>1193</v>
      </c>
      <c r="D266" s="31">
        <f t="shared" si="39"/>
        <v>3526049.4499999997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3">
        <v>0</v>
      </c>
      <c r="L266" s="31">
        <v>0</v>
      </c>
      <c r="M266" s="31">
        <v>838.77</v>
      </c>
      <c r="N266" s="137">
        <v>3506064.92</v>
      </c>
      <c r="O266" s="36">
        <v>0</v>
      </c>
      <c r="P266" s="36">
        <v>0</v>
      </c>
      <c r="Q266" s="31">
        <v>0</v>
      </c>
      <c r="R266" s="31">
        <v>0</v>
      </c>
      <c r="S266" s="31">
        <v>0</v>
      </c>
      <c r="T266" s="31">
        <v>0</v>
      </c>
      <c r="U266" s="31">
        <v>0</v>
      </c>
      <c r="V266" s="31">
        <v>0</v>
      </c>
      <c r="W266" s="31">
        <v>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242">
        <v>19984.53</v>
      </c>
      <c r="AD266" s="31">
        <v>0</v>
      </c>
      <c r="AE266" s="31">
        <v>0</v>
      </c>
      <c r="AF266" s="34" t="s">
        <v>270</v>
      </c>
      <c r="AG266" s="34">
        <v>2020</v>
      </c>
      <c r="AH266" s="35">
        <v>2020</v>
      </c>
      <c r="BZ266" s="71"/>
      <c r="CD266" s="20">
        <f t="shared" si="30"/>
        <v>781</v>
      </c>
    </row>
    <row r="267" spans="1:82" ht="61.5" x14ac:dyDescent="0.85">
      <c r="A267" s="20">
        <v>1</v>
      </c>
      <c r="B267" s="66">
        <f>SUBTOTAL(103,$A$22:A267)</f>
        <v>241</v>
      </c>
      <c r="C267" s="24" t="s">
        <v>1194</v>
      </c>
      <c r="D267" s="31">
        <f t="shared" si="39"/>
        <v>5541160.7200000007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3">
        <v>0</v>
      </c>
      <c r="L267" s="31">
        <v>0</v>
      </c>
      <c r="M267" s="39">
        <v>2073.9</v>
      </c>
      <c r="N267" s="39">
        <v>5459271.6500000004</v>
      </c>
      <c r="O267" s="36">
        <v>0</v>
      </c>
      <c r="P267" s="36">
        <v>0</v>
      </c>
      <c r="Q267" s="31">
        <v>0</v>
      </c>
      <c r="R267" s="31">
        <v>0</v>
      </c>
      <c r="S267" s="31">
        <v>0</v>
      </c>
      <c r="T267" s="31">
        <v>0</v>
      </c>
      <c r="U267" s="31">
        <v>0</v>
      </c>
      <c r="V267" s="31">
        <v>0</v>
      </c>
      <c r="W267" s="31">
        <v>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f>ROUND(N267*1.5%,2)</f>
        <v>81889.070000000007</v>
      </c>
      <c r="AD267" s="31">
        <v>0</v>
      </c>
      <c r="AE267" s="31">
        <v>0</v>
      </c>
      <c r="AF267" s="34" t="s">
        <v>270</v>
      </c>
      <c r="AG267" s="34">
        <v>2020</v>
      </c>
      <c r="AH267" s="35">
        <v>2020</v>
      </c>
      <c r="BZ267" s="71"/>
      <c r="CD267" s="20">
        <f t="shared" ref="CD267:CD330" si="41">VLOOKUP(C267,CE:CF,2,FALSE)</f>
        <v>2073.9</v>
      </c>
    </row>
    <row r="268" spans="1:82" ht="61.5" x14ac:dyDescent="0.85">
      <c r="A268" s="20">
        <v>1</v>
      </c>
      <c r="B268" s="66">
        <f>SUBTOTAL(103,$A$22:A268)</f>
        <v>242</v>
      </c>
      <c r="C268" s="24" t="s">
        <v>1196</v>
      </c>
      <c r="D268" s="31">
        <f t="shared" si="39"/>
        <v>4738452.92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3">
        <v>0</v>
      </c>
      <c r="L268" s="31">
        <v>0</v>
      </c>
      <c r="M268" s="39">
        <v>1174.5999999999999</v>
      </c>
      <c r="N268" s="242">
        <v>4711596.87</v>
      </c>
      <c r="O268" s="36">
        <v>0</v>
      </c>
      <c r="P268" s="36">
        <v>0</v>
      </c>
      <c r="Q268" s="31">
        <v>0</v>
      </c>
      <c r="R268" s="31">
        <v>0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242">
        <v>26856.05</v>
      </c>
      <c r="AD268" s="31">
        <v>0</v>
      </c>
      <c r="AE268" s="31">
        <v>0</v>
      </c>
      <c r="AF268" s="34" t="s">
        <v>270</v>
      </c>
      <c r="AG268" s="34">
        <v>2020</v>
      </c>
      <c r="AH268" s="35">
        <v>2020</v>
      </c>
      <c r="BZ268" s="71"/>
      <c r="CD268" s="20">
        <f t="shared" si="41"/>
        <v>1174.18</v>
      </c>
    </row>
    <row r="269" spans="1:82" ht="61.5" x14ac:dyDescent="0.85">
      <c r="A269" s="20">
        <v>1</v>
      </c>
      <c r="B269" s="66">
        <f>SUBTOTAL(103,$A$22:A269)</f>
        <v>243</v>
      </c>
      <c r="C269" s="24" t="s">
        <v>1197</v>
      </c>
      <c r="D269" s="31">
        <f t="shared" si="39"/>
        <v>2182746.96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3">
        <v>0</v>
      </c>
      <c r="L269" s="31">
        <v>0</v>
      </c>
      <c r="M269" s="39">
        <v>484.14</v>
      </c>
      <c r="N269" s="242">
        <v>2170375.84</v>
      </c>
      <c r="O269" s="36">
        <v>0</v>
      </c>
      <c r="P269" s="36">
        <v>0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0</v>
      </c>
      <c r="W269" s="31">
        <v>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242">
        <v>12371.12</v>
      </c>
      <c r="AD269" s="31">
        <v>0</v>
      </c>
      <c r="AE269" s="31">
        <v>0</v>
      </c>
      <c r="AF269" s="34" t="s">
        <v>270</v>
      </c>
      <c r="AG269" s="34">
        <v>2020</v>
      </c>
      <c r="AH269" s="35">
        <v>2020</v>
      </c>
      <c r="BZ269" s="71"/>
      <c r="CD269" s="20">
        <f t="shared" si="41"/>
        <v>484</v>
      </c>
    </row>
    <row r="270" spans="1:82" ht="61.5" x14ac:dyDescent="0.85">
      <c r="A270" s="20">
        <v>1</v>
      </c>
      <c r="B270" s="66">
        <f>SUBTOTAL(103,$A$22:A270)</f>
        <v>244</v>
      </c>
      <c r="C270" s="24" t="s">
        <v>1357</v>
      </c>
      <c r="D270" s="31">
        <f t="shared" si="39"/>
        <v>1724602.98</v>
      </c>
      <c r="E270" s="31">
        <v>0</v>
      </c>
      <c r="F270" s="31">
        <v>0</v>
      </c>
      <c r="G270" s="31">
        <v>0</v>
      </c>
      <c r="H270" s="31">
        <v>0</v>
      </c>
      <c r="I270" s="31">
        <v>0</v>
      </c>
      <c r="J270" s="31">
        <v>0</v>
      </c>
      <c r="K270" s="33">
        <v>0</v>
      </c>
      <c r="L270" s="31">
        <v>0</v>
      </c>
      <c r="M270" s="39">
        <v>527.41999999999996</v>
      </c>
      <c r="N270" s="242">
        <v>1663637.88</v>
      </c>
      <c r="O270" s="31">
        <v>0</v>
      </c>
      <c r="P270" s="31">
        <v>0</v>
      </c>
      <c r="Q270" s="31">
        <v>0</v>
      </c>
      <c r="R270" s="31">
        <v>0</v>
      </c>
      <c r="S270" s="31">
        <v>0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242">
        <v>9981.82</v>
      </c>
      <c r="AD270" s="39">
        <v>50983.28</v>
      </c>
      <c r="AE270" s="31">
        <v>0</v>
      </c>
      <c r="AF270" s="34">
        <v>2020</v>
      </c>
      <c r="AG270" s="34">
        <v>2020</v>
      </c>
      <c r="AH270" s="35">
        <v>2020</v>
      </c>
      <c r="BZ270" s="71"/>
      <c r="CD270" s="20" t="e">
        <f t="shared" si="41"/>
        <v>#N/A</v>
      </c>
    </row>
    <row r="271" spans="1:82" ht="61.5" x14ac:dyDescent="0.85">
      <c r="A271" s="20">
        <v>1</v>
      </c>
      <c r="B271" s="66">
        <f>SUBTOTAL(103,$A$22:A271)</f>
        <v>245</v>
      </c>
      <c r="C271" s="24" t="s">
        <v>1356</v>
      </c>
      <c r="D271" s="31">
        <f t="shared" si="39"/>
        <v>1611940.21</v>
      </c>
      <c r="E271" s="31">
        <v>0</v>
      </c>
      <c r="F271" s="31">
        <v>0</v>
      </c>
      <c r="G271" s="31">
        <v>0</v>
      </c>
      <c r="H271" s="31">
        <v>0</v>
      </c>
      <c r="I271" s="31">
        <v>0</v>
      </c>
      <c r="J271" s="31">
        <v>0</v>
      </c>
      <c r="K271" s="33">
        <v>0</v>
      </c>
      <c r="L271" s="31">
        <v>0</v>
      </c>
      <c r="M271" s="39">
        <v>479.49</v>
      </c>
      <c r="N271" s="242">
        <v>1540245.03</v>
      </c>
      <c r="O271" s="31">
        <v>0</v>
      </c>
      <c r="P271" s="31">
        <v>0</v>
      </c>
      <c r="Q271" s="31">
        <v>0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f>ROUND(N271*1.5%,2)</f>
        <v>23103.68</v>
      </c>
      <c r="AD271" s="39">
        <v>48591.5</v>
      </c>
      <c r="AE271" s="31">
        <v>0</v>
      </c>
      <c r="AF271" s="34">
        <v>2020</v>
      </c>
      <c r="AG271" s="34">
        <v>2020</v>
      </c>
      <c r="AH271" s="35">
        <v>2020</v>
      </c>
      <c r="BZ271" s="71"/>
      <c r="CD271" s="20" t="e">
        <f t="shared" si="41"/>
        <v>#N/A</v>
      </c>
    </row>
    <row r="272" spans="1:82" ht="61.5" x14ac:dyDescent="0.85">
      <c r="A272" s="20">
        <v>1</v>
      </c>
      <c r="B272" s="66">
        <f>SUBTOTAL(103,$A$22:A272)</f>
        <v>246</v>
      </c>
      <c r="C272" s="24" t="s">
        <v>1566</v>
      </c>
      <c r="D272" s="31">
        <f t="shared" ref="D272:D273" si="42">E272+F272+G272+H272+I272+J272+L272+N272+P272+R272+T272+U272+V272+W272+X272+Y272+Z272+AA272+AB272+AC272+AD272+AE272</f>
        <v>130960.35</v>
      </c>
      <c r="E272" s="31">
        <v>0</v>
      </c>
      <c r="F272" s="31">
        <v>0</v>
      </c>
      <c r="G272" s="31">
        <v>0</v>
      </c>
      <c r="H272" s="31">
        <v>0</v>
      </c>
      <c r="I272" s="31">
        <v>0</v>
      </c>
      <c r="J272" s="31">
        <v>0</v>
      </c>
      <c r="K272" s="33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0</v>
      </c>
      <c r="Q272" s="31">
        <v>0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f>ROUND(N272*1.5%,2)</f>
        <v>0</v>
      </c>
      <c r="AD272" s="179">
        <v>130960.35</v>
      </c>
      <c r="AE272" s="31">
        <v>0</v>
      </c>
      <c r="AF272" s="34">
        <v>2020</v>
      </c>
      <c r="AG272" s="34" t="s">
        <v>270</v>
      </c>
      <c r="AH272" s="34" t="s">
        <v>270</v>
      </c>
      <c r="BZ272" s="71"/>
      <c r="CD272" s="20" t="e">
        <f t="shared" si="41"/>
        <v>#N/A</v>
      </c>
    </row>
    <row r="273" spans="1:82" ht="61.5" x14ac:dyDescent="0.85">
      <c r="A273" s="20">
        <v>1</v>
      </c>
      <c r="B273" s="66">
        <f>SUBTOTAL(103,$A$22:A273)</f>
        <v>247</v>
      </c>
      <c r="C273" s="24" t="s">
        <v>629</v>
      </c>
      <c r="D273" s="31">
        <f t="shared" si="42"/>
        <v>105885.54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74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0</v>
      </c>
      <c r="Q273" s="31">
        <v>0</v>
      </c>
      <c r="R273" s="31">
        <v>0</v>
      </c>
      <c r="S273" s="31">
        <v>0</v>
      </c>
      <c r="T273" s="31">
        <v>0</v>
      </c>
      <c r="U273" s="31">
        <v>0</v>
      </c>
      <c r="V273" s="31">
        <v>0</v>
      </c>
      <c r="W273" s="31">
        <v>0</v>
      </c>
      <c r="X273" s="31">
        <v>0</v>
      </c>
      <c r="Y273" s="31">
        <v>0</v>
      </c>
      <c r="Z273" s="31">
        <v>0</v>
      </c>
      <c r="AA273" s="31">
        <v>0</v>
      </c>
      <c r="AB273" s="31">
        <v>0</v>
      </c>
      <c r="AC273" s="31">
        <v>0</v>
      </c>
      <c r="AD273" s="31">
        <v>105885.54</v>
      </c>
      <c r="AE273" s="31">
        <v>0</v>
      </c>
      <c r="AF273" s="34">
        <v>2020</v>
      </c>
      <c r="AG273" s="34" t="s">
        <v>270</v>
      </c>
      <c r="AH273" s="34" t="s">
        <v>270</v>
      </c>
      <c r="AT273" s="20" t="e">
        <f>VLOOKUP(C273,AW:AX,2,FALSE)</f>
        <v>#N/A</v>
      </c>
      <c r="BZ273" s="71"/>
      <c r="CD273" s="20" t="e">
        <f t="shared" si="41"/>
        <v>#N/A</v>
      </c>
    </row>
    <row r="274" spans="1:82" ht="61.5" x14ac:dyDescent="0.85">
      <c r="B274" s="24" t="s">
        <v>822</v>
      </c>
      <c r="C274" s="24"/>
      <c r="D274" s="195">
        <f t="shared" ref="D274:AE274" si="43">SUM(D275:D279)</f>
        <v>14114868.93</v>
      </c>
      <c r="E274" s="31">
        <f t="shared" si="43"/>
        <v>0</v>
      </c>
      <c r="F274" s="31">
        <f t="shared" si="43"/>
        <v>0</v>
      </c>
      <c r="G274" s="31">
        <f t="shared" si="43"/>
        <v>0</v>
      </c>
      <c r="H274" s="31">
        <f t="shared" si="43"/>
        <v>0</v>
      </c>
      <c r="I274" s="31">
        <f t="shared" si="43"/>
        <v>0</v>
      </c>
      <c r="J274" s="31">
        <f t="shared" si="43"/>
        <v>0</v>
      </c>
      <c r="K274" s="33">
        <f t="shared" si="43"/>
        <v>0</v>
      </c>
      <c r="L274" s="31">
        <f t="shared" si="43"/>
        <v>0</v>
      </c>
      <c r="M274" s="31">
        <f t="shared" si="43"/>
        <v>4487.16</v>
      </c>
      <c r="N274" s="31">
        <f t="shared" si="43"/>
        <v>13726303.279999999</v>
      </c>
      <c r="O274" s="31">
        <f t="shared" si="43"/>
        <v>0</v>
      </c>
      <c r="P274" s="31">
        <f t="shared" si="43"/>
        <v>0</v>
      </c>
      <c r="Q274" s="31">
        <f t="shared" si="43"/>
        <v>0</v>
      </c>
      <c r="R274" s="31">
        <f t="shared" si="43"/>
        <v>0</v>
      </c>
      <c r="S274" s="31">
        <f t="shared" si="43"/>
        <v>0</v>
      </c>
      <c r="T274" s="31">
        <f t="shared" si="43"/>
        <v>0</v>
      </c>
      <c r="U274" s="31">
        <f t="shared" si="43"/>
        <v>0</v>
      </c>
      <c r="V274" s="31">
        <f t="shared" si="43"/>
        <v>0</v>
      </c>
      <c r="W274" s="31">
        <f t="shared" si="43"/>
        <v>0</v>
      </c>
      <c r="X274" s="31">
        <f t="shared" si="43"/>
        <v>0</v>
      </c>
      <c r="Y274" s="31">
        <f t="shared" si="43"/>
        <v>0</v>
      </c>
      <c r="Z274" s="31">
        <f t="shared" si="43"/>
        <v>0</v>
      </c>
      <c r="AA274" s="31">
        <f t="shared" si="43"/>
        <v>0</v>
      </c>
      <c r="AB274" s="31">
        <f t="shared" si="43"/>
        <v>0</v>
      </c>
      <c r="AC274" s="31">
        <f t="shared" si="43"/>
        <v>80305.45</v>
      </c>
      <c r="AD274" s="31">
        <f t="shared" si="43"/>
        <v>308260.2</v>
      </c>
      <c r="AE274" s="31">
        <f t="shared" si="43"/>
        <v>0</v>
      </c>
      <c r="AF274" s="72" t="s">
        <v>757</v>
      </c>
      <c r="AG274" s="72" t="s">
        <v>757</v>
      </c>
      <c r="AH274" s="87" t="s">
        <v>757</v>
      </c>
      <c r="AT274" s="20" t="e">
        <f>VLOOKUP(C274,AW:AX,2,FALSE)</f>
        <v>#N/A</v>
      </c>
      <c r="BZ274" s="71">
        <v>31393292.599999998</v>
      </c>
      <c r="CD274" s="20" t="e">
        <f t="shared" si="41"/>
        <v>#N/A</v>
      </c>
    </row>
    <row r="275" spans="1:82" ht="61.5" x14ac:dyDescent="0.85">
      <c r="A275" s="20">
        <v>1</v>
      </c>
      <c r="B275" s="66">
        <f>SUBTOTAL(103,$A$22:A275)</f>
        <v>248</v>
      </c>
      <c r="C275" s="24" t="s">
        <v>640</v>
      </c>
      <c r="D275" s="31">
        <f t="shared" ref="D275:D279" si="44">E275+F275+G275+H275+I275+J275+L275+N275+P275+R275+T275+U275+V275+W275+X275+Y275+Z275+AA275+AB275+AC275+AD275+AE275</f>
        <v>3927547.9699999997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3">
        <v>0</v>
      </c>
      <c r="L275" s="31">
        <v>0</v>
      </c>
      <c r="M275" s="39">
        <v>1278.5</v>
      </c>
      <c r="N275" s="39">
        <v>3747445.51</v>
      </c>
      <c r="O275" s="36">
        <v>0</v>
      </c>
      <c r="P275" s="36">
        <v>0</v>
      </c>
      <c r="Q275" s="31">
        <v>0</v>
      </c>
      <c r="R275" s="31">
        <v>0</v>
      </c>
      <c r="S275" s="31">
        <v>0</v>
      </c>
      <c r="T275" s="31">
        <v>0</v>
      </c>
      <c r="U275" s="31">
        <v>0</v>
      </c>
      <c r="V275" s="31">
        <v>0</v>
      </c>
      <c r="W275" s="31">
        <v>0</v>
      </c>
      <c r="X275" s="31">
        <v>0</v>
      </c>
      <c r="Y275" s="31">
        <v>0</v>
      </c>
      <c r="Z275" s="31">
        <v>0</v>
      </c>
      <c r="AA275" s="31">
        <v>0</v>
      </c>
      <c r="AB275" s="31">
        <v>0</v>
      </c>
      <c r="AC275" s="39">
        <v>22484.67</v>
      </c>
      <c r="AD275" s="39">
        <v>157617.79</v>
      </c>
      <c r="AE275" s="31">
        <v>0</v>
      </c>
      <c r="AF275" s="34">
        <v>2020</v>
      </c>
      <c r="AG275" s="34">
        <v>2020</v>
      </c>
      <c r="AH275" s="35">
        <v>2020</v>
      </c>
      <c r="AT275" s="20" t="e">
        <f>VLOOKUP(C275,AW:AX,2,FALSE)</f>
        <v>#N/A</v>
      </c>
      <c r="BZ275" s="71"/>
      <c r="CD275" s="20" t="e">
        <f t="shared" si="41"/>
        <v>#N/A</v>
      </c>
    </row>
    <row r="276" spans="1:82" ht="61.5" x14ac:dyDescent="0.85">
      <c r="A276" s="20">
        <v>1</v>
      </c>
      <c r="B276" s="66">
        <f>SUBTOTAL(103,$A$22:A276)</f>
        <v>249</v>
      </c>
      <c r="C276" s="24" t="s">
        <v>646</v>
      </c>
      <c r="D276" s="31">
        <f t="shared" si="44"/>
        <v>3307384.7800000003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3">
        <v>0</v>
      </c>
      <c r="L276" s="31">
        <v>0</v>
      </c>
      <c r="M276" s="39">
        <v>1021.96</v>
      </c>
      <c r="N276" s="39">
        <v>3137914.89</v>
      </c>
      <c r="O276" s="36">
        <v>0</v>
      </c>
      <c r="P276" s="36">
        <v>0</v>
      </c>
      <c r="Q276" s="31">
        <v>0</v>
      </c>
      <c r="R276" s="31">
        <v>0</v>
      </c>
      <c r="S276" s="31">
        <v>0</v>
      </c>
      <c r="T276" s="31">
        <v>0</v>
      </c>
      <c r="U276" s="31">
        <v>0</v>
      </c>
      <c r="V276" s="31">
        <v>0</v>
      </c>
      <c r="W276" s="31">
        <v>0</v>
      </c>
      <c r="X276" s="31">
        <v>0</v>
      </c>
      <c r="Y276" s="31">
        <v>0</v>
      </c>
      <c r="Z276" s="31">
        <v>0</v>
      </c>
      <c r="AA276" s="31">
        <v>0</v>
      </c>
      <c r="AB276" s="31">
        <v>0</v>
      </c>
      <c r="AC276" s="39">
        <v>18827.48</v>
      </c>
      <c r="AD276" s="39">
        <v>150642.41</v>
      </c>
      <c r="AE276" s="31">
        <v>0</v>
      </c>
      <c r="AF276" s="34">
        <v>2020</v>
      </c>
      <c r="AG276" s="34">
        <v>2020</v>
      </c>
      <c r="AH276" s="35">
        <v>2020</v>
      </c>
      <c r="AT276" s="20" t="e">
        <f>VLOOKUP(C276,AW:AX,2,FALSE)</f>
        <v>#N/A</v>
      </c>
      <c r="BZ276" s="71"/>
      <c r="CD276" s="20" t="e">
        <f t="shared" si="41"/>
        <v>#N/A</v>
      </c>
    </row>
    <row r="277" spans="1:82" ht="61.5" x14ac:dyDescent="0.85">
      <c r="A277" s="20">
        <v>1</v>
      </c>
      <c r="B277" s="66">
        <f>SUBTOTAL(103,$A$22:A277)</f>
        <v>250</v>
      </c>
      <c r="C277" s="24" t="s">
        <v>1200</v>
      </c>
      <c r="D277" s="31">
        <f t="shared" si="44"/>
        <v>1446069.26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3">
        <v>0</v>
      </c>
      <c r="L277" s="31">
        <v>0</v>
      </c>
      <c r="M277" s="39">
        <v>438.9</v>
      </c>
      <c r="N277" s="39">
        <v>1437873.4</v>
      </c>
      <c r="O277" s="36">
        <v>0</v>
      </c>
      <c r="P277" s="36">
        <v>0</v>
      </c>
      <c r="Q277" s="31">
        <v>0</v>
      </c>
      <c r="R277" s="31">
        <v>0</v>
      </c>
      <c r="S277" s="31">
        <v>0</v>
      </c>
      <c r="T277" s="31">
        <v>0</v>
      </c>
      <c r="U277" s="31">
        <v>0</v>
      </c>
      <c r="V277" s="31">
        <v>0</v>
      </c>
      <c r="W277" s="31">
        <v>0</v>
      </c>
      <c r="X277" s="31">
        <v>0</v>
      </c>
      <c r="Y277" s="31">
        <v>0</v>
      </c>
      <c r="Z277" s="31">
        <v>0</v>
      </c>
      <c r="AA277" s="31">
        <v>0</v>
      </c>
      <c r="AB277" s="31">
        <v>0</v>
      </c>
      <c r="AC277" s="179">
        <v>8195.86</v>
      </c>
      <c r="AD277" s="31">
        <v>0</v>
      </c>
      <c r="AE277" s="31">
        <v>0</v>
      </c>
      <c r="AF277" s="34" t="s">
        <v>270</v>
      </c>
      <c r="AG277" s="34">
        <v>2020</v>
      </c>
      <c r="AH277" s="35">
        <v>2020</v>
      </c>
      <c r="BZ277" s="71"/>
      <c r="CD277" s="20">
        <f t="shared" si="41"/>
        <v>452.1</v>
      </c>
    </row>
    <row r="278" spans="1:82" ht="61.5" x14ac:dyDescent="0.85">
      <c r="A278" s="20">
        <v>1</v>
      </c>
      <c r="B278" s="66">
        <f>SUBTOTAL(103,$A$22:A278)</f>
        <v>251</v>
      </c>
      <c r="C278" s="24" t="s">
        <v>1201</v>
      </c>
      <c r="D278" s="31">
        <f t="shared" si="44"/>
        <v>2997039.15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3">
        <v>0</v>
      </c>
      <c r="L278" s="31">
        <v>0</v>
      </c>
      <c r="M278" s="39">
        <v>970</v>
      </c>
      <c r="N278" s="39">
        <v>2980052.88</v>
      </c>
      <c r="O278" s="36">
        <v>0</v>
      </c>
      <c r="P278" s="36">
        <v>0</v>
      </c>
      <c r="Q278" s="31">
        <v>0</v>
      </c>
      <c r="R278" s="31">
        <v>0</v>
      </c>
      <c r="S278" s="31">
        <v>0</v>
      </c>
      <c r="T278" s="31">
        <v>0</v>
      </c>
      <c r="U278" s="31">
        <v>0</v>
      </c>
      <c r="V278" s="31">
        <v>0</v>
      </c>
      <c r="W278" s="31">
        <v>0</v>
      </c>
      <c r="X278" s="31">
        <v>0</v>
      </c>
      <c r="Y278" s="31">
        <v>0</v>
      </c>
      <c r="Z278" s="31">
        <v>0</v>
      </c>
      <c r="AA278" s="31">
        <v>0</v>
      </c>
      <c r="AB278" s="31">
        <v>0</v>
      </c>
      <c r="AC278" s="39">
        <v>16986.27</v>
      </c>
      <c r="AD278" s="31">
        <v>0</v>
      </c>
      <c r="AE278" s="31">
        <v>0</v>
      </c>
      <c r="AF278" s="34" t="s">
        <v>270</v>
      </c>
      <c r="AG278" s="34">
        <v>2020</v>
      </c>
      <c r="AH278" s="35">
        <v>2020</v>
      </c>
      <c r="BZ278" s="71"/>
      <c r="CD278" s="20">
        <f t="shared" si="41"/>
        <v>992</v>
      </c>
    </row>
    <row r="279" spans="1:82" ht="61.5" x14ac:dyDescent="0.85">
      <c r="A279" s="20">
        <v>1</v>
      </c>
      <c r="B279" s="66">
        <f>SUBTOTAL(103,$A$22:A279)</f>
        <v>252</v>
      </c>
      <c r="C279" s="24" t="s">
        <v>644</v>
      </c>
      <c r="D279" s="31">
        <f t="shared" si="44"/>
        <v>2436827.77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3">
        <v>0</v>
      </c>
      <c r="L279" s="31">
        <v>0</v>
      </c>
      <c r="M279" s="39">
        <v>777.8</v>
      </c>
      <c r="N279" s="39">
        <v>2423016.6</v>
      </c>
      <c r="O279" s="36">
        <v>0</v>
      </c>
      <c r="P279" s="36">
        <v>0</v>
      </c>
      <c r="Q279" s="31">
        <v>0</v>
      </c>
      <c r="R279" s="31">
        <v>0</v>
      </c>
      <c r="S279" s="31">
        <v>0</v>
      </c>
      <c r="T279" s="31">
        <v>0</v>
      </c>
      <c r="U279" s="31">
        <v>0</v>
      </c>
      <c r="V279" s="31">
        <v>0</v>
      </c>
      <c r="W279" s="31">
        <v>0</v>
      </c>
      <c r="X279" s="31">
        <v>0</v>
      </c>
      <c r="Y279" s="31">
        <v>0</v>
      </c>
      <c r="Z279" s="31">
        <v>0</v>
      </c>
      <c r="AA279" s="31">
        <v>0</v>
      </c>
      <c r="AB279" s="31">
        <v>0</v>
      </c>
      <c r="AC279" s="39">
        <v>13811.17</v>
      </c>
      <c r="AD279" s="31">
        <v>0</v>
      </c>
      <c r="AE279" s="31">
        <v>0</v>
      </c>
      <c r="AF279" s="34" t="s">
        <v>270</v>
      </c>
      <c r="AG279" s="34">
        <v>2020</v>
      </c>
      <c r="AH279" s="35">
        <v>2020</v>
      </c>
      <c r="BZ279" s="71"/>
      <c r="CD279" s="20">
        <f t="shared" si="41"/>
        <v>796.1</v>
      </c>
    </row>
    <row r="280" spans="1:82" ht="61.5" x14ac:dyDescent="0.85">
      <c r="B280" s="24" t="s">
        <v>823</v>
      </c>
      <c r="C280" s="24"/>
      <c r="D280" s="195">
        <f>SUM(D281:D286)</f>
        <v>30991355.739999995</v>
      </c>
      <c r="E280" s="31">
        <f t="shared" ref="E280:AE280" si="45">SUM(E281:E286)</f>
        <v>0</v>
      </c>
      <c r="F280" s="31">
        <f t="shared" si="45"/>
        <v>0</v>
      </c>
      <c r="G280" s="31">
        <f t="shared" si="45"/>
        <v>0</v>
      </c>
      <c r="H280" s="31">
        <f t="shared" si="45"/>
        <v>0</v>
      </c>
      <c r="I280" s="31">
        <f t="shared" si="45"/>
        <v>0</v>
      </c>
      <c r="J280" s="31">
        <f t="shared" si="45"/>
        <v>0</v>
      </c>
      <c r="K280" s="33">
        <f t="shared" si="45"/>
        <v>0</v>
      </c>
      <c r="L280" s="31">
        <f t="shared" si="45"/>
        <v>0</v>
      </c>
      <c r="M280" s="31">
        <f t="shared" si="45"/>
        <v>4638.45</v>
      </c>
      <c r="N280" s="31">
        <f t="shared" si="45"/>
        <v>22101832.469999999</v>
      </c>
      <c r="O280" s="31">
        <f t="shared" si="45"/>
        <v>0</v>
      </c>
      <c r="P280" s="31">
        <f t="shared" si="45"/>
        <v>0</v>
      </c>
      <c r="Q280" s="31">
        <f t="shared" si="45"/>
        <v>2556.4</v>
      </c>
      <c r="R280" s="31">
        <f t="shared" si="45"/>
        <v>8126707.1399999997</v>
      </c>
      <c r="S280" s="31">
        <f t="shared" si="45"/>
        <v>0</v>
      </c>
      <c r="T280" s="31">
        <f t="shared" si="45"/>
        <v>0</v>
      </c>
      <c r="U280" s="31">
        <f t="shared" si="45"/>
        <v>0</v>
      </c>
      <c r="V280" s="31">
        <f t="shared" si="45"/>
        <v>0</v>
      </c>
      <c r="W280" s="31">
        <f t="shared" si="45"/>
        <v>0</v>
      </c>
      <c r="X280" s="31">
        <f t="shared" si="45"/>
        <v>0</v>
      </c>
      <c r="Y280" s="31">
        <f t="shared" si="45"/>
        <v>0</v>
      </c>
      <c r="Z280" s="31">
        <f t="shared" si="45"/>
        <v>0</v>
      </c>
      <c r="AA280" s="31">
        <f t="shared" si="45"/>
        <v>0</v>
      </c>
      <c r="AB280" s="31">
        <f t="shared" si="45"/>
        <v>0</v>
      </c>
      <c r="AC280" s="31">
        <f t="shared" si="45"/>
        <v>294934.2</v>
      </c>
      <c r="AD280" s="31">
        <f t="shared" si="45"/>
        <v>467881.93</v>
      </c>
      <c r="AE280" s="31">
        <f t="shared" si="45"/>
        <v>0</v>
      </c>
      <c r="AF280" s="72" t="s">
        <v>757</v>
      </c>
      <c r="AG280" s="72" t="s">
        <v>757</v>
      </c>
      <c r="AH280" s="87" t="s">
        <v>757</v>
      </c>
      <c r="AT280" s="20" t="e">
        <f>VLOOKUP(C280,AW:AX,2,FALSE)</f>
        <v>#N/A</v>
      </c>
      <c r="BZ280" s="71">
        <v>35599350.520000003</v>
      </c>
      <c r="CD280" s="20" t="e">
        <f t="shared" si="41"/>
        <v>#N/A</v>
      </c>
    </row>
    <row r="281" spans="1:82" ht="61.5" x14ac:dyDescent="0.85">
      <c r="A281" s="20">
        <v>1</v>
      </c>
      <c r="B281" s="66">
        <f>SUBTOTAL(103,$A$22:A281)</f>
        <v>253</v>
      </c>
      <c r="C281" s="24" t="s">
        <v>654</v>
      </c>
      <c r="D281" s="31">
        <f t="shared" ref="D281:D286" si="46">E281+F281+G281+H281+I281+J281+L281+N281+P281+R281+T281+U281+V281+W281+X281+Y281+Z281+AA281+AB281+AC281+AD281+AE281</f>
        <v>3128704.36</v>
      </c>
      <c r="E281" s="36">
        <v>0</v>
      </c>
      <c r="F281" s="36">
        <v>0</v>
      </c>
      <c r="G281" s="36">
        <v>0</v>
      </c>
      <c r="H281" s="36">
        <v>0</v>
      </c>
      <c r="I281" s="36">
        <v>0</v>
      </c>
      <c r="J281" s="36">
        <v>0</v>
      </c>
      <c r="K281" s="33">
        <v>0</v>
      </c>
      <c r="L281" s="31">
        <v>0</v>
      </c>
      <c r="M281" s="39">
        <v>318.42</v>
      </c>
      <c r="N281" s="39">
        <v>1354124</v>
      </c>
      <c r="O281" s="37">
        <v>0</v>
      </c>
      <c r="P281" s="37">
        <v>0</v>
      </c>
      <c r="Q281" s="39">
        <v>617</v>
      </c>
      <c r="R281" s="39">
        <v>1623290</v>
      </c>
      <c r="S281" s="31">
        <v>0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  <c r="Y281" s="31">
        <v>0</v>
      </c>
      <c r="Z281" s="31">
        <v>0</v>
      </c>
      <c r="AA281" s="31">
        <v>0</v>
      </c>
      <c r="AB281" s="31">
        <v>0</v>
      </c>
      <c r="AC281" s="31">
        <f>ROUND((N281+R281)*1.5%,2)</f>
        <v>44661.21</v>
      </c>
      <c r="AD281" s="39">
        <v>106629.15</v>
      </c>
      <c r="AE281" s="31">
        <v>0</v>
      </c>
      <c r="AF281" s="34">
        <v>2020</v>
      </c>
      <c r="AG281" s="34">
        <v>2020</v>
      </c>
      <c r="AH281" s="35">
        <v>2020</v>
      </c>
      <c r="AT281" s="20" t="e">
        <f>VLOOKUP(C281,AW:AX,2,FALSE)</f>
        <v>#N/A</v>
      </c>
      <c r="BZ281" s="71"/>
      <c r="CD281" s="20" t="e">
        <f t="shared" si="41"/>
        <v>#N/A</v>
      </c>
    </row>
    <row r="282" spans="1:82" ht="61.5" x14ac:dyDescent="0.85">
      <c r="A282" s="20">
        <v>1</v>
      </c>
      <c r="B282" s="66">
        <f>SUBTOTAL(103,$A$22:A282)</f>
        <v>254</v>
      </c>
      <c r="C282" s="24" t="s">
        <v>648</v>
      </c>
      <c r="D282" s="31">
        <f t="shared" si="46"/>
        <v>3151307.31</v>
      </c>
      <c r="E282" s="36">
        <v>0</v>
      </c>
      <c r="F282" s="36">
        <v>0</v>
      </c>
      <c r="G282" s="36">
        <v>0</v>
      </c>
      <c r="H282" s="36">
        <v>0</v>
      </c>
      <c r="I282" s="36">
        <v>0</v>
      </c>
      <c r="J282" s="36">
        <v>0</v>
      </c>
      <c r="K282" s="33">
        <v>0</v>
      </c>
      <c r="L282" s="31">
        <v>0</v>
      </c>
      <c r="M282" s="39">
        <v>623</v>
      </c>
      <c r="N282" s="39">
        <v>3013159.02</v>
      </c>
      <c r="O282" s="36">
        <v>0</v>
      </c>
      <c r="P282" s="36">
        <v>0</v>
      </c>
      <c r="Q282" s="31">
        <v>0</v>
      </c>
      <c r="R282" s="31">
        <v>0</v>
      </c>
      <c r="S282" s="31">
        <v>0</v>
      </c>
      <c r="T282" s="31">
        <v>0</v>
      </c>
      <c r="U282" s="31">
        <v>0</v>
      </c>
      <c r="V282" s="31">
        <v>0</v>
      </c>
      <c r="W282" s="31">
        <v>0</v>
      </c>
      <c r="X282" s="31">
        <v>0</v>
      </c>
      <c r="Y282" s="31">
        <v>0</v>
      </c>
      <c r="Z282" s="31">
        <v>0</v>
      </c>
      <c r="AA282" s="31">
        <v>0</v>
      </c>
      <c r="AB282" s="31">
        <v>0</v>
      </c>
      <c r="AC282" s="39">
        <v>18078.95</v>
      </c>
      <c r="AD282" s="39">
        <v>120069.34</v>
      </c>
      <c r="AE282" s="31">
        <v>0</v>
      </c>
      <c r="AF282" s="34">
        <v>2020</v>
      </c>
      <c r="AG282" s="34">
        <v>2020</v>
      </c>
      <c r="AH282" s="35">
        <v>2020</v>
      </c>
      <c r="AT282" s="20" t="e">
        <f>VLOOKUP(C282,AW:AX,2,FALSE)</f>
        <v>#N/A</v>
      </c>
      <c r="BZ282" s="71"/>
      <c r="CD282" s="20" t="e">
        <f t="shared" si="41"/>
        <v>#N/A</v>
      </c>
    </row>
    <row r="283" spans="1:82" ht="61.5" x14ac:dyDescent="0.85">
      <c r="A283" s="20">
        <v>1</v>
      </c>
      <c r="B283" s="66">
        <f>SUBTOTAL(103,$A$22:A283)</f>
        <v>255</v>
      </c>
      <c r="C283" s="24" t="s">
        <v>653</v>
      </c>
      <c r="D283" s="31">
        <f t="shared" si="46"/>
        <v>4866736.68</v>
      </c>
      <c r="E283" s="36">
        <v>0</v>
      </c>
      <c r="F283" s="36">
        <v>0</v>
      </c>
      <c r="G283" s="36">
        <v>0</v>
      </c>
      <c r="H283" s="36">
        <v>0</v>
      </c>
      <c r="I283" s="36">
        <v>0</v>
      </c>
      <c r="J283" s="36">
        <v>0</v>
      </c>
      <c r="K283" s="33">
        <v>0</v>
      </c>
      <c r="L283" s="31">
        <v>0</v>
      </c>
      <c r="M283" s="39">
        <v>1038.72</v>
      </c>
      <c r="N283" s="179">
        <v>4711362.12</v>
      </c>
      <c r="O283" s="36">
        <v>0</v>
      </c>
      <c r="P283" s="36">
        <v>0</v>
      </c>
      <c r="Q283" s="31">
        <v>0</v>
      </c>
      <c r="R283" s="31">
        <v>0</v>
      </c>
      <c r="S283" s="31">
        <v>0</v>
      </c>
      <c r="T283" s="31">
        <v>0</v>
      </c>
      <c r="U283" s="31">
        <v>0</v>
      </c>
      <c r="V283" s="31">
        <v>0</v>
      </c>
      <c r="W283" s="31">
        <v>0</v>
      </c>
      <c r="X283" s="31">
        <v>0</v>
      </c>
      <c r="Y283" s="31">
        <v>0</v>
      </c>
      <c r="Z283" s="31">
        <v>0</v>
      </c>
      <c r="AA283" s="31">
        <v>0</v>
      </c>
      <c r="AB283" s="31">
        <v>0</v>
      </c>
      <c r="AC283" s="179">
        <v>28268.17</v>
      </c>
      <c r="AD283" s="39">
        <v>127106.39</v>
      </c>
      <c r="AE283" s="31">
        <v>0</v>
      </c>
      <c r="AF283" s="34">
        <v>2020</v>
      </c>
      <c r="AG283" s="34">
        <v>2020</v>
      </c>
      <c r="AH283" s="35">
        <v>2020</v>
      </c>
      <c r="AT283" s="20" t="e">
        <f>VLOOKUP(C283,AW:AX,2,FALSE)</f>
        <v>#N/A</v>
      </c>
      <c r="BZ283" s="71"/>
      <c r="CD283" s="20" t="e">
        <f t="shared" si="41"/>
        <v>#N/A</v>
      </c>
    </row>
    <row r="284" spans="1:82" ht="61.5" x14ac:dyDescent="0.85">
      <c r="A284" s="20">
        <v>1</v>
      </c>
      <c r="B284" s="66">
        <f>SUBTOTAL(103,$A$22:A284)</f>
        <v>256</v>
      </c>
      <c r="C284" s="24" t="s">
        <v>1202</v>
      </c>
      <c r="D284" s="31">
        <f t="shared" si="46"/>
        <v>6540486.5499999998</v>
      </c>
      <c r="E284" s="36">
        <v>0</v>
      </c>
      <c r="F284" s="36">
        <v>0</v>
      </c>
      <c r="G284" s="36">
        <v>0</v>
      </c>
      <c r="H284" s="36">
        <v>0</v>
      </c>
      <c r="I284" s="36">
        <v>0</v>
      </c>
      <c r="J284" s="36">
        <v>0</v>
      </c>
      <c r="K284" s="33">
        <v>0</v>
      </c>
      <c r="L284" s="31">
        <v>0</v>
      </c>
      <c r="M284" s="31">
        <v>0</v>
      </c>
      <c r="N284" s="31">
        <v>0</v>
      </c>
      <c r="O284" s="36">
        <v>0</v>
      </c>
      <c r="P284" s="36">
        <v>0</v>
      </c>
      <c r="Q284" s="39">
        <v>1939.4</v>
      </c>
      <c r="R284" s="39">
        <v>6503417.1399999997</v>
      </c>
      <c r="S284" s="31">
        <v>0</v>
      </c>
      <c r="T284" s="31">
        <v>0</v>
      </c>
      <c r="U284" s="31">
        <v>0</v>
      </c>
      <c r="V284" s="31">
        <v>0</v>
      </c>
      <c r="W284" s="31">
        <v>0</v>
      </c>
      <c r="X284" s="31">
        <v>0</v>
      </c>
      <c r="Y284" s="31">
        <v>0</v>
      </c>
      <c r="Z284" s="31">
        <v>0</v>
      </c>
      <c r="AA284" s="31">
        <v>0</v>
      </c>
      <c r="AB284" s="31">
        <v>0</v>
      </c>
      <c r="AC284" s="39">
        <v>37069.410000000003</v>
      </c>
      <c r="AD284" s="31">
        <v>0</v>
      </c>
      <c r="AE284" s="31">
        <v>0</v>
      </c>
      <c r="AF284" s="34" t="s">
        <v>270</v>
      </c>
      <c r="AG284" s="34">
        <v>2020</v>
      </c>
      <c r="AH284" s="35">
        <v>2020</v>
      </c>
      <c r="BZ284" s="71"/>
      <c r="CD284" s="20" t="e">
        <f t="shared" si="41"/>
        <v>#N/A</v>
      </c>
    </row>
    <row r="285" spans="1:82" ht="61.5" x14ac:dyDescent="0.85">
      <c r="A285" s="20">
        <v>1</v>
      </c>
      <c r="B285" s="66">
        <f>SUBTOTAL(103,$A$22:A285)</f>
        <v>257</v>
      </c>
      <c r="C285" s="24" t="s">
        <v>1187</v>
      </c>
      <c r="D285" s="31">
        <f t="shared" si="46"/>
        <v>10088677.58</v>
      </c>
      <c r="E285" s="36">
        <v>0</v>
      </c>
      <c r="F285" s="36">
        <v>0</v>
      </c>
      <c r="G285" s="36">
        <v>0</v>
      </c>
      <c r="H285" s="36">
        <v>0</v>
      </c>
      <c r="I285" s="36">
        <v>0</v>
      </c>
      <c r="J285" s="36">
        <v>0</v>
      </c>
      <c r="K285" s="33">
        <v>0</v>
      </c>
      <c r="L285" s="31">
        <v>0</v>
      </c>
      <c r="M285" s="242">
        <v>1878.14</v>
      </c>
      <c r="N285" s="242">
        <v>9940318.3300000001</v>
      </c>
      <c r="O285" s="36">
        <v>0</v>
      </c>
      <c r="P285" s="36">
        <v>0</v>
      </c>
      <c r="Q285" s="31">
        <v>0</v>
      </c>
      <c r="R285" s="31">
        <v>0</v>
      </c>
      <c r="S285" s="31">
        <v>0</v>
      </c>
      <c r="T285" s="31">
        <v>0</v>
      </c>
      <c r="U285" s="31">
        <v>0</v>
      </c>
      <c r="V285" s="31">
        <v>0</v>
      </c>
      <c r="W285" s="31">
        <v>0</v>
      </c>
      <c r="X285" s="31">
        <v>0</v>
      </c>
      <c r="Y285" s="31">
        <v>0</v>
      </c>
      <c r="Z285" s="31">
        <v>0</v>
      </c>
      <c r="AA285" s="31">
        <v>0</v>
      </c>
      <c r="AB285" s="31">
        <v>0</v>
      </c>
      <c r="AC285" s="179">
        <v>148359.25</v>
      </c>
      <c r="AD285" s="31">
        <v>0</v>
      </c>
      <c r="AE285" s="31">
        <v>0</v>
      </c>
      <c r="AF285" s="34" t="s">
        <v>270</v>
      </c>
      <c r="AG285" s="34">
        <v>2020</v>
      </c>
      <c r="AH285" s="35">
        <v>2020</v>
      </c>
      <c r="BZ285" s="71"/>
      <c r="CD285" s="20">
        <f t="shared" si="41"/>
        <v>1995.2</v>
      </c>
    </row>
    <row r="286" spans="1:82" ht="61.5" x14ac:dyDescent="0.85">
      <c r="A286" s="20">
        <v>1</v>
      </c>
      <c r="B286" s="66">
        <f>SUBTOTAL(103,$A$22:A286)</f>
        <v>258</v>
      </c>
      <c r="C286" s="24" t="s">
        <v>1574</v>
      </c>
      <c r="D286" s="31">
        <f t="shared" si="46"/>
        <v>3215443.26</v>
      </c>
      <c r="E286" s="36">
        <v>0</v>
      </c>
      <c r="F286" s="36">
        <v>0</v>
      </c>
      <c r="G286" s="36">
        <v>0</v>
      </c>
      <c r="H286" s="36">
        <v>0</v>
      </c>
      <c r="I286" s="36">
        <v>0</v>
      </c>
      <c r="J286" s="36">
        <v>0</v>
      </c>
      <c r="K286" s="33">
        <v>0</v>
      </c>
      <c r="L286" s="31">
        <v>0</v>
      </c>
      <c r="M286" s="242">
        <v>780.17</v>
      </c>
      <c r="N286" s="242">
        <v>3082869</v>
      </c>
      <c r="O286" s="36">
        <v>0</v>
      </c>
      <c r="P286" s="36">
        <v>0</v>
      </c>
      <c r="Q286" s="31">
        <v>0</v>
      </c>
      <c r="R286" s="31">
        <v>0</v>
      </c>
      <c r="S286" s="31">
        <v>0</v>
      </c>
      <c r="T286" s="31">
        <v>0</v>
      </c>
      <c r="U286" s="31">
        <v>0</v>
      </c>
      <c r="V286" s="31">
        <v>0</v>
      </c>
      <c r="W286" s="31">
        <v>0</v>
      </c>
      <c r="X286" s="31">
        <v>0</v>
      </c>
      <c r="Y286" s="31">
        <v>0</v>
      </c>
      <c r="Z286" s="31">
        <v>0</v>
      </c>
      <c r="AA286" s="31">
        <v>0</v>
      </c>
      <c r="AB286" s="31">
        <v>0</v>
      </c>
      <c r="AC286" s="242">
        <v>18497.21</v>
      </c>
      <c r="AD286" s="39">
        <v>114077.05</v>
      </c>
      <c r="AE286" s="31">
        <v>0</v>
      </c>
      <c r="AF286" s="34">
        <v>2020</v>
      </c>
      <c r="AG286" s="34">
        <v>2020</v>
      </c>
      <c r="AH286" s="35">
        <v>2020</v>
      </c>
      <c r="BZ286" s="71"/>
      <c r="CD286" s="20" t="e">
        <f t="shared" si="41"/>
        <v>#N/A</v>
      </c>
    </row>
    <row r="287" spans="1:82" ht="61.5" x14ac:dyDescent="0.85">
      <c r="B287" s="24" t="s">
        <v>824</v>
      </c>
      <c r="C287" s="24"/>
      <c r="D287" s="195">
        <f>SUM(D288:D291)</f>
        <v>12442442.430000002</v>
      </c>
      <c r="E287" s="31">
        <f t="shared" ref="E287:AE287" si="47">SUM(E288:E291)</f>
        <v>0</v>
      </c>
      <c r="F287" s="31">
        <f t="shared" si="47"/>
        <v>83564.44</v>
      </c>
      <c r="G287" s="31">
        <f t="shared" si="47"/>
        <v>895725.75</v>
      </c>
      <c r="H287" s="31">
        <f t="shared" si="47"/>
        <v>61962.38</v>
      </c>
      <c r="I287" s="31">
        <f t="shared" si="47"/>
        <v>0</v>
      </c>
      <c r="J287" s="31">
        <f t="shared" si="47"/>
        <v>0</v>
      </c>
      <c r="K287" s="33">
        <f t="shared" si="47"/>
        <v>0</v>
      </c>
      <c r="L287" s="31">
        <f t="shared" si="47"/>
        <v>0</v>
      </c>
      <c r="M287" s="31">
        <f t="shared" si="47"/>
        <v>2985.79</v>
      </c>
      <c r="N287" s="31">
        <f t="shared" si="47"/>
        <v>11043668.1</v>
      </c>
      <c r="O287" s="31">
        <f t="shared" si="47"/>
        <v>0</v>
      </c>
      <c r="P287" s="31">
        <f t="shared" si="47"/>
        <v>0</v>
      </c>
      <c r="Q287" s="31">
        <f t="shared" si="47"/>
        <v>0</v>
      </c>
      <c r="R287" s="31">
        <f t="shared" si="47"/>
        <v>0</v>
      </c>
      <c r="S287" s="31">
        <f t="shared" si="47"/>
        <v>0</v>
      </c>
      <c r="T287" s="31">
        <f t="shared" si="47"/>
        <v>0</v>
      </c>
      <c r="U287" s="31">
        <f t="shared" si="47"/>
        <v>0</v>
      </c>
      <c r="V287" s="31">
        <f t="shared" si="47"/>
        <v>0</v>
      </c>
      <c r="W287" s="31">
        <f t="shared" si="47"/>
        <v>0</v>
      </c>
      <c r="X287" s="31">
        <f t="shared" si="47"/>
        <v>0</v>
      </c>
      <c r="Y287" s="31">
        <f t="shared" si="47"/>
        <v>0</v>
      </c>
      <c r="Z287" s="31">
        <f t="shared" si="47"/>
        <v>0</v>
      </c>
      <c r="AA287" s="31">
        <f t="shared" si="47"/>
        <v>0</v>
      </c>
      <c r="AB287" s="31">
        <f t="shared" si="47"/>
        <v>0</v>
      </c>
      <c r="AC287" s="31">
        <f t="shared" si="47"/>
        <v>99418.28</v>
      </c>
      <c r="AD287" s="31">
        <f t="shared" si="47"/>
        <v>258103.47999999998</v>
      </c>
      <c r="AE287" s="31">
        <f t="shared" si="47"/>
        <v>0</v>
      </c>
      <c r="AF287" s="72" t="s">
        <v>757</v>
      </c>
      <c r="AG287" s="72" t="s">
        <v>757</v>
      </c>
      <c r="AH287" s="87" t="s">
        <v>757</v>
      </c>
      <c r="AT287" s="20" t="e">
        <f>VLOOKUP(C287,AW:AX,2,FALSE)</f>
        <v>#N/A</v>
      </c>
      <c r="BZ287" s="71">
        <v>17002898.350000001</v>
      </c>
      <c r="CD287" s="20" t="e">
        <f t="shared" si="41"/>
        <v>#N/A</v>
      </c>
    </row>
    <row r="288" spans="1:82" ht="61.5" x14ac:dyDescent="0.85">
      <c r="A288" s="20">
        <v>1</v>
      </c>
      <c r="B288" s="66">
        <f>SUBTOTAL(103,$A$22:A288)</f>
        <v>259</v>
      </c>
      <c r="C288" s="24" t="s">
        <v>658</v>
      </c>
      <c r="D288" s="31">
        <f>E288+F288+G288+H288+I288+J288+L288+N288+P288+R288+T288+U288+V288+W288+X288+Y288+Z288+AA288+AB288+AC288+AD288+AE288</f>
        <v>5056079.6400000006</v>
      </c>
      <c r="E288" s="36">
        <v>0</v>
      </c>
      <c r="F288" s="36">
        <v>0</v>
      </c>
      <c r="G288" s="36">
        <v>0</v>
      </c>
      <c r="H288" s="36">
        <v>0</v>
      </c>
      <c r="I288" s="36">
        <v>0</v>
      </c>
      <c r="J288" s="36">
        <v>0</v>
      </c>
      <c r="K288" s="33">
        <v>0</v>
      </c>
      <c r="L288" s="31">
        <v>0</v>
      </c>
      <c r="M288" s="39">
        <v>1078.7</v>
      </c>
      <c r="N288" s="179">
        <v>4883507.32</v>
      </c>
      <c r="O288" s="36">
        <v>0</v>
      </c>
      <c r="P288" s="36">
        <v>0</v>
      </c>
      <c r="Q288" s="31">
        <v>0</v>
      </c>
      <c r="R288" s="31">
        <v>0</v>
      </c>
      <c r="S288" s="31">
        <v>0</v>
      </c>
      <c r="T288" s="31">
        <v>0</v>
      </c>
      <c r="U288" s="31">
        <v>0</v>
      </c>
      <c r="V288" s="31">
        <v>0</v>
      </c>
      <c r="W288" s="31">
        <v>0</v>
      </c>
      <c r="X288" s="31">
        <v>0</v>
      </c>
      <c r="Y288" s="31">
        <v>0</v>
      </c>
      <c r="Z288" s="31">
        <v>0</v>
      </c>
      <c r="AA288" s="31">
        <v>0</v>
      </c>
      <c r="AB288" s="31">
        <v>0</v>
      </c>
      <c r="AC288" s="179">
        <v>29301.040000000001</v>
      </c>
      <c r="AD288" s="39">
        <v>143271.28</v>
      </c>
      <c r="AE288" s="31">
        <v>0</v>
      </c>
      <c r="AF288" s="34">
        <v>2020</v>
      </c>
      <c r="AG288" s="34">
        <v>2020</v>
      </c>
      <c r="AH288" s="35">
        <v>2020</v>
      </c>
      <c r="AT288" s="20" t="e">
        <f>VLOOKUP(C288,AW:AX,2,FALSE)</f>
        <v>#N/A</v>
      </c>
      <c r="BZ288" s="71"/>
      <c r="CD288" s="20" t="e">
        <f t="shared" si="41"/>
        <v>#N/A</v>
      </c>
    </row>
    <row r="289" spans="1:82" ht="61.5" x14ac:dyDescent="0.85">
      <c r="A289" s="20">
        <v>1</v>
      </c>
      <c r="B289" s="66">
        <f>SUBTOTAL(103,$A$22:A289)</f>
        <v>260</v>
      </c>
      <c r="C289" s="24" t="s">
        <v>655</v>
      </c>
      <c r="D289" s="31">
        <f>E289+F289+G289+H289+I289+J289+L289+N289+P289+R289+T289+U289+V289+W289+X289+Y289+Z289+AA289+AB289+AC289+AD289+AE289</f>
        <v>1162332.27</v>
      </c>
      <c r="E289" s="38">
        <v>0</v>
      </c>
      <c r="F289" s="245">
        <v>83564.44</v>
      </c>
      <c r="G289" s="39">
        <v>895725.75</v>
      </c>
      <c r="H289" s="245">
        <v>61962.38</v>
      </c>
      <c r="I289" s="38">
        <v>0</v>
      </c>
      <c r="J289" s="38">
        <v>0</v>
      </c>
      <c r="K289" s="33">
        <v>0</v>
      </c>
      <c r="L289" s="31">
        <v>0</v>
      </c>
      <c r="M289" s="31">
        <v>0</v>
      </c>
      <c r="N289" s="31">
        <v>0</v>
      </c>
      <c r="O289" s="38">
        <v>0</v>
      </c>
      <c r="P289" s="38">
        <v>0</v>
      </c>
      <c r="Q289" s="31">
        <v>0</v>
      </c>
      <c r="R289" s="31">
        <v>0</v>
      </c>
      <c r="S289" s="31">
        <v>0</v>
      </c>
      <c r="T289" s="31">
        <v>0</v>
      </c>
      <c r="U289" s="31">
        <v>0</v>
      </c>
      <c r="V289" s="31">
        <v>0</v>
      </c>
      <c r="W289" s="31">
        <v>0</v>
      </c>
      <c r="X289" s="31">
        <v>0</v>
      </c>
      <c r="Y289" s="31">
        <v>0</v>
      </c>
      <c r="Z289" s="31">
        <v>0</v>
      </c>
      <c r="AA289" s="31">
        <v>0</v>
      </c>
      <c r="AB289" s="31">
        <v>0</v>
      </c>
      <c r="AC289" s="39">
        <v>6247.5</v>
      </c>
      <c r="AD289" s="39">
        <v>114832.2</v>
      </c>
      <c r="AE289" s="31">
        <v>0</v>
      </c>
      <c r="AF289" s="34">
        <v>2020</v>
      </c>
      <c r="AG289" s="34">
        <v>2020</v>
      </c>
      <c r="AH289" s="35">
        <v>2020</v>
      </c>
      <c r="AT289" s="20" t="e">
        <f>VLOOKUP(C289,AW:AX,2,FALSE)</f>
        <v>#N/A</v>
      </c>
      <c r="BZ289" s="71"/>
      <c r="CD289" s="20" t="e">
        <f t="shared" si="41"/>
        <v>#N/A</v>
      </c>
    </row>
    <row r="290" spans="1:82" ht="61.5" x14ac:dyDescent="0.85">
      <c r="A290" s="20">
        <v>1</v>
      </c>
      <c r="B290" s="66">
        <f>SUBTOTAL(103,$A$22:A290)</f>
        <v>261</v>
      </c>
      <c r="C290" s="24" t="s">
        <v>1203</v>
      </c>
      <c r="D290" s="31">
        <f>E290+F290+G290+H290+I290+J290+L290+N290+P290+R290+T290+U290+V290+W290+X290+Y290+Z290+AA290+AB290+AC290+AD290+AE290</f>
        <v>3164041.96</v>
      </c>
      <c r="E290" s="36">
        <v>0</v>
      </c>
      <c r="F290" s="36">
        <v>0</v>
      </c>
      <c r="G290" s="36">
        <v>0</v>
      </c>
      <c r="H290" s="36">
        <v>0</v>
      </c>
      <c r="I290" s="36">
        <v>0</v>
      </c>
      <c r="J290" s="36">
        <v>0</v>
      </c>
      <c r="K290" s="33">
        <v>0</v>
      </c>
      <c r="L290" s="31">
        <v>0</v>
      </c>
      <c r="M290" s="39">
        <v>789.35</v>
      </c>
      <c r="N290" s="39">
        <v>3145170.94</v>
      </c>
      <c r="O290" s="36">
        <v>0</v>
      </c>
      <c r="P290" s="36">
        <v>0</v>
      </c>
      <c r="Q290" s="31">
        <v>0</v>
      </c>
      <c r="R290" s="31">
        <v>0</v>
      </c>
      <c r="S290" s="31">
        <v>0</v>
      </c>
      <c r="T290" s="31">
        <v>0</v>
      </c>
      <c r="U290" s="31">
        <v>0</v>
      </c>
      <c r="V290" s="31">
        <v>0</v>
      </c>
      <c r="W290" s="31">
        <v>0</v>
      </c>
      <c r="X290" s="31">
        <v>0</v>
      </c>
      <c r="Y290" s="31">
        <v>0</v>
      </c>
      <c r="Z290" s="31">
        <v>0</v>
      </c>
      <c r="AA290" s="31">
        <v>0</v>
      </c>
      <c r="AB290" s="31">
        <v>0</v>
      </c>
      <c r="AC290" s="39">
        <v>18871.02</v>
      </c>
      <c r="AD290" s="31">
        <v>0</v>
      </c>
      <c r="AE290" s="31">
        <v>0</v>
      </c>
      <c r="AF290" s="34" t="s">
        <v>270</v>
      </c>
      <c r="AG290" s="34">
        <v>2020</v>
      </c>
      <c r="AH290" s="35">
        <v>2020</v>
      </c>
      <c r="BZ290" s="71"/>
      <c r="CD290" s="20">
        <f t="shared" si="41"/>
        <v>855</v>
      </c>
    </row>
    <row r="291" spans="1:82" ht="61.5" x14ac:dyDescent="0.85">
      <c r="A291" s="20">
        <v>1</v>
      </c>
      <c r="B291" s="66">
        <f>SUBTOTAL(103,$A$22:A291)</f>
        <v>262</v>
      </c>
      <c r="C291" s="24" t="s">
        <v>1189</v>
      </c>
      <c r="D291" s="31">
        <f>E291+F291+G291+H291+I291+J291+L291+N291+P291+R291+T291+U291+V291+W291+X291+Y291+Z291+AA291+AB291+AC291+AD291+AE291</f>
        <v>3059988.56</v>
      </c>
      <c r="E291" s="36">
        <v>0</v>
      </c>
      <c r="F291" s="36">
        <v>0</v>
      </c>
      <c r="G291" s="36">
        <v>0</v>
      </c>
      <c r="H291" s="36">
        <v>0</v>
      </c>
      <c r="I291" s="36">
        <v>0</v>
      </c>
      <c r="J291" s="36">
        <v>0</v>
      </c>
      <c r="K291" s="33">
        <v>0</v>
      </c>
      <c r="L291" s="31">
        <v>0</v>
      </c>
      <c r="M291" s="39">
        <v>1117.74</v>
      </c>
      <c r="N291" s="179">
        <v>3014989.84</v>
      </c>
      <c r="O291" s="36">
        <v>0</v>
      </c>
      <c r="P291" s="36">
        <v>0</v>
      </c>
      <c r="Q291" s="31">
        <v>0</v>
      </c>
      <c r="R291" s="31">
        <v>0</v>
      </c>
      <c r="S291" s="31">
        <v>0</v>
      </c>
      <c r="T291" s="31">
        <v>0</v>
      </c>
      <c r="U291" s="31">
        <v>0</v>
      </c>
      <c r="V291" s="31">
        <v>0</v>
      </c>
      <c r="W291" s="31">
        <v>0</v>
      </c>
      <c r="X291" s="31">
        <v>0</v>
      </c>
      <c r="Y291" s="31">
        <v>0</v>
      </c>
      <c r="Z291" s="31">
        <v>0</v>
      </c>
      <c r="AA291" s="31">
        <v>0</v>
      </c>
      <c r="AB291" s="31">
        <v>0</v>
      </c>
      <c r="AC291" s="179">
        <v>44998.720000000001</v>
      </c>
      <c r="AD291" s="31">
        <v>0</v>
      </c>
      <c r="AE291" s="31">
        <v>0</v>
      </c>
      <c r="AF291" s="34" t="s">
        <v>270</v>
      </c>
      <c r="AG291" s="34">
        <v>2020</v>
      </c>
      <c r="AH291" s="35">
        <v>2020</v>
      </c>
      <c r="BZ291" s="71"/>
      <c r="CD291" s="20">
        <f t="shared" si="41"/>
        <v>1155.9000000000001</v>
      </c>
    </row>
    <row r="292" spans="1:82" ht="61.5" x14ac:dyDescent="0.85">
      <c r="B292" s="24" t="s">
        <v>1282</v>
      </c>
      <c r="C292" s="24"/>
      <c r="D292" s="195">
        <f>D293</f>
        <v>345276.04000000004</v>
      </c>
      <c r="E292" s="31">
        <f t="shared" ref="E292:AE292" si="48">E293</f>
        <v>0</v>
      </c>
      <c r="F292" s="31">
        <f t="shared" si="48"/>
        <v>0</v>
      </c>
      <c r="G292" s="31">
        <f t="shared" si="48"/>
        <v>0</v>
      </c>
      <c r="H292" s="31">
        <f t="shared" si="48"/>
        <v>0</v>
      </c>
      <c r="I292" s="31">
        <f t="shared" si="48"/>
        <v>0</v>
      </c>
      <c r="J292" s="31">
        <f t="shared" si="48"/>
        <v>0</v>
      </c>
      <c r="K292" s="33">
        <f t="shared" si="48"/>
        <v>0</v>
      </c>
      <c r="L292" s="31">
        <f t="shared" si="48"/>
        <v>0</v>
      </c>
      <c r="M292" s="31">
        <f t="shared" si="48"/>
        <v>0</v>
      </c>
      <c r="N292" s="31">
        <f t="shared" si="48"/>
        <v>0</v>
      </c>
      <c r="O292" s="31">
        <f t="shared" si="48"/>
        <v>0</v>
      </c>
      <c r="P292" s="31">
        <f t="shared" si="48"/>
        <v>0</v>
      </c>
      <c r="Q292" s="31">
        <f t="shared" si="48"/>
        <v>0</v>
      </c>
      <c r="R292" s="31">
        <f t="shared" si="48"/>
        <v>0</v>
      </c>
      <c r="S292" s="31">
        <f t="shared" si="48"/>
        <v>0</v>
      </c>
      <c r="T292" s="31">
        <f t="shared" si="48"/>
        <v>0</v>
      </c>
      <c r="U292" s="31">
        <f t="shared" si="48"/>
        <v>0</v>
      </c>
      <c r="V292" s="31">
        <f t="shared" si="48"/>
        <v>340198.58</v>
      </c>
      <c r="W292" s="31">
        <f t="shared" si="48"/>
        <v>0</v>
      </c>
      <c r="X292" s="31">
        <f t="shared" si="48"/>
        <v>0</v>
      </c>
      <c r="Y292" s="31">
        <f t="shared" si="48"/>
        <v>0</v>
      </c>
      <c r="Z292" s="31">
        <f t="shared" si="48"/>
        <v>0</v>
      </c>
      <c r="AA292" s="31">
        <f t="shared" si="48"/>
        <v>0</v>
      </c>
      <c r="AB292" s="31">
        <f t="shared" si="48"/>
        <v>0</v>
      </c>
      <c r="AC292" s="31">
        <f t="shared" si="48"/>
        <v>5077.46</v>
      </c>
      <c r="AD292" s="31">
        <f t="shared" si="48"/>
        <v>0</v>
      </c>
      <c r="AE292" s="31">
        <f t="shared" si="48"/>
        <v>0</v>
      </c>
      <c r="AF292" s="72" t="s">
        <v>757</v>
      </c>
      <c r="AG292" s="72" t="s">
        <v>757</v>
      </c>
      <c r="AH292" s="87" t="s">
        <v>757</v>
      </c>
      <c r="BZ292" s="71">
        <v>509455.14</v>
      </c>
      <c r="CD292" s="20" t="e">
        <f t="shared" si="41"/>
        <v>#N/A</v>
      </c>
    </row>
    <row r="293" spans="1:82" ht="61.5" x14ac:dyDescent="0.85">
      <c r="A293" s="20">
        <v>1</v>
      </c>
      <c r="B293" s="66">
        <f>SUBTOTAL(103,$A$22:A293)</f>
        <v>263</v>
      </c>
      <c r="C293" s="24" t="s">
        <v>1188</v>
      </c>
      <c r="D293" s="31">
        <f>E293+F293+G293+H293+I293+J293+L293+N293+P293+R293+T293+U293+V293+W293+X293+Y293+Z293+AA293+AB293+AC293+AD293+AE293</f>
        <v>345276.04000000004</v>
      </c>
      <c r="E293" s="36">
        <v>0</v>
      </c>
      <c r="F293" s="36">
        <v>0</v>
      </c>
      <c r="G293" s="36">
        <v>0</v>
      </c>
      <c r="H293" s="36">
        <v>0</v>
      </c>
      <c r="I293" s="36">
        <v>0</v>
      </c>
      <c r="J293" s="36">
        <v>0</v>
      </c>
      <c r="K293" s="33">
        <v>0</v>
      </c>
      <c r="L293" s="31">
        <v>0</v>
      </c>
      <c r="M293" s="31">
        <v>0</v>
      </c>
      <c r="N293" s="31">
        <v>0</v>
      </c>
      <c r="O293" s="36">
        <v>0</v>
      </c>
      <c r="P293" s="36">
        <v>0</v>
      </c>
      <c r="Q293" s="31">
        <v>0</v>
      </c>
      <c r="R293" s="31">
        <v>0</v>
      </c>
      <c r="S293" s="31">
        <v>0</v>
      </c>
      <c r="T293" s="31">
        <v>0</v>
      </c>
      <c r="U293" s="31">
        <v>0</v>
      </c>
      <c r="V293" s="179">
        <v>340198.58</v>
      </c>
      <c r="W293" s="31">
        <v>0</v>
      </c>
      <c r="X293" s="31">
        <v>0</v>
      </c>
      <c r="Y293" s="31">
        <v>0</v>
      </c>
      <c r="Z293" s="31">
        <v>0</v>
      </c>
      <c r="AA293" s="31">
        <v>0</v>
      </c>
      <c r="AB293" s="31">
        <v>0</v>
      </c>
      <c r="AC293" s="31">
        <f>ROUND(V293*1.4925%,2)</f>
        <v>5077.46</v>
      </c>
      <c r="AD293" s="31">
        <v>0</v>
      </c>
      <c r="AE293" s="31">
        <v>0</v>
      </c>
      <c r="AF293" s="34" t="s">
        <v>270</v>
      </c>
      <c r="AG293" s="34">
        <v>2020</v>
      </c>
      <c r="AH293" s="35">
        <v>2020</v>
      </c>
      <c r="BZ293" s="71"/>
      <c r="CD293" s="20" t="e">
        <f t="shared" si="41"/>
        <v>#N/A</v>
      </c>
    </row>
    <row r="294" spans="1:82" ht="61.5" x14ac:dyDescent="0.85">
      <c r="B294" s="24" t="s">
        <v>825</v>
      </c>
      <c r="C294" s="108"/>
      <c r="D294" s="195">
        <f t="shared" ref="D294:AE294" si="49">SUM(D295:D296)</f>
        <v>6862295.4900000002</v>
      </c>
      <c r="E294" s="31">
        <f t="shared" si="49"/>
        <v>0</v>
      </c>
      <c r="F294" s="31">
        <f t="shared" si="49"/>
        <v>0</v>
      </c>
      <c r="G294" s="31">
        <f t="shared" si="49"/>
        <v>0</v>
      </c>
      <c r="H294" s="31">
        <f t="shared" si="49"/>
        <v>0</v>
      </c>
      <c r="I294" s="31">
        <f t="shared" si="49"/>
        <v>0</v>
      </c>
      <c r="J294" s="31">
        <f t="shared" si="49"/>
        <v>0</v>
      </c>
      <c r="K294" s="33">
        <f t="shared" si="49"/>
        <v>0</v>
      </c>
      <c r="L294" s="31">
        <f t="shared" si="49"/>
        <v>0</v>
      </c>
      <c r="M294" s="31">
        <f t="shared" si="49"/>
        <v>1265.96</v>
      </c>
      <c r="N294" s="31">
        <f t="shared" si="49"/>
        <v>6671932.8199999994</v>
      </c>
      <c r="O294" s="31">
        <f t="shared" si="49"/>
        <v>0</v>
      </c>
      <c r="P294" s="31">
        <f t="shared" si="49"/>
        <v>0</v>
      </c>
      <c r="Q294" s="31">
        <f t="shared" si="49"/>
        <v>0</v>
      </c>
      <c r="R294" s="31">
        <f t="shared" si="49"/>
        <v>0</v>
      </c>
      <c r="S294" s="31">
        <f t="shared" si="49"/>
        <v>0</v>
      </c>
      <c r="T294" s="31">
        <f t="shared" si="49"/>
        <v>0</v>
      </c>
      <c r="U294" s="31">
        <f t="shared" si="49"/>
        <v>0</v>
      </c>
      <c r="V294" s="31">
        <f t="shared" si="49"/>
        <v>0</v>
      </c>
      <c r="W294" s="31">
        <f t="shared" si="49"/>
        <v>0</v>
      </c>
      <c r="X294" s="31">
        <f t="shared" si="49"/>
        <v>0</v>
      </c>
      <c r="Y294" s="31">
        <f t="shared" si="49"/>
        <v>0</v>
      </c>
      <c r="Z294" s="31">
        <f t="shared" si="49"/>
        <v>0</v>
      </c>
      <c r="AA294" s="31">
        <f t="shared" si="49"/>
        <v>0</v>
      </c>
      <c r="AB294" s="31">
        <f t="shared" si="49"/>
        <v>0</v>
      </c>
      <c r="AC294" s="31">
        <f t="shared" si="49"/>
        <v>67553.320000000007</v>
      </c>
      <c r="AD294" s="31">
        <f t="shared" si="49"/>
        <v>122809.35</v>
      </c>
      <c r="AE294" s="31">
        <f t="shared" si="49"/>
        <v>0</v>
      </c>
      <c r="AF294" s="72" t="s">
        <v>757</v>
      </c>
      <c r="AG294" s="72" t="s">
        <v>757</v>
      </c>
      <c r="AH294" s="87" t="s">
        <v>757</v>
      </c>
      <c r="AT294" s="20" t="e">
        <f>VLOOKUP(C294,AW:AX,2,FALSE)</f>
        <v>#N/A</v>
      </c>
      <c r="BZ294" s="71">
        <v>6114371.4100000001</v>
      </c>
      <c r="CB294" s="71">
        <f>BZ294-D294</f>
        <v>-747924.08000000007</v>
      </c>
      <c r="CD294" s="20" t="e">
        <f t="shared" si="41"/>
        <v>#N/A</v>
      </c>
    </row>
    <row r="295" spans="1:82" ht="61.5" x14ac:dyDescent="0.85">
      <c r="A295" s="20">
        <v>1</v>
      </c>
      <c r="B295" s="66">
        <f>SUBTOTAL(103,$A$22:A295)</f>
        <v>264</v>
      </c>
      <c r="C295" s="24" t="s">
        <v>682</v>
      </c>
      <c r="D295" s="31">
        <f>E295+F295+G295+H295+I295+J295+L295+N295+P295+R295+T295+U295+V295+W295+X295+Y295+Z295+AA295+AB295+AC295+AD295+AE295</f>
        <v>5673791.2400000002</v>
      </c>
      <c r="E295" s="38">
        <v>0</v>
      </c>
      <c r="F295" s="38">
        <v>0</v>
      </c>
      <c r="G295" s="31">
        <v>0</v>
      </c>
      <c r="H295" s="38">
        <v>0</v>
      </c>
      <c r="I295" s="38">
        <v>0</v>
      </c>
      <c r="J295" s="38">
        <v>0</v>
      </c>
      <c r="K295" s="33">
        <v>0</v>
      </c>
      <c r="L295" s="31">
        <v>0</v>
      </c>
      <c r="M295" s="39">
        <v>1022</v>
      </c>
      <c r="N295" s="39">
        <v>5527472.1399999997</v>
      </c>
      <c r="O295" s="38">
        <v>0</v>
      </c>
      <c r="P295" s="38">
        <v>0</v>
      </c>
      <c r="Q295" s="31">
        <v>0</v>
      </c>
      <c r="R295" s="31">
        <v>0</v>
      </c>
      <c r="S295" s="31">
        <v>0</v>
      </c>
      <c r="T295" s="31">
        <v>0</v>
      </c>
      <c r="U295" s="31">
        <v>0</v>
      </c>
      <c r="V295" s="31">
        <v>0</v>
      </c>
      <c r="W295" s="31">
        <v>0</v>
      </c>
      <c r="X295" s="31">
        <v>0</v>
      </c>
      <c r="Y295" s="31">
        <v>0</v>
      </c>
      <c r="Z295" s="31">
        <v>0</v>
      </c>
      <c r="AA295" s="31">
        <v>0</v>
      </c>
      <c r="AB295" s="31">
        <v>0</v>
      </c>
      <c r="AC295" s="31">
        <f>ROUND(N295*1.0125%,2)</f>
        <v>55965.66</v>
      </c>
      <c r="AD295" s="39">
        <v>90353.44</v>
      </c>
      <c r="AE295" s="31">
        <v>0</v>
      </c>
      <c r="AF295" s="34">
        <v>2020</v>
      </c>
      <c r="AG295" s="34">
        <v>2020</v>
      </c>
      <c r="AH295" s="35">
        <v>2020</v>
      </c>
      <c r="AT295" s="20" t="e">
        <f>VLOOKUP(C295,AW:AX,2,FALSE)</f>
        <v>#N/A</v>
      </c>
      <c r="BZ295" s="71"/>
      <c r="CD295" s="20">
        <f t="shared" si="41"/>
        <v>1022</v>
      </c>
    </row>
    <row r="296" spans="1:82" ht="61.5" x14ac:dyDescent="0.85">
      <c r="A296" s="20">
        <v>1</v>
      </c>
      <c r="B296" s="66">
        <f>SUBTOTAL(103,$A$22:A296)</f>
        <v>265</v>
      </c>
      <c r="C296" s="24" t="s">
        <v>680</v>
      </c>
      <c r="D296" s="31">
        <f>E296+F296+G296+H296+I296+J296+L296+N296+P296+R296+T296+U296+V296+W296+X296+Y296+Z296+AA296+AB296+AC296+AD296+AE296</f>
        <v>1188504.2499999998</v>
      </c>
      <c r="E296" s="38">
        <v>0</v>
      </c>
      <c r="F296" s="38">
        <v>0</v>
      </c>
      <c r="G296" s="31">
        <v>0</v>
      </c>
      <c r="H296" s="38">
        <v>0</v>
      </c>
      <c r="I296" s="38">
        <v>0</v>
      </c>
      <c r="J296" s="38">
        <v>0</v>
      </c>
      <c r="K296" s="74">
        <v>0</v>
      </c>
      <c r="L296" s="31">
        <v>0</v>
      </c>
      <c r="M296" s="31">
        <v>243.96</v>
      </c>
      <c r="N296" s="31">
        <v>1144460.68</v>
      </c>
      <c r="O296" s="38">
        <v>0</v>
      </c>
      <c r="P296" s="38">
        <v>0</v>
      </c>
      <c r="Q296" s="31">
        <v>0</v>
      </c>
      <c r="R296" s="31">
        <v>0</v>
      </c>
      <c r="S296" s="31">
        <v>0</v>
      </c>
      <c r="T296" s="31">
        <v>0</v>
      </c>
      <c r="U296" s="31">
        <v>0</v>
      </c>
      <c r="V296" s="31">
        <v>0</v>
      </c>
      <c r="W296" s="31">
        <v>0</v>
      </c>
      <c r="X296" s="31">
        <v>0</v>
      </c>
      <c r="Y296" s="31">
        <v>0</v>
      </c>
      <c r="Z296" s="31">
        <v>0</v>
      </c>
      <c r="AA296" s="31">
        <v>0</v>
      </c>
      <c r="AB296" s="31">
        <v>0</v>
      </c>
      <c r="AC296" s="31">
        <f>ROUND(N296*1.0125%,2)</f>
        <v>11587.66</v>
      </c>
      <c r="AD296" s="39">
        <v>32455.91</v>
      </c>
      <c r="AE296" s="31">
        <v>0</v>
      </c>
      <c r="AF296" s="34">
        <v>2020</v>
      </c>
      <c r="AG296" s="34">
        <v>2020</v>
      </c>
      <c r="AH296" s="34">
        <v>2020</v>
      </c>
      <c r="AT296" s="20" t="e">
        <f>VLOOKUP(C296,AW:AX,2,FALSE)</f>
        <v>#N/A</v>
      </c>
      <c r="BZ296" s="71"/>
      <c r="CD296" s="20">
        <f t="shared" si="41"/>
        <v>243.96</v>
      </c>
    </row>
    <row r="297" spans="1:82" ht="61.5" x14ac:dyDescent="0.85">
      <c r="B297" s="24" t="s">
        <v>826</v>
      </c>
      <c r="C297" s="24"/>
      <c r="D297" s="195">
        <f>SUM(D298:D302)</f>
        <v>12631186.800000001</v>
      </c>
      <c r="E297" s="31">
        <f t="shared" ref="E297:AE297" si="50">SUM(E298:E302)</f>
        <v>254554.67</v>
      </c>
      <c r="F297" s="31">
        <f t="shared" si="50"/>
        <v>0</v>
      </c>
      <c r="G297" s="31">
        <f t="shared" si="50"/>
        <v>766330.31</v>
      </c>
      <c r="H297" s="31">
        <f t="shared" si="50"/>
        <v>350573.85</v>
      </c>
      <c r="I297" s="31">
        <f t="shared" si="50"/>
        <v>0</v>
      </c>
      <c r="J297" s="31">
        <f t="shared" si="50"/>
        <v>0</v>
      </c>
      <c r="K297" s="33">
        <f t="shared" si="50"/>
        <v>0</v>
      </c>
      <c r="L297" s="31">
        <f t="shared" si="50"/>
        <v>0</v>
      </c>
      <c r="M297" s="31">
        <f t="shared" si="50"/>
        <v>0</v>
      </c>
      <c r="N297" s="31">
        <f t="shared" si="50"/>
        <v>0</v>
      </c>
      <c r="O297" s="31">
        <f t="shared" si="50"/>
        <v>339.3</v>
      </c>
      <c r="P297" s="31">
        <f t="shared" si="50"/>
        <v>2618206.87</v>
      </c>
      <c r="Q297" s="31">
        <f t="shared" si="50"/>
        <v>1907.2</v>
      </c>
      <c r="R297" s="31">
        <f t="shared" si="50"/>
        <v>8385952.9000000004</v>
      </c>
      <c r="S297" s="31">
        <f t="shared" si="50"/>
        <v>0</v>
      </c>
      <c r="T297" s="31">
        <f t="shared" si="50"/>
        <v>0</v>
      </c>
      <c r="U297" s="31">
        <f t="shared" si="50"/>
        <v>0</v>
      </c>
      <c r="V297" s="31">
        <f t="shared" si="50"/>
        <v>0</v>
      </c>
      <c r="W297" s="31">
        <f t="shared" si="50"/>
        <v>0</v>
      </c>
      <c r="X297" s="31">
        <f t="shared" si="50"/>
        <v>0</v>
      </c>
      <c r="Y297" s="31">
        <f t="shared" si="50"/>
        <v>0</v>
      </c>
      <c r="Z297" s="31">
        <f t="shared" si="50"/>
        <v>0</v>
      </c>
      <c r="AA297" s="31">
        <f t="shared" si="50"/>
        <v>0</v>
      </c>
      <c r="AB297" s="31">
        <f t="shared" si="50"/>
        <v>0</v>
      </c>
      <c r="AC297" s="31">
        <f t="shared" si="50"/>
        <v>160598.35999999999</v>
      </c>
      <c r="AD297" s="31">
        <f t="shared" si="50"/>
        <v>94969.84</v>
      </c>
      <c r="AE297" s="31">
        <f t="shared" si="50"/>
        <v>0</v>
      </c>
      <c r="AF297" s="72" t="s">
        <v>757</v>
      </c>
      <c r="AG297" s="72" t="s">
        <v>757</v>
      </c>
      <c r="AH297" s="87" t="s">
        <v>757</v>
      </c>
      <c r="AT297" s="20" t="e">
        <f>VLOOKUP(C297,AW:AX,2,FALSE)</f>
        <v>#N/A</v>
      </c>
      <c r="BZ297" s="71">
        <v>13474518.75</v>
      </c>
      <c r="CD297" s="20" t="e">
        <f t="shared" si="41"/>
        <v>#N/A</v>
      </c>
    </row>
    <row r="298" spans="1:82" ht="61.5" x14ac:dyDescent="0.85">
      <c r="A298" s="20">
        <v>1</v>
      </c>
      <c r="B298" s="66">
        <f>SUBTOTAL(103,$A$22:A298)</f>
        <v>266</v>
      </c>
      <c r="C298" s="24" t="s">
        <v>694</v>
      </c>
      <c r="D298" s="31">
        <f>E298+F298+G298+H298+I298+J298+L298+N298+P298+R298+T298+U298+V298+W298+X298+Y298+Z298+AA298+AB298+AC298+AD298+AE298</f>
        <v>3534439.81</v>
      </c>
      <c r="E298" s="38">
        <v>0</v>
      </c>
      <c r="F298" s="38">
        <v>0</v>
      </c>
      <c r="G298" s="31">
        <v>0</v>
      </c>
      <c r="H298" s="38">
        <v>0</v>
      </c>
      <c r="I298" s="38">
        <v>0</v>
      </c>
      <c r="J298" s="38">
        <v>0</v>
      </c>
      <c r="K298" s="33">
        <v>0</v>
      </c>
      <c r="L298" s="31">
        <v>0</v>
      </c>
      <c r="M298" s="31">
        <v>0</v>
      </c>
      <c r="N298" s="31">
        <v>0</v>
      </c>
      <c r="O298" s="38">
        <v>0</v>
      </c>
      <c r="P298" s="38">
        <v>0</v>
      </c>
      <c r="Q298" s="31">
        <v>607.29999999999995</v>
      </c>
      <c r="R298" s="31">
        <f>2104768.83+1283871.53</f>
        <v>3388640.3600000003</v>
      </c>
      <c r="S298" s="31">
        <v>0</v>
      </c>
      <c r="T298" s="31">
        <v>0</v>
      </c>
      <c r="U298" s="31">
        <v>0</v>
      </c>
      <c r="V298" s="31">
        <v>0</v>
      </c>
      <c r="W298" s="31">
        <v>0</v>
      </c>
      <c r="X298" s="31">
        <v>0</v>
      </c>
      <c r="Y298" s="31">
        <v>0</v>
      </c>
      <c r="Z298" s="31">
        <v>0</v>
      </c>
      <c r="AA298" s="31">
        <v>0</v>
      </c>
      <c r="AB298" s="31">
        <v>0</v>
      </c>
      <c r="AC298" s="31">
        <f>ROUND(R298*1.5%,2)</f>
        <v>50829.61</v>
      </c>
      <c r="AD298" s="39">
        <v>94969.84</v>
      </c>
      <c r="AE298" s="31">
        <v>0</v>
      </c>
      <c r="AF298" s="34">
        <v>2020</v>
      </c>
      <c r="AG298" s="34">
        <v>2020</v>
      </c>
      <c r="AH298" s="35">
        <v>2020</v>
      </c>
      <c r="AT298" s="20" t="e">
        <f>VLOOKUP(C298,AW:AX,2,FALSE)</f>
        <v>#N/A</v>
      </c>
      <c r="BZ298" s="71"/>
      <c r="CD298" s="20" t="e">
        <f t="shared" si="41"/>
        <v>#N/A</v>
      </c>
    </row>
    <row r="299" spans="1:82" ht="61.5" x14ac:dyDescent="0.85">
      <c r="A299" s="20">
        <v>1</v>
      </c>
      <c r="B299" s="66">
        <f>SUBTOTAL(103,$A$22:A299)</f>
        <v>267</v>
      </c>
      <c r="C299" s="24" t="s">
        <v>1206</v>
      </c>
      <c r="D299" s="31">
        <f>E299+F299+G299+H299+I299+J299+L299+N299+P299+R299+T299+U299+V299+W299+X299+Y299+Z299+AA299+AB299+AC299+AD299+AE299</f>
        <v>2513294.65</v>
      </c>
      <c r="E299" s="38">
        <v>0</v>
      </c>
      <c r="F299" s="38">
        <v>0</v>
      </c>
      <c r="G299" s="31">
        <v>0</v>
      </c>
      <c r="H299" s="38">
        <v>0</v>
      </c>
      <c r="I299" s="38">
        <v>0</v>
      </c>
      <c r="J299" s="38">
        <v>0</v>
      </c>
      <c r="K299" s="33">
        <v>0</v>
      </c>
      <c r="L299" s="31">
        <v>0</v>
      </c>
      <c r="M299" s="31">
        <v>0</v>
      </c>
      <c r="N299" s="31">
        <v>0</v>
      </c>
      <c r="O299" s="38">
        <v>0</v>
      </c>
      <c r="P299" s="38">
        <v>0</v>
      </c>
      <c r="Q299" s="39">
        <v>647.20000000000005</v>
      </c>
      <c r="R299" s="39">
        <v>2488287.36</v>
      </c>
      <c r="S299" s="31">
        <v>0</v>
      </c>
      <c r="T299" s="31">
        <v>0</v>
      </c>
      <c r="U299" s="31">
        <v>0</v>
      </c>
      <c r="V299" s="31">
        <v>0</v>
      </c>
      <c r="W299" s="31">
        <v>0</v>
      </c>
      <c r="X299" s="31">
        <v>0</v>
      </c>
      <c r="Y299" s="31">
        <v>0</v>
      </c>
      <c r="Z299" s="31">
        <v>0</v>
      </c>
      <c r="AA299" s="31">
        <v>0</v>
      </c>
      <c r="AB299" s="31">
        <v>0</v>
      </c>
      <c r="AC299" s="39">
        <v>25007.29</v>
      </c>
      <c r="AD299" s="31">
        <v>0</v>
      </c>
      <c r="AE299" s="31">
        <v>0</v>
      </c>
      <c r="AF299" s="34" t="s">
        <v>270</v>
      </c>
      <c r="AG299" s="34">
        <v>2020</v>
      </c>
      <c r="AH299" s="35">
        <v>2020</v>
      </c>
      <c r="BZ299" s="71"/>
      <c r="CD299" s="20" t="e">
        <f t="shared" si="41"/>
        <v>#N/A</v>
      </c>
    </row>
    <row r="300" spans="1:82" ht="61.5" x14ac:dyDescent="0.85">
      <c r="A300" s="20">
        <v>1</v>
      </c>
      <c r="B300" s="66">
        <f>SUBTOTAL(103,$A$22:A300)</f>
        <v>268</v>
      </c>
      <c r="C300" s="24" t="s">
        <v>1207</v>
      </c>
      <c r="D300" s="31">
        <f>E300+F300+G300+H300+I300+J300+L300+N300+P300+R300+T300+U300+V300+W300+X300+Y300+Z300+AA300+AB300+AC300+AD300+AE300</f>
        <v>2534240.8800000004</v>
      </c>
      <c r="E300" s="38">
        <v>0</v>
      </c>
      <c r="F300" s="38">
        <v>0</v>
      </c>
      <c r="G300" s="31">
        <v>0</v>
      </c>
      <c r="H300" s="38">
        <v>0</v>
      </c>
      <c r="I300" s="38">
        <v>0</v>
      </c>
      <c r="J300" s="38">
        <v>0</v>
      </c>
      <c r="K300" s="33">
        <v>0</v>
      </c>
      <c r="L300" s="31">
        <v>0</v>
      </c>
      <c r="M300" s="31">
        <v>0</v>
      </c>
      <c r="N300" s="31">
        <v>0</v>
      </c>
      <c r="O300" s="38">
        <v>0</v>
      </c>
      <c r="P300" s="38">
        <v>0</v>
      </c>
      <c r="Q300" s="39">
        <v>652.70000000000005</v>
      </c>
      <c r="R300" s="39">
        <v>2509025.1800000002</v>
      </c>
      <c r="S300" s="31">
        <v>0</v>
      </c>
      <c r="T300" s="31">
        <v>0</v>
      </c>
      <c r="U300" s="31">
        <v>0</v>
      </c>
      <c r="V300" s="31">
        <v>0</v>
      </c>
      <c r="W300" s="31">
        <v>0</v>
      </c>
      <c r="X300" s="31">
        <v>0</v>
      </c>
      <c r="Y300" s="31">
        <v>0</v>
      </c>
      <c r="Z300" s="31">
        <v>0</v>
      </c>
      <c r="AA300" s="31">
        <v>0</v>
      </c>
      <c r="AB300" s="31">
        <v>0</v>
      </c>
      <c r="AC300" s="39">
        <v>25215.7</v>
      </c>
      <c r="AD300" s="31">
        <v>0</v>
      </c>
      <c r="AE300" s="31">
        <v>0</v>
      </c>
      <c r="AF300" s="34" t="s">
        <v>270</v>
      </c>
      <c r="AG300" s="34">
        <v>2020</v>
      </c>
      <c r="AH300" s="35">
        <v>2020</v>
      </c>
      <c r="BZ300" s="71"/>
      <c r="CD300" s="20" t="e">
        <f t="shared" si="41"/>
        <v>#N/A</v>
      </c>
    </row>
    <row r="301" spans="1:82" ht="61.5" x14ac:dyDescent="0.85">
      <c r="A301" s="20">
        <v>1</v>
      </c>
      <c r="B301" s="66">
        <f>SUBTOTAL(103,$A$22:A301)</f>
        <v>269</v>
      </c>
      <c r="C301" s="24" t="s">
        <v>1208</v>
      </c>
      <c r="D301" s="31">
        <f>E301+F301+G301+H301+I301+J301+L301+N301+P301+R301+T301+U301+V301+W301+X301+Y301+Z301+AA301+AB301+AC301+AD301+AE301</f>
        <v>1391927.85</v>
      </c>
      <c r="E301" s="38">
        <v>254554.67</v>
      </c>
      <c r="F301" s="38">
        <v>0</v>
      </c>
      <c r="G301" s="31">
        <v>766330.31</v>
      </c>
      <c r="H301" s="38">
        <v>350573.85</v>
      </c>
      <c r="I301" s="38">
        <v>0</v>
      </c>
      <c r="J301" s="38">
        <v>0</v>
      </c>
      <c r="K301" s="33">
        <v>0</v>
      </c>
      <c r="L301" s="31">
        <v>0</v>
      </c>
      <c r="M301" s="31">
        <v>0</v>
      </c>
      <c r="N301" s="31">
        <v>0</v>
      </c>
      <c r="O301" s="38">
        <v>0</v>
      </c>
      <c r="P301" s="38">
        <v>0</v>
      </c>
      <c r="Q301" s="31">
        <v>0</v>
      </c>
      <c r="R301" s="31">
        <v>0</v>
      </c>
      <c r="S301" s="31">
        <v>0</v>
      </c>
      <c r="T301" s="31">
        <v>0</v>
      </c>
      <c r="U301" s="31">
        <v>0</v>
      </c>
      <c r="V301" s="31">
        <v>0</v>
      </c>
      <c r="W301" s="31">
        <v>0</v>
      </c>
      <c r="X301" s="31">
        <v>0</v>
      </c>
      <c r="Y301" s="31">
        <v>0</v>
      </c>
      <c r="Z301" s="31">
        <v>0</v>
      </c>
      <c r="AA301" s="31">
        <v>0</v>
      </c>
      <c r="AB301" s="31">
        <v>0</v>
      </c>
      <c r="AC301" s="31">
        <f>ROUND((E301+F301+G301+H301+I301+J301)*1.4925%,2)</f>
        <v>20469.02</v>
      </c>
      <c r="AD301" s="31">
        <v>0</v>
      </c>
      <c r="AE301" s="31">
        <v>0</v>
      </c>
      <c r="AF301" s="34" t="s">
        <v>270</v>
      </c>
      <c r="AG301" s="34">
        <v>2020</v>
      </c>
      <c r="AH301" s="35">
        <v>2020</v>
      </c>
      <c r="BZ301" s="71"/>
      <c r="CD301" s="20" t="e">
        <f t="shared" si="41"/>
        <v>#N/A</v>
      </c>
    </row>
    <row r="302" spans="1:82" ht="61.5" x14ac:dyDescent="0.85">
      <c r="A302" s="20">
        <v>1</v>
      </c>
      <c r="B302" s="66">
        <f>SUBTOTAL(103,$A$22:A302)</f>
        <v>270</v>
      </c>
      <c r="C302" s="24" t="s">
        <v>1209</v>
      </c>
      <c r="D302" s="31">
        <f>E302+F302+G302+H302+I302+J302+L302+N302+P302+R302+T302+U302+V302+W302+X302+Y302+Z302+AA302+AB302+AC302+AD302+AE302</f>
        <v>2657283.6100000003</v>
      </c>
      <c r="E302" s="38">
        <v>0</v>
      </c>
      <c r="F302" s="38">
        <v>0</v>
      </c>
      <c r="G302" s="31">
        <v>0</v>
      </c>
      <c r="H302" s="38">
        <v>0</v>
      </c>
      <c r="I302" s="38">
        <v>0</v>
      </c>
      <c r="J302" s="38">
        <v>0</v>
      </c>
      <c r="K302" s="33">
        <v>0</v>
      </c>
      <c r="L302" s="31">
        <v>0</v>
      </c>
      <c r="M302" s="31">
        <v>0</v>
      </c>
      <c r="N302" s="31">
        <v>0</v>
      </c>
      <c r="O302" s="39">
        <v>339.3</v>
      </c>
      <c r="P302" s="39">
        <v>2618206.87</v>
      </c>
      <c r="Q302" s="31">
        <v>0</v>
      </c>
      <c r="R302" s="31">
        <v>0</v>
      </c>
      <c r="S302" s="31">
        <v>0</v>
      </c>
      <c r="T302" s="31">
        <v>0</v>
      </c>
      <c r="U302" s="31">
        <v>0</v>
      </c>
      <c r="V302" s="31">
        <v>0</v>
      </c>
      <c r="W302" s="31">
        <v>0</v>
      </c>
      <c r="X302" s="31">
        <v>0</v>
      </c>
      <c r="Y302" s="31">
        <v>0</v>
      </c>
      <c r="Z302" s="31">
        <v>0</v>
      </c>
      <c r="AA302" s="31">
        <v>0</v>
      </c>
      <c r="AB302" s="31">
        <v>0</v>
      </c>
      <c r="AC302" s="31">
        <f>ROUND(P302*1.4925%,2)</f>
        <v>39076.74</v>
      </c>
      <c r="AD302" s="31">
        <v>0</v>
      </c>
      <c r="AE302" s="31">
        <v>0</v>
      </c>
      <c r="AF302" s="34" t="s">
        <v>270</v>
      </c>
      <c r="AG302" s="34">
        <v>2020</v>
      </c>
      <c r="AH302" s="35">
        <v>2020</v>
      </c>
      <c r="BZ302" s="71"/>
      <c r="CD302" s="20" t="e">
        <f t="shared" si="41"/>
        <v>#N/A</v>
      </c>
    </row>
    <row r="303" spans="1:82" ht="61.5" x14ac:dyDescent="0.85">
      <c r="B303" s="24" t="s">
        <v>827</v>
      </c>
      <c r="C303" s="24"/>
      <c r="D303" s="195">
        <f>SUM(D304:D308)</f>
        <v>4870600.45</v>
      </c>
      <c r="E303" s="31">
        <f t="shared" ref="E303:AE303" si="51">SUM(E304:E308)</f>
        <v>132703.69</v>
      </c>
      <c r="F303" s="31">
        <f t="shared" si="51"/>
        <v>0</v>
      </c>
      <c r="G303" s="31">
        <f t="shared" si="51"/>
        <v>0</v>
      </c>
      <c r="H303" s="31">
        <f t="shared" si="51"/>
        <v>396684.17000000004</v>
      </c>
      <c r="I303" s="31">
        <f t="shared" si="51"/>
        <v>757950.07</v>
      </c>
      <c r="J303" s="31">
        <f t="shared" si="51"/>
        <v>0</v>
      </c>
      <c r="K303" s="33">
        <f t="shared" si="51"/>
        <v>0</v>
      </c>
      <c r="L303" s="31">
        <f t="shared" si="51"/>
        <v>0</v>
      </c>
      <c r="M303" s="31">
        <f t="shared" si="51"/>
        <v>647</v>
      </c>
      <c r="N303" s="31">
        <f t="shared" si="51"/>
        <v>3348175.42</v>
      </c>
      <c r="O303" s="31">
        <f t="shared" si="51"/>
        <v>0</v>
      </c>
      <c r="P303" s="31">
        <f t="shared" si="51"/>
        <v>0</v>
      </c>
      <c r="Q303" s="31">
        <f t="shared" si="51"/>
        <v>0</v>
      </c>
      <c r="R303" s="31">
        <f t="shared" si="51"/>
        <v>0</v>
      </c>
      <c r="S303" s="31">
        <f t="shared" si="51"/>
        <v>0</v>
      </c>
      <c r="T303" s="31">
        <f t="shared" si="51"/>
        <v>0</v>
      </c>
      <c r="U303" s="31">
        <f t="shared" si="51"/>
        <v>0</v>
      </c>
      <c r="V303" s="31">
        <f t="shared" si="51"/>
        <v>0</v>
      </c>
      <c r="W303" s="31">
        <f t="shared" si="51"/>
        <v>0</v>
      </c>
      <c r="X303" s="31">
        <f t="shared" si="51"/>
        <v>0</v>
      </c>
      <c r="Y303" s="31">
        <f t="shared" si="51"/>
        <v>0</v>
      </c>
      <c r="Z303" s="31">
        <f t="shared" si="51"/>
        <v>0</v>
      </c>
      <c r="AA303" s="31">
        <f t="shared" si="51"/>
        <v>0</v>
      </c>
      <c r="AB303" s="31">
        <f t="shared" si="51"/>
        <v>0</v>
      </c>
      <c r="AC303" s="31">
        <f t="shared" si="51"/>
        <v>53210.35</v>
      </c>
      <c r="AD303" s="31">
        <f t="shared" si="51"/>
        <v>181876.75</v>
      </c>
      <c r="AE303" s="31">
        <f t="shared" si="51"/>
        <v>0</v>
      </c>
      <c r="AF303" s="72" t="s">
        <v>757</v>
      </c>
      <c r="AG303" s="72" t="s">
        <v>757</v>
      </c>
      <c r="AH303" s="87" t="s">
        <v>757</v>
      </c>
      <c r="AT303" s="20" t="e">
        <f>VLOOKUP(C303,AW:AX,2,FALSE)</f>
        <v>#N/A</v>
      </c>
      <c r="BZ303" s="71">
        <v>4109300.7899999996</v>
      </c>
      <c r="CD303" s="20" t="e">
        <f t="shared" si="41"/>
        <v>#N/A</v>
      </c>
    </row>
    <row r="304" spans="1:82" ht="61.5" x14ac:dyDescent="0.85">
      <c r="A304" s="20">
        <v>1</v>
      </c>
      <c r="B304" s="66">
        <f>SUBTOTAL(103,$A$22:A304)</f>
        <v>271</v>
      </c>
      <c r="C304" s="24" t="s">
        <v>695</v>
      </c>
      <c r="D304" s="31">
        <f>E304+F304+G304+H304+I304+J304+L304+N304+P304+R304+T304+U304+V304+W304+X304+Y304+Z304+AA304+AB304+AC304+AD304+AE304</f>
        <v>3466608.69</v>
      </c>
      <c r="E304" s="38">
        <v>0</v>
      </c>
      <c r="F304" s="38">
        <v>0</v>
      </c>
      <c r="G304" s="31">
        <v>0</v>
      </c>
      <c r="H304" s="38">
        <v>0</v>
      </c>
      <c r="I304" s="38">
        <v>0</v>
      </c>
      <c r="J304" s="38">
        <v>0</v>
      </c>
      <c r="K304" s="33">
        <v>0</v>
      </c>
      <c r="L304" s="31">
        <v>0</v>
      </c>
      <c r="M304" s="39">
        <v>647</v>
      </c>
      <c r="N304" s="39">
        <v>3348175.42</v>
      </c>
      <c r="O304" s="38">
        <v>0</v>
      </c>
      <c r="P304" s="38">
        <v>0</v>
      </c>
      <c r="Q304" s="31">
        <v>0</v>
      </c>
      <c r="R304" s="31">
        <v>0</v>
      </c>
      <c r="S304" s="31">
        <v>0</v>
      </c>
      <c r="T304" s="31">
        <v>0</v>
      </c>
      <c r="U304" s="31">
        <v>0</v>
      </c>
      <c r="V304" s="31">
        <v>0</v>
      </c>
      <c r="W304" s="31">
        <v>0</v>
      </c>
      <c r="X304" s="31">
        <v>0</v>
      </c>
      <c r="Y304" s="31">
        <v>0</v>
      </c>
      <c r="Z304" s="31">
        <v>0</v>
      </c>
      <c r="AA304" s="31">
        <v>0</v>
      </c>
      <c r="AB304" s="31">
        <v>0</v>
      </c>
      <c r="AC304" s="39">
        <v>33900.28</v>
      </c>
      <c r="AD304" s="39">
        <v>84532.99</v>
      </c>
      <c r="AE304" s="31">
        <v>0</v>
      </c>
      <c r="AF304" s="34">
        <v>2020</v>
      </c>
      <c r="AG304" s="34">
        <v>2020</v>
      </c>
      <c r="AH304" s="35">
        <v>2020</v>
      </c>
      <c r="AT304" s="20" t="e">
        <f>VLOOKUP(C304,AW:AX,2,FALSE)</f>
        <v>#N/A</v>
      </c>
      <c r="BZ304" s="71"/>
      <c r="CD304" s="20" t="e">
        <f t="shared" si="41"/>
        <v>#N/A</v>
      </c>
    </row>
    <row r="305" spans="1:82" ht="61.5" x14ac:dyDescent="0.85">
      <c r="A305" s="20">
        <v>1</v>
      </c>
      <c r="B305" s="66">
        <f>SUBTOTAL(103,$A$22:A305)</f>
        <v>272</v>
      </c>
      <c r="C305" s="24" t="s">
        <v>688</v>
      </c>
      <c r="D305" s="31">
        <f>E305+F305+G305+H305+I305+J305+L305+N305+P305+R305+T305+U305+V305+W305+X305+Y305+Z305+AA305+AB305+AC305+AD305+AE305</f>
        <v>34358.44</v>
      </c>
      <c r="E305" s="38">
        <v>0</v>
      </c>
      <c r="F305" s="38">
        <v>0</v>
      </c>
      <c r="G305" s="31">
        <v>0</v>
      </c>
      <c r="H305" s="38">
        <v>0</v>
      </c>
      <c r="I305" s="31">
        <v>0</v>
      </c>
      <c r="J305" s="38">
        <v>0</v>
      </c>
      <c r="K305" s="33">
        <v>0</v>
      </c>
      <c r="L305" s="31">
        <v>0</v>
      </c>
      <c r="M305" s="31">
        <v>0</v>
      </c>
      <c r="N305" s="31">
        <v>0</v>
      </c>
      <c r="O305" s="38">
        <v>0</v>
      </c>
      <c r="P305" s="38">
        <v>0</v>
      </c>
      <c r="Q305" s="31">
        <v>0</v>
      </c>
      <c r="R305" s="31">
        <v>0</v>
      </c>
      <c r="S305" s="31">
        <v>0</v>
      </c>
      <c r="T305" s="31">
        <v>0</v>
      </c>
      <c r="U305" s="31">
        <v>0</v>
      </c>
      <c r="V305" s="31">
        <v>0</v>
      </c>
      <c r="W305" s="31">
        <v>0</v>
      </c>
      <c r="X305" s="31">
        <v>0</v>
      </c>
      <c r="Y305" s="31">
        <v>0</v>
      </c>
      <c r="Z305" s="31">
        <v>0</v>
      </c>
      <c r="AA305" s="31">
        <v>0</v>
      </c>
      <c r="AB305" s="31">
        <v>0</v>
      </c>
      <c r="AC305" s="31">
        <f>ROUND((E305+F305+G305+H305+I305+J305)*1.5%,2)</f>
        <v>0</v>
      </c>
      <c r="AD305" s="39">
        <v>34358.44</v>
      </c>
      <c r="AE305" s="31">
        <v>0</v>
      </c>
      <c r="AF305" s="34">
        <v>2020</v>
      </c>
      <c r="AG305" s="34" t="s">
        <v>270</v>
      </c>
      <c r="AH305" s="34" t="s">
        <v>270</v>
      </c>
      <c r="AT305" s="20" t="e">
        <f>VLOOKUP(C305,AW:AX,2,FALSE)</f>
        <v>#N/A</v>
      </c>
      <c r="BZ305" s="71"/>
      <c r="CD305" s="20" t="e">
        <f t="shared" si="41"/>
        <v>#N/A</v>
      </c>
    </row>
    <row r="306" spans="1:82" ht="61.5" x14ac:dyDescent="0.85">
      <c r="A306" s="20">
        <v>1</v>
      </c>
      <c r="B306" s="66">
        <f>SUBTOTAL(103,$A$22:A306)</f>
        <v>273</v>
      </c>
      <c r="C306" s="24" t="s">
        <v>687</v>
      </c>
      <c r="D306" s="31">
        <f>E306+F306+G306+H306+I306+J306+L306+N306+P306+R306+T306+U306+V306+W306+X306+Y306+Z306+AA306+AB306+AC306+AD306+AE306</f>
        <v>700445.75999999989</v>
      </c>
      <c r="E306" s="38">
        <v>0</v>
      </c>
      <c r="F306" s="38">
        <v>0</v>
      </c>
      <c r="G306" s="31">
        <v>0</v>
      </c>
      <c r="H306" s="38">
        <v>0</v>
      </c>
      <c r="I306" s="31">
        <f>539641.82+88398.02</f>
        <v>628039.84</v>
      </c>
      <c r="J306" s="38">
        <v>0</v>
      </c>
      <c r="K306" s="33">
        <v>0</v>
      </c>
      <c r="L306" s="31">
        <v>0</v>
      </c>
      <c r="M306" s="31">
        <v>0</v>
      </c>
      <c r="N306" s="31">
        <v>0</v>
      </c>
      <c r="O306" s="38">
        <v>0</v>
      </c>
      <c r="P306" s="38">
        <v>0</v>
      </c>
      <c r="Q306" s="31">
        <v>0</v>
      </c>
      <c r="R306" s="31">
        <v>0</v>
      </c>
      <c r="S306" s="31">
        <v>0</v>
      </c>
      <c r="T306" s="31">
        <v>0</v>
      </c>
      <c r="U306" s="31">
        <v>0</v>
      </c>
      <c r="V306" s="31">
        <v>0</v>
      </c>
      <c r="W306" s="31">
        <v>0</v>
      </c>
      <c r="X306" s="31">
        <v>0</v>
      </c>
      <c r="Y306" s="31">
        <v>0</v>
      </c>
      <c r="Z306" s="31">
        <v>0</v>
      </c>
      <c r="AA306" s="31">
        <v>0</v>
      </c>
      <c r="AB306" s="31">
        <v>0</v>
      </c>
      <c r="AC306" s="31">
        <f>ROUND((E306+F306+G306+H306+I306+J306)*1.5%,2)</f>
        <v>9420.6</v>
      </c>
      <c r="AD306" s="39">
        <v>62985.32</v>
      </c>
      <c r="AE306" s="31">
        <v>0</v>
      </c>
      <c r="AF306" s="34">
        <v>2020</v>
      </c>
      <c r="AG306" s="34">
        <v>2020</v>
      </c>
      <c r="AH306" s="35">
        <v>2020</v>
      </c>
      <c r="AT306" s="20" t="e">
        <f>VLOOKUP(C306,AW:AX,2,FALSE)</f>
        <v>#N/A</v>
      </c>
      <c r="BZ306" s="71"/>
      <c r="CD306" s="20" t="e">
        <f t="shared" si="41"/>
        <v>#N/A</v>
      </c>
    </row>
    <row r="307" spans="1:82" ht="61.5" x14ac:dyDescent="0.85">
      <c r="A307" s="20">
        <v>1</v>
      </c>
      <c r="B307" s="66">
        <f>SUBTOTAL(103,$A$22:A307)</f>
        <v>274</v>
      </c>
      <c r="C307" s="24" t="s">
        <v>1214</v>
      </c>
      <c r="D307" s="31">
        <f>E307+F307+G307+H307+I307+J307+L307+N307+P307+R307+T307+U307+V307+W307+X307+Y307+Z307+AA307+AB307+AC307+AD307+AE307</f>
        <v>457734.2</v>
      </c>
      <c r="E307" s="31">
        <f>131573.94+1129.75</f>
        <v>132703.69</v>
      </c>
      <c r="F307" s="38">
        <v>0</v>
      </c>
      <c r="G307" s="31">
        <v>0</v>
      </c>
      <c r="H307" s="38">
        <v>318265.97000000003</v>
      </c>
      <c r="I307" s="38">
        <v>0</v>
      </c>
      <c r="J307" s="38">
        <v>0</v>
      </c>
      <c r="K307" s="33">
        <v>0</v>
      </c>
      <c r="L307" s="31">
        <v>0</v>
      </c>
      <c r="M307" s="31">
        <v>0</v>
      </c>
      <c r="N307" s="31">
        <v>0</v>
      </c>
      <c r="O307" s="38">
        <v>0</v>
      </c>
      <c r="P307" s="38">
        <v>0</v>
      </c>
      <c r="Q307" s="31">
        <v>0</v>
      </c>
      <c r="R307" s="31">
        <v>0</v>
      </c>
      <c r="S307" s="31">
        <v>0</v>
      </c>
      <c r="T307" s="31">
        <v>0</v>
      </c>
      <c r="U307" s="31">
        <v>0</v>
      </c>
      <c r="V307" s="31">
        <v>0</v>
      </c>
      <c r="W307" s="31">
        <v>0</v>
      </c>
      <c r="X307" s="31">
        <v>0</v>
      </c>
      <c r="Y307" s="31">
        <v>0</v>
      </c>
      <c r="Z307" s="31">
        <v>0</v>
      </c>
      <c r="AA307" s="31">
        <v>0</v>
      </c>
      <c r="AB307" s="31">
        <v>0</v>
      </c>
      <c r="AC307" s="31">
        <f>ROUND((E307+F307+G307+H307+I307+J307)*1.5%,2)</f>
        <v>6764.54</v>
      </c>
      <c r="AD307" s="31">
        <v>0</v>
      </c>
      <c r="AE307" s="31">
        <v>0</v>
      </c>
      <c r="AF307" s="34" t="s">
        <v>270</v>
      </c>
      <c r="AG307" s="34">
        <v>2020</v>
      </c>
      <c r="AH307" s="35">
        <v>2020</v>
      </c>
      <c r="BZ307" s="71"/>
      <c r="CD307" s="20" t="e">
        <f t="shared" si="41"/>
        <v>#N/A</v>
      </c>
    </row>
    <row r="308" spans="1:82" ht="61.5" x14ac:dyDescent="0.85">
      <c r="A308" s="20">
        <v>1</v>
      </c>
      <c r="B308" s="66">
        <f>SUBTOTAL(103,$A$22:A308)</f>
        <v>275</v>
      </c>
      <c r="C308" s="24" t="s">
        <v>1215</v>
      </c>
      <c r="D308" s="31">
        <f>E308+F308+G308+H308+I308+J308+L308+N308+P308+R308+T308+U308+V308+W308+X308+Y308+Z308+AA308+AB308+AC308+AD308+AE308</f>
        <v>211453.36</v>
      </c>
      <c r="E308" s="38">
        <v>0</v>
      </c>
      <c r="F308" s="38">
        <v>0</v>
      </c>
      <c r="G308" s="31">
        <v>0</v>
      </c>
      <c r="H308" s="38">
        <v>78418.2</v>
      </c>
      <c r="I308" s="38">
        <v>129910.23</v>
      </c>
      <c r="J308" s="38">
        <v>0</v>
      </c>
      <c r="K308" s="33">
        <v>0</v>
      </c>
      <c r="L308" s="31">
        <v>0</v>
      </c>
      <c r="M308" s="31">
        <v>0</v>
      </c>
      <c r="N308" s="31">
        <v>0</v>
      </c>
      <c r="O308" s="38">
        <v>0</v>
      </c>
      <c r="P308" s="38">
        <v>0</v>
      </c>
      <c r="Q308" s="31">
        <v>0</v>
      </c>
      <c r="R308" s="31">
        <v>0</v>
      </c>
      <c r="S308" s="31">
        <v>0</v>
      </c>
      <c r="T308" s="31">
        <v>0</v>
      </c>
      <c r="U308" s="31">
        <v>0</v>
      </c>
      <c r="V308" s="31">
        <v>0</v>
      </c>
      <c r="W308" s="31">
        <v>0</v>
      </c>
      <c r="X308" s="31">
        <v>0</v>
      </c>
      <c r="Y308" s="31">
        <v>0</v>
      </c>
      <c r="Z308" s="31">
        <v>0</v>
      </c>
      <c r="AA308" s="31">
        <v>0</v>
      </c>
      <c r="AB308" s="31">
        <v>0</v>
      </c>
      <c r="AC308" s="31">
        <f>ROUND((E308+F308+G308+H308+I308+J308)*1.5%,2)</f>
        <v>3124.93</v>
      </c>
      <c r="AD308" s="31">
        <v>0</v>
      </c>
      <c r="AE308" s="31">
        <v>0</v>
      </c>
      <c r="AF308" s="34" t="s">
        <v>270</v>
      </c>
      <c r="AG308" s="34">
        <v>2020</v>
      </c>
      <c r="AH308" s="35">
        <v>2020</v>
      </c>
      <c r="BZ308" s="71"/>
      <c r="CD308" s="20" t="e">
        <f t="shared" si="41"/>
        <v>#N/A</v>
      </c>
    </row>
    <row r="309" spans="1:82" ht="61.5" x14ac:dyDescent="0.85">
      <c r="B309" s="24" t="s">
        <v>828</v>
      </c>
      <c r="C309" s="24"/>
      <c r="D309" s="195">
        <f>D310</f>
        <v>1997229.1400000001</v>
      </c>
      <c r="E309" s="31">
        <f t="shared" ref="E309:AE309" si="52">E310</f>
        <v>0</v>
      </c>
      <c r="F309" s="31">
        <f t="shared" si="52"/>
        <v>0</v>
      </c>
      <c r="G309" s="31">
        <f t="shared" si="52"/>
        <v>0</v>
      </c>
      <c r="H309" s="31">
        <f t="shared" si="52"/>
        <v>0</v>
      </c>
      <c r="I309" s="31">
        <f t="shared" si="52"/>
        <v>0</v>
      </c>
      <c r="J309" s="31">
        <f t="shared" si="52"/>
        <v>0</v>
      </c>
      <c r="K309" s="33">
        <f t="shared" si="52"/>
        <v>0</v>
      </c>
      <c r="L309" s="31">
        <f t="shared" si="52"/>
        <v>0</v>
      </c>
      <c r="M309" s="31">
        <f t="shared" si="52"/>
        <v>775.93</v>
      </c>
      <c r="N309" s="31">
        <f t="shared" si="52"/>
        <v>1845774.1</v>
      </c>
      <c r="O309" s="31">
        <f t="shared" si="52"/>
        <v>0</v>
      </c>
      <c r="P309" s="31">
        <f t="shared" si="52"/>
        <v>0</v>
      </c>
      <c r="Q309" s="31">
        <f t="shared" si="52"/>
        <v>0</v>
      </c>
      <c r="R309" s="31">
        <f t="shared" si="52"/>
        <v>0</v>
      </c>
      <c r="S309" s="31">
        <f t="shared" si="52"/>
        <v>0</v>
      </c>
      <c r="T309" s="31">
        <f t="shared" si="52"/>
        <v>0</v>
      </c>
      <c r="U309" s="31">
        <f t="shared" si="52"/>
        <v>0</v>
      </c>
      <c r="V309" s="31">
        <f t="shared" si="52"/>
        <v>0</v>
      </c>
      <c r="W309" s="31">
        <f t="shared" si="52"/>
        <v>0</v>
      </c>
      <c r="X309" s="31">
        <f t="shared" si="52"/>
        <v>0</v>
      </c>
      <c r="Y309" s="31">
        <f t="shared" si="52"/>
        <v>0</v>
      </c>
      <c r="Z309" s="31">
        <f t="shared" si="52"/>
        <v>0</v>
      </c>
      <c r="AA309" s="31">
        <f t="shared" si="52"/>
        <v>0</v>
      </c>
      <c r="AB309" s="31">
        <f t="shared" si="52"/>
        <v>0</v>
      </c>
      <c r="AC309" s="31">
        <f t="shared" si="52"/>
        <v>18688.46</v>
      </c>
      <c r="AD309" s="31">
        <f t="shared" si="52"/>
        <v>132766.57999999999</v>
      </c>
      <c r="AE309" s="31">
        <f t="shared" si="52"/>
        <v>0</v>
      </c>
      <c r="AF309" s="72" t="s">
        <v>757</v>
      </c>
      <c r="AG309" s="72" t="s">
        <v>757</v>
      </c>
      <c r="AH309" s="87" t="s">
        <v>757</v>
      </c>
      <c r="AT309" s="20" t="e">
        <f t="shared" ref="AT309:AT319" si="53">VLOOKUP(C309,AW:AX,2,FALSE)</f>
        <v>#N/A</v>
      </c>
      <c r="BZ309" s="71">
        <v>3674943.51</v>
      </c>
      <c r="CD309" s="20" t="e">
        <f t="shared" si="41"/>
        <v>#N/A</v>
      </c>
    </row>
    <row r="310" spans="1:82" ht="61.5" x14ac:dyDescent="0.85">
      <c r="A310" s="20">
        <v>1</v>
      </c>
      <c r="B310" s="66">
        <f>SUBTOTAL(103,$A$22:A310)</f>
        <v>276</v>
      </c>
      <c r="C310" s="24" t="s">
        <v>685</v>
      </c>
      <c r="D310" s="31">
        <f>E310+F310+G310+H310+I310+J310+L310+N310+P310+R310+T310+U310+V310+W310+X310+Y310+Z310+AA310+AB310+AC310+AD310+AE310</f>
        <v>1997229.1400000001</v>
      </c>
      <c r="E310" s="38">
        <v>0</v>
      </c>
      <c r="F310" s="38">
        <v>0</v>
      </c>
      <c r="G310" s="31">
        <v>0</v>
      </c>
      <c r="H310" s="38">
        <v>0</v>
      </c>
      <c r="I310" s="38">
        <v>0</v>
      </c>
      <c r="J310" s="38">
        <v>0</v>
      </c>
      <c r="K310" s="33">
        <v>0</v>
      </c>
      <c r="L310" s="31">
        <v>0</v>
      </c>
      <c r="M310" s="39">
        <v>775.93</v>
      </c>
      <c r="N310" s="39">
        <v>1845774.1</v>
      </c>
      <c r="O310" s="38">
        <v>0</v>
      </c>
      <c r="P310" s="38">
        <v>0</v>
      </c>
      <c r="Q310" s="31">
        <v>0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0</v>
      </c>
      <c r="Y310" s="31">
        <v>0</v>
      </c>
      <c r="Z310" s="31">
        <v>0</v>
      </c>
      <c r="AA310" s="31">
        <v>0</v>
      </c>
      <c r="AB310" s="31">
        <v>0</v>
      </c>
      <c r="AC310" s="39">
        <v>18688.46</v>
      </c>
      <c r="AD310" s="39">
        <v>132766.57999999999</v>
      </c>
      <c r="AE310" s="31">
        <v>0</v>
      </c>
      <c r="AF310" s="34">
        <v>2020</v>
      </c>
      <c r="AG310" s="34">
        <v>2020</v>
      </c>
      <c r="AH310" s="35">
        <v>2020</v>
      </c>
      <c r="AT310" s="20" t="e">
        <f t="shared" si="53"/>
        <v>#N/A</v>
      </c>
      <c r="BZ310" s="71"/>
      <c r="CD310" s="20" t="e">
        <f t="shared" si="41"/>
        <v>#N/A</v>
      </c>
    </row>
    <row r="311" spans="1:82" ht="61.5" x14ac:dyDescent="0.85">
      <c r="B311" s="24" t="s">
        <v>829</v>
      </c>
      <c r="C311" s="24"/>
      <c r="D311" s="195">
        <f t="shared" ref="D311:AE311" si="54">SUM(D312:D326)</f>
        <v>30613647.209999997</v>
      </c>
      <c r="E311" s="31">
        <f t="shared" si="54"/>
        <v>0</v>
      </c>
      <c r="F311" s="31">
        <f t="shared" si="54"/>
        <v>0</v>
      </c>
      <c r="G311" s="31">
        <f t="shared" si="54"/>
        <v>0</v>
      </c>
      <c r="H311" s="31">
        <f t="shared" si="54"/>
        <v>0</v>
      </c>
      <c r="I311" s="31">
        <f t="shared" si="54"/>
        <v>0</v>
      </c>
      <c r="J311" s="31">
        <f t="shared" si="54"/>
        <v>0</v>
      </c>
      <c r="K311" s="33">
        <f t="shared" si="54"/>
        <v>6</v>
      </c>
      <c r="L311" s="31">
        <f t="shared" si="54"/>
        <v>8696097.8399999999</v>
      </c>
      <c r="M311" s="31">
        <f t="shared" si="54"/>
        <v>5420.5</v>
      </c>
      <c r="N311" s="31">
        <f t="shared" si="54"/>
        <v>18368754.110000003</v>
      </c>
      <c r="O311" s="31">
        <f t="shared" si="54"/>
        <v>0</v>
      </c>
      <c r="P311" s="31">
        <f t="shared" si="54"/>
        <v>0</v>
      </c>
      <c r="Q311" s="31">
        <f t="shared" si="54"/>
        <v>664.65200000000004</v>
      </c>
      <c r="R311" s="31">
        <f t="shared" si="54"/>
        <v>2073147.13</v>
      </c>
      <c r="S311" s="31">
        <f t="shared" si="54"/>
        <v>0</v>
      </c>
      <c r="T311" s="31">
        <f t="shared" si="54"/>
        <v>0</v>
      </c>
      <c r="U311" s="31">
        <f t="shared" si="54"/>
        <v>0</v>
      </c>
      <c r="V311" s="31">
        <f t="shared" si="54"/>
        <v>0</v>
      </c>
      <c r="W311" s="31">
        <f t="shared" si="54"/>
        <v>0</v>
      </c>
      <c r="X311" s="31">
        <f t="shared" si="54"/>
        <v>0</v>
      </c>
      <c r="Y311" s="31">
        <f t="shared" si="54"/>
        <v>0</v>
      </c>
      <c r="Z311" s="31">
        <f t="shared" si="54"/>
        <v>0</v>
      </c>
      <c r="AA311" s="31">
        <f t="shared" si="54"/>
        <v>0</v>
      </c>
      <c r="AB311" s="31">
        <f t="shared" si="54"/>
        <v>0</v>
      </c>
      <c r="AC311" s="31">
        <f t="shared" si="54"/>
        <v>268045.87</v>
      </c>
      <c r="AD311" s="31">
        <f t="shared" si="54"/>
        <v>847602.26</v>
      </c>
      <c r="AE311" s="31">
        <f t="shared" si="54"/>
        <v>360000</v>
      </c>
      <c r="AF311" s="72" t="s">
        <v>757</v>
      </c>
      <c r="AG311" s="72" t="s">
        <v>757</v>
      </c>
      <c r="AH311" s="87" t="s">
        <v>757</v>
      </c>
      <c r="AT311" s="20" t="e">
        <f t="shared" si="53"/>
        <v>#N/A</v>
      </c>
      <c r="BZ311" s="71">
        <v>50473058.759999998</v>
      </c>
      <c r="CB311" s="71">
        <f>BZ311-D311</f>
        <v>19859411.550000001</v>
      </c>
      <c r="CD311" s="20" t="e">
        <f t="shared" si="41"/>
        <v>#N/A</v>
      </c>
    </row>
    <row r="312" spans="1:82" ht="61.5" x14ac:dyDescent="0.85">
      <c r="A312" s="20">
        <v>1</v>
      </c>
      <c r="B312" s="66">
        <f>SUBTOTAL(103,$A$22:A312)</f>
        <v>277</v>
      </c>
      <c r="C312" s="24" t="s">
        <v>689</v>
      </c>
      <c r="D312" s="31">
        <f t="shared" ref="D312:D326" si="55">E312+F312+G312+H312+I312+J312+L312+N312+P312+R312+T312+U312+V312+W312+X312+Y312+Z312+AA312+AB312+AC312+AD312+AE312</f>
        <v>95474.18</v>
      </c>
      <c r="E312" s="38">
        <v>0</v>
      </c>
      <c r="F312" s="38">
        <v>0</v>
      </c>
      <c r="G312" s="31">
        <v>0</v>
      </c>
      <c r="H312" s="38">
        <v>0</v>
      </c>
      <c r="I312" s="38">
        <v>0</v>
      </c>
      <c r="J312" s="38">
        <v>0</v>
      </c>
      <c r="K312" s="33">
        <v>0</v>
      </c>
      <c r="L312" s="31">
        <v>0</v>
      </c>
      <c r="M312" s="31">
        <v>0</v>
      </c>
      <c r="N312" s="31">
        <v>0</v>
      </c>
      <c r="O312" s="38">
        <v>0</v>
      </c>
      <c r="P312" s="38">
        <v>0</v>
      </c>
      <c r="Q312" s="31">
        <v>0</v>
      </c>
      <c r="R312" s="31">
        <v>0</v>
      </c>
      <c r="S312" s="31">
        <v>0</v>
      </c>
      <c r="T312" s="31">
        <v>0</v>
      </c>
      <c r="U312" s="31">
        <v>0</v>
      </c>
      <c r="V312" s="31">
        <v>0</v>
      </c>
      <c r="W312" s="31">
        <v>0</v>
      </c>
      <c r="X312" s="31">
        <v>0</v>
      </c>
      <c r="Y312" s="31">
        <v>0</v>
      </c>
      <c r="Z312" s="31">
        <v>0</v>
      </c>
      <c r="AA312" s="31">
        <v>0</v>
      </c>
      <c r="AB312" s="31">
        <v>0</v>
      </c>
      <c r="AC312" s="31">
        <f>ROUND(N312*1.5%,2)</f>
        <v>0</v>
      </c>
      <c r="AD312" s="39">
        <v>95474.18</v>
      </c>
      <c r="AE312" s="31">
        <v>0</v>
      </c>
      <c r="AF312" s="34">
        <v>2020</v>
      </c>
      <c r="AG312" s="34" t="s">
        <v>270</v>
      </c>
      <c r="AH312" s="34" t="s">
        <v>270</v>
      </c>
      <c r="AT312" s="20" t="e">
        <f t="shared" si="53"/>
        <v>#N/A</v>
      </c>
      <c r="BZ312" s="71"/>
      <c r="CD312" s="20" t="e">
        <f t="shared" si="41"/>
        <v>#N/A</v>
      </c>
    </row>
    <row r="313" spans="1:82" ht="61.5" x14ac:dyDescent="0.85">
      <c r="A313" s="20">
        <v>1</v>
      </c>
      <c r="B313" s="66">
        <f>SUBTOTAL(103,$A$22:A313)</f>
        <v>278</v>
      </c>
      <c r="C313" s="24" t="s">
        <v>673</v>
      </c>
      <c r="D313" s="31">
        <f t="shared" si="55"/>
        <v>6906704.6500000004</v>
      </c>
      <c r="E313" s="38">
        <v>0</v>
      </c>
      <c r="F313" s="38">
        <v>0</v>
      </c>
      <c r="G313" s="31">
        <v>0</v>
      </c>
      <c r="H313" s="38">
        <v>0</v>
      </c>
      <c r="I313" s="38">
        <v>0</v>
      </c>
      <c r="J313" s="38">
        <v>0</v>
      </c>
      <c r="K313" s="33">
        <v>0</v>
      </c>
      <c r="L313" s="31">
        <v>0</v>
      </c>
      <c r="M313" s="39">
        <v>1260</v>
      </c>
      <c r="N313" s="39">
        <v>6705665.3499999996</v>
      </c>
      <c r="O313" s="38">
        <v>0</v>
      </c>
      <c r="P313" s="38">
        <v>0</v>
      </c>
      <c r="Q313" s="31">
        <v>0</v>
      </c>
      <c r="R313" s="31">
        <v>0</v>
      </c>
      <c r="S313" s="31">
        <v>0</v>
      </c>
      <c r="T313" s="31">
        <v>0</v>
      </c>
      <c r="U313" s="31">
        <v>0</v>
      </c>
      <c r="V313" s="31">
        <v>0</v>
      </c>
      <c r="W313" s="31">
        <v>0</v>
      </c>
      <c r="X313" s="31">
        <v>0</v>
      </c>
      <c r="Y313" s="31">
        <v>0</v>
      </c>
      <c r="Z313" s="31">
        <v>0</v>
      </c>
      <c r="AA313" s="31">
        <v>0</v>
      </c>
      <c r="AB313" s="31">
        <v>0</v>
      </c>
      <c r="AC313" s="39">
        <v>67894.86</v>
      </c>
      <c r="AD313" s="39">
        <v>133144.44</v>
      </c>
      <c r="AE313" s="31">
        <v>0</v>
      </c>
      <c r="AF313" s="34">
        <v>2020</v>
      </c>
      <c r="AG313" s="34">
        <v>2020</v>
      </c>
      <c r="AH313" s="35">
        <v>2020</v>
      </c>
      <c r="AT313" s="20" t="e">
        <f t="shared" si="53"/>
        <v>#N/A</v>
      </c>
      <c r="BZ313" s="71"/>
      <c r="CD313" s="20" t="e">
        <f t="shared" si="41"/>
        <v>#N/A</v>
      </c>
    </row>
    <row r="314" spans="1:82" ht="61.5" x14ac:dyDescent="0.85">
      <c r="A314" s="20">
        <v>1</v>
      </c>
      <c r="B314" s="66">
        <f>SUBTOTAL(103,$A$22:A314)</f>
        <v>279</v>
      </c>
      <c r="C314" s="24" t="s">
        <v>668</v>
      </c>
      <c r="D314" s="31">
        <f t="shared" si="55"/>
        <v>1863696.8900000001</v>
      </c>
      <c r="E314" s="38">
        <v>0</v>
      </c>
      <c r="F314" s="38">
        <v>0</v>
      </c>
      <c r="G314" s="31">
        <v>0</v>
      </c>
      <c r="H314" s="38">
        <v>0</v>
      </c>
      <c r="I314" s="38">
        <v>0</v>
      </c>
      <c r="J314" s="38">
        <v>0</v>
      </c>
      <c r="K314" s="33">
        <v>0</v>
      </c>
      <c r="L314" s="31">
        <v>0</v>
      </c>
      <c r="M314" s="31">
        <v>900</v>
      </c>
      <c r="N314" s="31">
        <f>1737919.55+11552.34</f>
        <v>1749471.8900000001</v>
      </c>
      <c r="O314" s="38">
        <v>0</v>
      </c>
      <c r="P314" s="38">
        <v>0</v>
      </c>
      <c r="Q314" s="31">
        <v>0</v>
      </c>
      <c r="R314" s="31">
        <v>0</v>
      </c>
      <c r="S314" s="31">
        <v>0</v>
      </c>
      <c r="T314" s="31">
        <v>0</v>
      </c>
      <c r="U314" s="31">
        <v>0</v>
      </c>
      <c r="V314" s="31">
        <v>0</v>
      </c>
      <c r="W314" s="31">
        <v>0</v>
      </c>
      <c r="X314" s="31">
        <v>0</v>
      </c>
      <c r="Y314" s="31">
        <v>0</v>
      </c>
      <c r="Z314" s="31">
        <v>0</v>
      </c>
      <c r="AA314" s="31">
        <v>0</v>
      </c>
      <c r="AB314" s="31">
        <v>0</v>
      </c>
      <c r="AC314" s="31">
        <f>ROUND(N314*1.5%,2)</f>
        <v>26242.080000000002</v>
      </c>
      <c r="AD314" s="39">
        <v>87982.92</v>
      </c>
      <c r="AE314" s="31">
        <v>0</v>
      </c>
      <c r="AF314" s="34">
        <v>2020</v>
      </c>
      <c r="AG314" s="34">
        <v>2020</v>
      </c>
      <c r="AH314" s="35">
        <v>2020</v>
      </c>
      <c r="AT314" s="20" t="e">
        <f t="shared" si="53"/>
        <v>#N/A</v>
      </c>
      <c r="BZ314" s="71"/>
      <c r="CD314" s="20">
        <f t="shared" si="41"/>
        <v>900</v>
      </c>
    </row>
    <row r="315" spans="1:82" ht="61.5" x14ac:dyDescent="0.85">
      <c r="A315" s="20">
        <v>1</v>
      </c>
      <c r="B315" s="66">
        <f>SUBTOTAL(103,$A$22:A315)</f>
        <v>280</v>
      </c>
      <c r="C315" s="24" t="s">
        <v>669</v>
      </c>
      <c r="D315" s="31">
        <f t="shared" si="55"/>
        <v>1501509.27</v>
      </c>
      <c r="E315" s="38">
        <v>0</v>
      </c>
      <c r="F315" s="38">
        <v>0</v>
      </c>
      <c r="G315" s="31">
        <v>0</v>
      </c>
      <c r="H315" s="38">
        <v>0</v>
      </c>
      <c r="I315" s="38">
        <v>0</v>
      </c>
      <c r="J315" s="38">
        <v>0</v>
      </c>
      <c r="K315" s="33">
        <v>0</v>
      </c>
      <c r="L315" s="31">
        <v>0</v>
      </c>
      <c r="M315" s="39">
        <v>787.1</v>
      </c>
      <c r="N315" s="39">
        <v>1392636.8</v>
      </c>
      <c r="O315" s="38">
        <v>0</v>
      </c>
      <c r="P315" s="38">
        <v>0</v>
      </c>
      <c r="Q315" s="31">
        <v>0</v>
      </c>
      <c r="R315" s="31">
        <v>0</v>
      </c>
      <c r="S315" s="31">
        <v>0</v>
      </c>
      <c r="T315" s="31">
        <v>0</v>
      </c>
      <c r="U315" s="31">
        <v>0</v>
      </c>
      <c r="V315" s="31">
        <v>0</v>
      </c>
      <c r="W315" s="31">
        <v>0</v>
      </c>
      <c r="X315" s="31">
        <v>0</v>
      </c>
      <c r="Y315" s="31">
        <v>0</v>
      </c>
      <c r="Z315" s="31">
        <v>0</v>
      </c>
      <c r="AA315" s="31">
        <v>0</v>
      </c>
      <c r="AB315" s="31">
        <v>0</v>
      </c>
      <c r="AC315" s="31">
        <f>ROUND(N315*1.5%,2)</f>
        <v>20889.55</v>
      </c>
      <c r="AD315" s="39">
        <v>87982.92</v>
      </c>
      <c r="AE315" s="31">
        <v>0</v>
      </c>
      <c r="AF315" s="34">
        <v>2020</v>
      </c>
      <c r="AG315" s="34">
        <v>2020</v>
      </c>
      <c r="AH315" s="35">
        <v>2020</v>
      </c>
      <c r="AT315" s="20" t="e">
        <f t="shared" si="53"/>
        <v>#N/A</v>
      </c>
      <c r="BZ315" s="71"/>
      <c r="CD315" s="20">
        <f t="shared" si="41"/>
        <v>900</v>
      </c>
    </row>
    <row r="316" spans="1:82" ht="61.5" x14ac:dyDescent="0.85">
      <c r="A316" s="20">
        <v>1</v>
      </c>
      <c r="B316" s="66">
        <f>SUBTOTAL(103,$A$22:A316)</f>
        <v>281</v>
      </c>
      <c r="C316" s="24" t="s">
        <v>670</v>
      </c>
      <c r="D316" s="31">
        <f t="shared" si="55"/>
        <v>1863696.87</v>
      </c>
      <c r="E316" s="38">
        <v>0</v>
      </c>
      <c r="F316" s="38">
        <v>0</v>
      </c>
      <c r="G316" s="31">
        <v>0</v>
      </c>
      <c r="H316" s="38">
        <v>0</v>
      </c>
      <c r="I316" s="38">
        <v>0</v>
      </c>
      <c r="J316" s="38">
        <v>0</v>
      </c>
      <c r="K316" s="33">
        <v>0</v>
      </c>
      <c r="L316" s="31">
        <v>0</v>
      </c>
      <c r="M316" s="31">
        <v>900</v>
      </c>
      <c r="N316" s="31">
        <f>1737919.55+11552.32</f>
        <v>1749471.87</v>
      </c>
      <c r="O316" s="38">
        <v>0</v>
      </c>
      <c r="P316" s="38">
        <v>0</v>
      </c>
      <c r="Q316" s="31">
        <v>0</v>
      </c>
      <c r="R316" s="31">
        <v>0</v>
      </c>
      <c r="S316" s="31">
        <v>0</v>
      </c>
      <c r="T316" s="31">
        <v>0</v>
      </c>
      <c r="U316" s="31">
        <v>0</v>
      </c>
      <c r="V316" s="31">
        <v>0</v>
      </c>
      <c r="W316" s="31">
        <v>0</v>
      </c>
      <c r="X316" s="31">
        <v>0</v>
      </c>
      <c r="Y316" s="31">
        <v>0</v>
      </c>
      <c r="Z316" s="31">
        <v>0</v>
      </c>
      <c r="AA316" s="31">
        <v>0</v>
      </c>
      <c r="AB316" s="31">
        <v>0</v>
      </c>
      <c r="AC316" s="31">
        <f>ROUND(N316*1.5%,2)</f>
        <v>26242.080000000002</v>
      </c>
      <c r="AD316" s="39">
        <v>87982.92</v>
      </c>
      <c r="AE316" s="31">
        <v>0</v>
      </c>
      <c r="AF316" s="34">
        <v>2020</v>
      </c>
      <c r="AG316" s="34">
        <v>2020</v>
      </c>
      <c r="AH316" s="35">
        <v>2020</v>
      </c>
      <c r="AT316" s="20" t="e">
        <f t="shared" si="53"/>
        <v>#N/A</v>
      </c>
      <c r="BZ316" s="71"/>
      <c r="CD316" s="20">
        <f t="shared" si="41"/>
        <v>900</v>
      </c>
    </row>
    <row r="317" spans="1:82" ht="61.5" x14ac:dyDescent="0.85">
      <c r="A317" s="20">
        <v>1</v>
      </c>
      <c r="B317" s="66">
        <f>SUBTOTAL(103,$A$22:A317)</f>
        <v>282</v>
      </c>
      <c r="C317" s="24" t="s">
        <v>663</v>
      </c>
      <c r="D317" s="31">
        <f t="shared" si="55"/>
        <v>3346564.4</v>
      </c>
      <c r="E317" s="38">
        <v>0</v>
      </c>
      <c r="F317" s="38">
        <v>0</v>
      </c>
      <c r="G317" s="31">
        <v>0</v>
      </c>
      <c r="H317" s="38">
        <v>0</v>
      </c>
      <c r="I317" s="38">
        <v>0</v>
      </c>
      <c r="J317" s="38">
        <v>0</v>
      </c>
      <c r="K317" s="74">
        <v>2</v>
      </c>
      <c r="L317" s="31">
        <f>1635186.98*2</f>
        <v>3270373.96</v>
      </c>
      <c r="M317" s="31">
        <v>0</v>
      </c>
      <c r="N317" s="31">
        <v>0</v>
      </c>
      <c r="O317" s="38">
        <v>0</v>
      </c>
      <c r="P317" s="38">
        <v>0</v>
      </c>
      <c r="Q317" s="31">
        <v>0</v>
      </c>
      <c r="R317" s="31">
        <v>0</v>
      </c>
      <c r="S317" s="31">
        <v>0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  <c r="Y317" s="31">
        <v>0</v>
      </c>
      <c r="Z317" s="31">
        <v>0</v>
      </c>
      <c r="AA317" s="31">
        <v>0</v>
      </c>
      <c r="AB317" s="31">
        <v>0</v>
      </c>
      <c r="AC317" s="31">
        <v>0</v>
      </c>
      <c r="AD317" s="39">
        <v>76190.44</v>
      </c>
      <c r="AE317" s="31">
        <v>0</v>
      </c>
      <c r="AF317" s="34">
        <v>2020</v>
      </c>
      <c r="AG317" s="34">
        <v>2020</v>
      </c>
      <c r="AH317" s="35" t="s">
        <v>270</v>
      </c>
      <c r="AT317" s="20" t="e">
        <f t="shared" si="53"/>
        <v>#N/A</v>
      </c>
      <c r="BZ317" s="71"/>
      <c r="CD317" s="20" t="e">
        <f t="shared" si="41"/>
        <v>#N/A</v>
      </c>
    </row>
    <row r="318" spans="1:82" ht="61.5" x14ac:dyDescent="0.85">
      <c r="A318" s="20">
        <v>1</v>
      </c>
      <c r="B318" s="66">
        <f>SUBTOTAL(103,$A$22:A318)</f>
        <v>283</v>
      </c>
      <c r="C318" s="24" t="s">
        <v>676</v>
      </c>
      <c r="D318" s="31">
        <f t="shared" si="55"/>
        <v>101554.75</v>
      </c>
      <c r="E318" s="38">
        <v>0</v>
      </c>
      <c r="F318" s="38">
        <v>0</v>
      </c>
      <c r="G318" s="31">
        <v>0</v>
      </c>
      <c r="H318" s="38">
        <v>0</v>
      </c>
      <c r="I318" s="38">
        <v>0</v>
      </c>
      <c r="J318" s="38">
        <v>0</v>
      </c>
      <c r="K318" s="33">
        <v>0</v>
      </c>
      <c r="L318" s="31">
        <v>0</v>
      </c>
      <c r="M318" s="31">
        <v>0</v>
      </c>
      <c r="N318" s="31">
        <v>0</v>
      </c>
      <c r="O318" s="38">
        <v>0</v>
      </c>
      <c r="P318" s="38">
        <v>0</v>
      </c>
      <c r="Q318" s="31">
        <v>0</v>
      </c>
      <c r="R318" s="31">
        <v>0</v>
      </c>
      <c r="S318" s="31">
        <v>0</v>
      </c>
      <c r="T318" s="31">
        <v>0</v>
      </c>
      <c r="U318" s="31">
        <v>0</v>
      </c>
      <c r="V318" s="31">
        <v>0</v>
      </c>
      <c r="W318" s="31">
        <v>0</v>
      </c>
      <c r="X318" s="31">
        <v>0</v>
      </c>
      <c r="Y318" s="31">
        <v>0</v>
      </c>
      <c r="Z318" s="31">
        <v>0</v>
      </c>
      <c r="AA318" s="31">
        <v>0</v>
      </c>
      <c r="AB318" s="31">
        <v>0</v>
      </c>
      <c r="AC318" s="31">
        <f>ROUND(N318*1.5%,2)</f>
        <v>0</v>
      </c>
      <c r="AD318" s="39">
        <v>101554.75</v>
      </c>
      <c r="AE318" s="31">
        <v>0</v>
      </c>
      <c r="AF318" s="34">
        <v>2020</v>
      </c>
      <c r="AG318" s="35" t="s">
        <v>270</v>
      </c>
      <c r="AH318" s="35" t="s">
        <v>270</v>
      </c>
      <c r="AT318" s="20" t="e">
        <f t="shared" si="53"/>
        <v>#N/A</v>
      </c>
      <c r="BZ318" s="71"/>
      <c r="CD318" s="20" t="e">
        <f t="shared" si="41"/>
        <v>#N/A</v>
      </c>
    </row>
    <row r="319" spans="1:82" ht="61.5" x14ac:dyDescent="0.85">
      <c r="A319" s="20">
        <v>1</v>
      </c>
      <c r="B319" s="66">
        <f>SUBTOTAL(103,$A$22:A319)</f>
        <v>284</v>
      </c>
      <c r="C319" s="24" t="s">
        <v>664</v>
      </c>
      <c r="D319" s="31">
        <f t="shared" si="55"/>
        <v>104089.37</v>
      </c>
      <c r="E319" s="38">
        <v>0</v>
      </c>
      <c r="F319" s="38">
        <v>0</v>
      </c>
      <c r="G319" s="31">
        <v>0</v>
      </c>
      <c r="H319" s="38">
        <v>0</v>
      </c>
      <c r="I319" s="38">
        <v>0</v>
      </c>
      <c r="J319" s="38">
        <v>0</v>
      </c>
      <c r="K319" s="33">
        <v>0</v>
      </c>
      <c r="L319" s="31">
        <v>0</v>
      </c>
      <c r="M319" s="31">
        <v>0</v>
      </c>
      <c r="N319" s="31">
        <v>0</v>
      </c>
      <c r="O319" s="38">
        <v>0</v>
      </c>
      <c r="P319" s="38">
        <v>0</v>
      </c>
      <c r="Q319" s="31">
        <v>0</v>
      </c>
      <c r="R319" s="31">
        <v>0</v>
      </c>
      <c r="S319" s="31">
        <v>0</v>
      </c>
      <c r="T319" s="31">
        <v>0</v>
      </c>
      <c r="U319" s="31">
        <v>0</v>
      </c>
      <c r="V319" s="31">
        <v>0</v>
      </c>
      <c r="W319" s="31">
        <v>0</v>
      </c>
      <c r="X319" s="31">
        <v>0</v>
      </c>
      <c r="Y319" s="31">
        <v>0</v>
      </c>
      <c r="Z319" s="31">
        <v>0</v>
      </c>
      <c r="AA319" s="31">
        <v>0</v>
      </c>
      <c r="AB319" s="31">
        <v>0</v>
      </c>
      <c r="AC319" s="31">
        <f>ROUND(N319*1.5%,2)</f>
        <v>0</v>
      </c>
      <c r="AD319" s="39">
        <v>104089.37</v>
      </c>
      <c r="AE319" s="31">
        <v>0</v>
      </c>
      <c r="AF319" s="34">
        <v>2020</v>
      </c>
      <c r="AG319" s="35" t="s">
        <v>270</v>
      </c>
      <c r="AH319" s="35" t="s">
        <v>270</v>
      </c>
      <c r="AT319" s="20" t="e">
        <f t="shared" si="53"/>
        <v>#N/A</v>
      </c>
      <c r="BZ319" s="71"/>
      <c r="CD319" s="20" t="e">
        <f t="shared" si="41"/>
        <v>#N/A</v>
      </c>
    </row>
    <row r="320" spans="1:82" ht="61.5" x14ac:dyDescent="0.85">
      <c r="A320" s="20">
        <v>1</v>
      </c>
      <c r="B320" s="66">
        <f>SUBTOTAL(103,$A$22:A320)</f>
        <v>285</v>
      </c>
      <c r="C320" s="24" t="s">
        <v>1205</v>
      </c>
      <c r="D320" s="31">
        <f t="shared" si="55"/>
        <v>4250155.2699999996</v>
      </c>
      <c r="E320" s="38">
        <v>0</v>
      </c>
      <c r="F320" s="38">
        <v>0</v>
      </c>
      <c r="G320" s="31">
        <v>0</v>
      </c>
      <c r="H320" s="38">
        <v>0</v>
      </c>
      <c r="I320" s="38">
        <v>0</v>
      </c>
      <c r="J320" s="38">
        <v>0</v>
      </c>
      <c r="K320" s="33">
        <v>0</v>
      </c>
      <c r="L320" s="31">
        <v>0</v>
      </c>
      <c r="M320" s="39">
        <v>953.5</v>
      </c>
      <c r="N320" s="39">
        <v>4069118.49</v>
      </c>
      <c r="O320" s="38">
        <v>0</v>
      </c>
      <c r="P320" s="38">
        <v>0</v>
      </c>
      <c r="Q320" s="31">
        <v>0</v>
      </c>
      <c r="R320" s="31">
        <v>0</v>
      </c>
      <c r="S320" s="31">
        <v>0</v>
      </c>
      <c r="T320" s="31">
        <v>0</v>
      </c>
      <c r="U320" s="31">
        <v>0</v>
      </c>
      <c r="V320" s="31">
        <v>0</v>
      </c>
      <c r="W320" s="31">
        <v>0</v>
      </c>
      <c r="X320" s="31">
        <v>0</v>
      </c>
      <c r="Y320" s="31">
        <v>0</v>
      </c>
      <c r="Z320" s="31">
        <v>0</v>
      </c>
      <c r="AA320" s="31">
        <v>0</v>
      </c>
      <c r="AB320" s="31">
        <v>0</v>
      </c>
      <c r="AC320" s="31">
        <f>ROUND(N320*1.5%,2)</f>
        <v>61036.78</v>
      </c>
      <c r="AD320" s="31">
        <v>0</v>
      </c>
      <c r="AE320" s="31">
        <v>120000</v>
      </c>
      <c r="AF320" s="34" t="s">
        <v>270</v>
      </c>
      <c r="AG320" s="34">
        <v>2020</v>
      </c>
      <c r="AH320" s="35">
        <v>2020</v>
      </c>
      <c r="BZ320" s="71"/>
      <c r="CD320" s="20">
        <f t="shared" si="41"/>
        <v>953.5</v>
      </c>
    </row>
    <row r="321" spans="1:82" ht="61.5" x14ac:dyDescent="0.85">
      <c r="A321" s="20">
        <v>1</v>
      </c>
      <c r="B321" s="66">
        <f>SUBTOTAL(103,$A$22:A321)</f>
        <v>286</v>
      </c>
      <c r="C321" s="24" t="s">
        <v>1210</v>
      </c>
      <c r="D321" s="31">
        <f t="shared" si="55"/>
        <v>5425723.8799999999</v>
      </c>
      <c r="E321" s="38">
        <v>0</v>
      </c>
      <c r="F321" s="38">
        <v>0</v>
      </c>
      <c r="G321" s="31">
        <v>0</v>
      </c>
      <c r="H321" s="38">
        <v>0</v>
      </c>
      <c r="I321" s="38">
        <v>0</v>
      </c>
      <c r="J321" s="38">
        <v>0</v>
      </c>
      <c r="K321" s="241">
        <v>4</v>
      </c>
      <c r="L321" s="39">
        <v>5425723.8799999999</v>
      </c>
      <c r="M321" s="31">
        <v>0</v>
      </c>
      <c r="N321" s="31">
        <v>0</v>
      </c>
      <c r="O321" s="38">
        <v>0</v>
      </c>
      <c r="P321" s="38">
        <v>0</v>
      </c>
      <c r="Q321" s="31">
        <v>0</v>
      </c>
      <c r="R321" s="31">
        <v>0</v>
      </c>
      <c r="S321" s="31">
        <v>0</v>
      </c>
      <c r="T321" s="31">
        <v>0</v>
      </c>
      <c r="U321" s="31">
        <v>0</v>
      </c>
      <c r="V321" s="31">
        <v>0</v>
      </c>
      <c r="W321" s="31">
        <v>0</v>
      </c>
      <c r="X321" s="31">
        <v>0</v>
      </c>
      <c r="Y321" s="31">
        <v>0</v>
      </c>
      <c r="Z321" s="31">
        <v>0</v>
      </c>
      <c r="AA321" s="31">
        <v>0</v>
      </c>
      <c r="AB321" s="31">
        <v>0</v>
      </c>
      <c r="AC321" s="31">
        <v>0</v>
      </c>
      <c r="AD321" s="31">
        <v>0</v>
      </c>
      <c r="AE321" s="31">
        <v>0</v>
      </c>
      <c r="AF321" s="34" t="s">
        <v>270</v>
      </c>
      <c r="AG321" s="34">
        <v>2020</v>
      </c>
      <c r="AH321" s="35" t="s">
        <v>270</v>
      </c>
      <c r="BZ321" s="71"/>
      <c r="CD321" s="20" t="e">
        <f t="shared" si="41"/>
        <v>#N/A</v>
      </c>
    </row>
    <row r="322" spans="1:82" ht="61.5" x14ac:dyDescent="0.85">
      <c r="A322" s="20">
        <v>1</v>
      </c>
      <c r="B322" s="66">
        <f>SUBTOTAL(103,$A$22:A322)</f>
        <v>287</v>
      </c>
      <c r="C322" s="24" t="s">
        <v>1211</v>
      </c>
      <c r="D322" s="31">
        <f t="shared" si="55"/>
        <v>839089.99</v>
      </c>
      <c r="E322" s="38">
        <v>0</v>
      </c>
      <c r="F322" s="38">
        <v>0</v>
      </c>
      <c r="G322" s="31">
        <v>0</v>
      </c>
      <c r="H322" s="38">
        <v>0</v>
      </c>
      <c r="I322" s="38">
        <v>0</v>
      </c>
      <c r="J322" s="38">
        <v>0</v>
      </c>
      <c r="K322" s="33">
        <v>0</v>
      </c>
      <c r="L322" s="31">
        <v>0</v>
      </c>
      <c r="M322" s="31">
        <v>0</v>
      </c>
      <c r="N322" s="31">
        <v>0</v>
      </c>
      <c r="O322" s="38">
        <v>0</v>
      </c>
      <c r="P322" s="38">
        <v>0</v>
      </c>
      <c r="Q322" s="39">
        <v>273.98200000000003</v>
      </c>
      <c r="R322" s="39">
        <v>826689.65</v>
      </c>
      <c r="S322" s="31">
        <v>0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  <c r="Y322" s="31">
        <v>0</v>
      </c>
      <c r="Z322" s="31">
        <v>0</v>
      </c>
      <c r="AA322" s="31">
        <v>0</v>
      </c>
      <c r="AB322" s="31">
        <v>0</v>
      </c>
      <c r="AC322" s="31">
        <f>ROUND(R322*1.5%,2)</f>
        <v>12400.34</v>
      </c>
      <c r="AD322" s="31">
        <v>0</v>
      </c>
      <c r="AE322" s="31">
        <v>0</v>
      </c>
      <c r="AF322" s="34" t="s">
        <v>270</v>
      </c>
      <c r="AG322" s="34">
        <v>2020</v>
      </c>
      <c r="AH322" s="35">
        <v>2020</v>
      </c>
      <c r="BZ322" s="71"/>
      <c r="CD322" s="20" t="e">
        <f t="shared" si="41"/>
        <v>#N/A</v>
      </c>
    </row>
    <row r="323" spans="1:82" ht="61.5" x14ac:dyDescent="0.85">
      <c r="A323" s="20">
        <v>1</v>
      </c>
      <c r="B323" s="66">
        <f>SUBTOTAL(103,$A$22:A323)</f>
        <v>288</v>
      </c>
      <c r="C323" s="24" t="s">
        <v>1212</v>
      </c>
      <c r="D323" s="31">
        <f t="shared" si="55"/>
        <v>1265154.3400000001</v>
      </c>
      <c r="E323" s="38">
        <v>0</v>
      </c>
      <c r="F323" s="38">
        <v>0</v>
      </c>
      <c r="G323" s="31">
        <v>0</v>
      </c>
      <c r="H323" s="38">
        <v>0</v>
      </c>
      <c r="I323" s="38">
        <v>0</v>
      </c>
      <c r="J323" s="38">
        <v>0</v>
      </c>
      <c r="K323" s="33">
        <v>0</v>
      </c>
      <c r="L323" s="31">
        <v>0</v>
      </c>
      <c r="M323" s="31">
        <v>0</v>
      </c>
      <c r="N323" s="31">
        <v>0</v>
      </c>
      <c r="O323" s="38">
        <v>0</v>
      </c>
      <c r="P323" s="38">
        <v>0</v>
      </c>
      <c r="Q323" s="39">
        <v>390.67</v>
      </c>
      <c r="R323" s="39">
        <v>1246457.48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  <c r="Y323" s="31">
        <v>0</v>
      </c>
      <c r="Z323" s="31">
        <v>0</v>
      </c>
      <c r="AA323" s="31">
        <v>0</v>
      </c>
      <c r="AB323" s="31">
        <v>0</v>
      </c>
      <c r="AC323" s="31">
        <f>ROUND(R323*1.5%,2)</f>
        <v>18696.86</v>
      </c>
      <c r="AD323" s="31">
        <v>0</v>
      </c>
      <c r="AE323" s="31">
        <v>0</v>
      </c>
      <c r="AF323" s="34" t="s">
        <v>270</v>
      </c>
      <c r="AG323" s="34">
        <v>2020</v>
      </c>
      <c r="AH323" s="35">
        <v>2020</v>
      </c>
      <c r="BZ323" s="71"/>
      <c r="CD323" s="20" t="e">
        <f t="shared" si="41"/>
        <v>#N/A</v>
      </c>
    </row>
    <row r="324" spans="1:82" ht="61.5" x14ac:dyDescent="0.85">
      <c r="A324" s="20">
        <v>1</v>
      </c>
      <c r="B324" s="66">
        <f>SUBTOTAL(103,$A$22:A324)</f>
        <v>289</v>
      </c>
      <c r="C324" s="24" t="s">
        <v>1213</v>
      </c>
      <c r="D324" s="31">
        <f t="shared" si="55"/>
        <v>73200.320000000007</v>
      </c>
      <c r="E324" s="38">
        <v>0</v>
      </c>
      <c r="F324" s="38">
        <v>0</v>
      </c>
      <c r="G324" s="31">
        <v>0</v>
      </c>
      <c r="H324" s="38">
        <v>0</v>
      </c>
      <c r="I324" s="38">
        <v>0</v>
      </c>
      <c r="J324" s="38">
        <v>0</v>
      </c>
      <c r="K324" s="33">
        <v>0</v>
      </c>
      <c r="L324" s="31">
        <v>0</v>
      </c>
      <c r="M324" s="31">
        <v>0</v>
      </c>
      <c r="N324" s="31">
        <v>0</v>
      </c>
      <c r="O324" s="38">
        <v>0</v>
      </c>
      <c r="P324" s="38">
        <v>0</v>
      </c>
      <c r="Q324" s="31">
        <v>0</v>
      </c>
      <c r="R324" s="31">
        <v>0</v>
      </c>
      <c r="S324" s="31">
        <v>0</v>
      </c>
      <c r="T324" s="31">
        <v>0</v>
      </c>
      <c r="U324" s="31">
        <v>0</v>
      </c>
      <c r="V324" s="31">
        <v>0</v>
      </c>
      <c r="W324" s="31">
        <v>0</v>
      </c>
      <c r="X324" s="31">
        <v>0</v>
      </c>
      <c r="Y324" s="31">
        <v>0</v>
      </c>
      <c r="Z324" s="31">
        <v>0</v>
      </c>
      <c r="AA324" s="31">
        <v>0</v>
      </c>
      <c r="AB324" s="31">
        <v>0</v>
      </c>
      <c r="AC324" s="31">
        <f>ROUND(N324*1.5%,2)</f>
        <v>0</v>
      </c>
      <c r="AD324" s="39">
        <v>73200.320000000007</v>
      </c>
      <c r="AE324" s="31">
        <v>0</v>
      </c>
      <c r="AF324" s="34">
        <v>2020</v>
      </c>
      <c r="AG324" s="35" t="s">
        <v>270</v>
      </c>
      <c r="AH324" s="35" t="s">
        <v>270</v>
      </c>
      <c r="BZ324" s="71"/>
      <c r="CD324" s="20">
        <f t="shared" si="41"/>
        <v>738.92</v>
      </c>
    </row>
    <row r="325" spans="1:82" ht="61.5" x14ac:dyDescent="0.85">
      <c r="A325" s="20">
        <v>1</v>
      </c>
      <c r="B325" s="66">
        <f>SUBTOTAL(103,$A$22:A325)</f>
        <v>290</v>
      </c>
      <c r="C325" s="24" t="s">
        <v>1549</v>
      </c>
      <c r="D325" s="31">
        <f t="shared" si="55"/>
        <v>1322373.3</v>
      </c>
      <c r="E325" s="38">
        <v>0</v>
      </c>
      <c r="F325" s="38">
        <v>0</v>
      </c>
      <c r="G325" s="31">
        <v>0</v>
      </c>
      <c r="H325" s="38">
        <v>0</v>
      </c>
      <c r="I325" s="38">
        <v>0</v>
      </c>
      <c r="J325" s="38">
        <v>0</v>
      </c>
      <c r="K325" s="33">
        <v>0</v>
      </c>
      <c r="L325" s="31">
        <v>0</v>
      </c>
      <c r="M325" s="39">
        <v>275.39999999999998</v>
      </c>
      <c r="N325" s="39">
        <v>1190409.68</v>
      </c>
      <c r="O325" s="38">
        <v>0</v>
      </c>
      <c r="P325" s="38">
        <v>0</v>
      </c>
      <c r="Q325" s="31">
        <v>0</v>
      </c>
      <c r="R325" s="31">
        <v>0</v>
      </c>
      <c r="S325" s="31">
        <v>0</v>
      </c>
      <c r="T325" s="31">
        <v>0</v>
      </c>
      <c r="U325" s="31">
        <v>0</v>
      </c>
      <c r="V325" s="31">
        <v>0</v>
      </c>
      <c r="W325" s="31">
        <v>0</v>
      </c>
      <c r="X325" s="31">
        <v>0</v>
      </c>
      <c r="Y325" s="31">
        <v>0</v>
      </c>
      <c r="Z325" s="31">
        <v>0</v>
      </c>
      <c r="AA325" s="31">
        <v>0</v>
      </c>
      <c r="AB325" s="31">
        <v>0</v>
      </c>
      <c r="AC325" s="39">
        <v>11963.62</v>
      </c>
      <c r="AD325" s="31">
        <v>0</v>
      </c>
      <c r="AE325" s="31">
        <v>120000</v>
      </c>
      <c r="AF325" s="34" t="s">
        <v>270</v>
      </c>
      <c r="AG325" s="34">
        <v>2020</v>
      </c>
      <c r="AH325" s="35">
        <v>2020</v>
      </c>
      <c r="BZ325" s="71"/>
      <c r="CD325" s="20">
        <f t="shared" si="41"/>
        <v>275.39999999999998</v>
      </c>
    </row>
    <row r="326" spans="1:82" ht="61.5" x14ac:dyDescent="0.85">
      <c r="A326" s="20">
        <v>1</v>
      </c>
      <c r="B326" s="66">
        <f>SUBTOTAL(103,$A$22:A326)</f>
        <v>291</v>
      </c>
      <c r="C326" s="24" t="s">
        <v>1559</v>
      </c>
      <c r="D326" s="31">
        <f t="shared" si="55"/>
        <v>1654659.73</v>
      </c>
      <c r="E326" s="38">
        <v>0</v>
      </c>
      <c r="F326" s="38">
        <v>0</v>
      </c>
      <c r="G326" s="31">
        <v>0</v>
      </c>
      <c r="H326" s="38">
        <v>0</v>
      </c>
      <c r="I326" s="38">
        <v>0</v>
      </c>
      <c r="J326" s="38">
        <v>0</v>
      </c>
      <c r="K326" s="33">
        <v>0</v>
      </c>
      <c r="L326" s="31">
        <v>0</v>
      </c>
      <c r="M326" s="39">
        <v>344.5</v>
      </c>
      <c r="N326" s="39">
        <v>1511980.03</v>
      </c>
      <c r="O326" s="38">
        <v>0</v>
      </c>
      <c r="P326" s="38">
        <v>0</v>
      </c>
      <c r="Q326" s="31">
        <v>0</v>
      </c>
      <c r="R326" s="31">
        <v>0</v>
      </c>
      <c r="S326" s="31">
        <v>0</v>
      </c>
      <c r="T326" s="31">
        <v>0</v>
      </c>
      <c r="U326" s="31">
        <v>0</v>
      </c>
      <c r="V326" s="31">
        <v>0</v>
      </c>
      <c r="W326" s="31">
        <v>0</v>
      </c>
      <c r="X326" s="31">
        <v>0</v>
      </c>
      <c r="Y326" s="31">
        <v>0</v>
      </c>
      <c r="Z326" s="31">
        <v>0</v>
      </c>
      <c r="AA326" s="31">
        <v>0</v>
      </c>
      <c r="AB326" s="31">
        <v>0</v>
      </c>
      <c r="AC326" s="31">
        <f>ROUND(N326*1.5%,2)</f>
        <v>22679.7</v>
      </c>
      <c r="AD326" s="31">
        <v>0</v>
      </c>
      <c r="AE326" s="31">
        <v>120000</v>
      </c>
      <c r="AF326" s="34" t="s">
        <v>270</v>
      </c>
      <c r="AG326" s="34">
        <v>2020</v>
      </c>
      <c r="AH326" s="35">
        <v>2020</v>
      </c>
      <c r="BZ326" s="71"/>
      <c r="CD326" s="20">
        <f t="shared" si="41"/>
        <v>344.5</v>
      </c>
    </row>
    <row r="327" spans="1:82" ht="61.5" x14ac:dyDescent="0.85">
      <c r="B327" s="24" t="s">
        <v>830</v>
      </c>
      <c r="C327" s="108"/>
      <c r="D327" s="195">
        <f t="shared" ref="D327:AE327" si="56">SUM(D328:D343)</f>
        <v>23747458.66</v>
      </c>
      <c r="E327" s="31">
        <f t="shared" si="56"/>
        <v>0</v>
      </c>
      <c r="F327" s="31">
        <f t="shared" si="56"/>
        <v>0</v>
      </c>
      <c r="G327" s="31">
        <f t="shared" si="56"/>
        <v>0</v>
      </c>
      <c r="H327" s="31">
        <f t="shared" si="56"/>
        <v>0</v>
      </c>
      <c r="I327" s="31">
        <f t="shared" si="56"/>
        <v>2268467.9300000002</v>
      </c>
      <c r="J327" s="31">
        <f t="shared" si="56"/>
        <v>0</v>
      </c>
      <c r="K327" s="33">
        <f t="shared" si="56"/>
        <v>0</v>
      </c>
      <c r="L327" s="31">
        <f t="shared" si="56"/>
        <v>0</v>
      </c>
      <c r="M327" s="31">
        <f t="shared" si="56"/>
        <v>3629.08</v>
      </c>
      <c r="N327" s="31">
        <f t="shared" si="56"/>
        <v>14834560.67</v>
      </c>
      <c r="O327" s="31">
        <f t="shared" si="56"/>
        <v>0</v>
      </c>
      <c r="P327" s="31">
        <f t="shared" si="56"/>
        <v>0</v>
      </c>
      <c r="Q327" s="31">
        <f t="shared" si="56"/>
        <v>1432.5</v>
      </c>
      <c r="R327" s="31">
        <f t="shared" si="56"/>
        <v>5642738.6600000001</v>
      </c>
      <c r="S327" s="31">
        <f t="shared" si="56"/>
        <v>0</v>
      </c>
      <c r="T327" s="31">
        <f t="shared" si="56"/>
        <v>0</v>
      </c>
      <c r="U327" s="31">
        <f t="shared" si="56"/>
        <v>0</v>
      </c>
      <c r="V327" s="31">
        <f t="shared" si="56"/>
        <v>0</v>
      </c>
      <c r="W327" s="31">
        <f t="shared" si="56"/>
        <v>0</v>
      </c>
      <c r="X327" s="31">
        <f t="shared" si="56"/>
        <v>0</v>
      </c>
      <c r="Y327" s="31">
        <f t="shared" si="56"/>
        <v>0</v>
      </c>
      <c r="Z327" s="31">
        <f t="shared" si="56"/>
        <v>0</v>
      </c>
      <c r="AA327" s="31">
        <f t="shared" si="56"/>
        <v>0</v>
      </c>
      <c r="AB327" s="31">
        <f t="shared" si="56"/>
        <v>0</v>
      </c>
      <c r="AC327" s="31">
        <f t="shared" si="56"/>
        <v>340912.31</v>
      </c>
      <c r="AD327" s="31">
        <f t="shared" si="56"/>
        <v>540779.09</v>
      </c>
      <c r="AE327" s="31">
        <f t="shared" si="56"/>
        <v>120000</v>
      </c>
      <c r="AF327" s="72" t="s">
        <v>757</v>
      </c>
      <c r="AG327" s="72" t="s">
        <v>757</v>
      </c>
      <c r="AH327" s="87" t="s">
        <v>757</v>
      </c>
      <c r="AT327" s="20" t="e">
        <f t="shared" ref="AT327:AT333" si="57">VLOOKUP(C327,AW:AX,2,FALSE)</f>
        <v>#N/A</v>
      </c>
      <c r="BZ327" s="71">
        <v>38859598.050000004</v>
      </c>
      <c r="CB327" s="71">
        <f>BZ327-D327</f>
        <v>15112139.390000004</v>
      </c>
      <c r="CD327" s="20" t="e">
        <f t="shared" si="41"/>
        <v>#N/A</v>
      </c>
    </row>
    <row r="328" spans="1:82" ht="61.5" x14ac:dyDescent="0.85">
      <c r="A328" s="20">
        <v>1</v>
      </c>
      <c r="B328" s="66">
        <f>SUBTOTAL(103,$A$22:A328)</f>
        <v>292</v>
      </c>
      <c r="C328" s="24" t="s">
        <v>232</v>
      </c>
      <c r="D328" s="31">
        <f t="shared" ref="D328:D341" si="58">E328+F328+G328+H328+I328+J328+L328+N328+P328+R328+T328+U328+V328+W328+X328+Y328+Z328+AA328+AB328+AC328+AD328+AE328</f>
        <v>1420092.6900000002</v>
      </c>
      <c r="E328" s="31">
        <v>0</v>
      </c>
      <c r="F328" s="31">
        <v>0</v>
      </c>
      <c r="G328" s="31">
        <v>0</v>
      </c>
      <c r="H328" s="31">
        <v>0</v>
      </c>
      <c r="I328" s="31">
        <v>0</v>
      </c>
      <c r="J328" s="31">
        <v>0</v>
      </c>
      <c r="K328" s="33">
        <v>0</v>
      </c>
      <c r="L328" s="31">
        <v>0</v>
      </c>
      <c r="M328" s="39">
        <v>343</v>
      </c>
      <c r="N328" s="39">
        <v>1339821.01</v>
      </c>
      <c r="O328" s="31">
        <v>0</v>
      </c>
      <c r="P328" s="31">
        <v>0</v>
      </c>
      <c r="Q328" s="31">
        <v>0</v>
      </c>
      <c r="R328" s="31">
        <v>0</v>
      </c>
      <c r="S328" s="31">
        <v>0</v>
      </c>
      <c r="T328" s="31">
        <v>0</v>
      </c>
      <c r="U328" s="31">
        <v>0</v>
      </c>
      <c r="V328" s="31">
        <v>0</v>
      </c>
      <c r="W328" s="31">
        <v>0</v>
      </c>
      <c r="X328" s="31">
        <v>0</v>
      </c>
      <c r="Y328" s="31">
        <v>0</v>
      </c>
      <c r="Z328" s="31">
        <v>0</v>
      </c>
      <c r="AA328" s="31">
        <v>0</v>
      </c>
      <c r="AB328" s="31">
        <v>0</v>
      </c>
      <c r="AC328" s="31">
        <f>ROUND(N328*1.5%,2)</f>
        <v>20097.32</v>
      </c>
      <c r="AD328" s="179">
        <v>60174.36</v>
      </c>
      <c r="AE328" s="31">
        <v>0</v>
      </c>
      <c r="AF328" s="34">
        <v>2020</v>
      </c>
      <c r="AG328" s="34">
        <v>2020</v>
      </c>
      <c r="AH328" s="35">
        <v>2020</v>
      </c>
      <c r="AT328" s="20" t="e">
        <f t="shared" si="57"/>
        <v>#N/A</v>
      </c>
      <c r="BZ328" s="71"/>
      <c r="CD328" s="20" t="e">
        <f t="shared" si="41"/>
        <v>#N/A</v>
      </c>
    </row>
    <row r="329" spans="1:82" ht="61.5" x14ac:dyDescent="0.85">
      <c r="A329" s="20">
        <v>1</v>
      </c>
      <c r="B329" s="66">
        <f>SUBTOTAL(103,$A$22:A329)</f>
        <v>293</v>
      </c>
      <c r="C329" s="24" t="s">
        <v>234</v>
      </c>
      <c r="D329" s="31">
        <f t="shared" si="58"/>
        <v>93019.16</v>
      </c>
      <c r="E329" s="31">
        <v>0</v>
      </c>
      <c r="F329" s="31">
        <v>0</v>
      </c>
      <c r="G329" s="31">
        <v>0</v>
      </c>
      <c r="H329" s="31">
        <v>0</v>
      </c>
      <c r="I329" s="31">
        <v>0</v>
      </c>
      <c r="J329" s="31">
        <v>0</v>
      </c>
      <c r="K329" s="33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0</v>
      </c>
      <c r="Q329" s="31">
        <v>0</v>
      </c>
      <c r="R329" s="31">
        <v>0</v>
      </c>
      <c r="S329" s="31">
        <v>0</v>
      </c>
      <c r="T329" s="31">
        <v>0</v>
      </c>
      <c r="U329" s="31">
        <v>0</v>
      </c>
      <c r="V329" s="31">
        <v>0</v>
      </c>
      <c r="W329" s="31">
        <v>0</v>
      </c>
      <c r="X329" s="31">
        <v>0</v>
      </c>
      <c r="Y329" s="31">
        <v>0</v>
      </c>
      <c r="Z329" s="31">
        <v>0</v>
      </c>
      <c r="AA329" s="31">
        <v>0</v>
      </c>
      <c r="AB329" s="31">
        <v>0</v>
      </c>
      <c r="AC329" s="31">
        <f>ROUND(R329*1.5%,2)</f>
        <v>0</v>
      </c>
      <c r="AD329" s="31">
        <f>86368.66+6650.5</f>
        <v>93019.16</v>
      </c>
      <c r="AE329" s="31">
        <v>0</v>
      </c>
      <c r="AF329" s="34">
        <v>2020</v>
      </c>
      <c r="AG329" s="35" t="s">
        <v>270</v>
      </c>
      <c r="AH329" s="35" t="s">
        <v>270</v>
      </c>
      <c r="AT329" s="20" t="e">
        <f t="shared" si="57"/>
        <v>#N/A</v>
      </c>
      <c r="BZ329" s="71"/>
      <c r="CD329" s="20" t="e">
        <f t="shared" si="41"/>
        <v>#N/A</v>
      </c>
    </row>
    <row r="330" spans="1:82" ht="61.5" x14ac:dyDescent="0.85">
      <c r="A330" s="20">
        <v>1</v>
      </c>
      <c r="B330" s="66">
        <f>SUBTOTAL(103,$A$22:A330)</f>
        <v>294</v>
      </c>
      <c r="C330" s="24" t="s">
        <v>237</v>
      </c>
      <c r="D330" s="31">
        <f t="shared" si="58"/>
        <v>2317822.98</v>
      </c>
      <c r="E330" s="31">
        <v>0</v>
      </c>
      <c r="F330" s="31">
        <v>0</v>
      </c>
      <c r="G330" s="31">
        <v>0</v>
      </c>
      <c r="H330" s="31">
        <v>0</v>
      </c>
      <c r="I330" s="31">
        <v>0</v>
      </c>
      <c r="J330" s="31">
        <v>0</v>
      </c>
      <c r="K330" s="33">
        <v>0</v>
      </c>
      <c r="L330" s="31">
        <v>0</v>
      </c>
      <c r="M330" s="31">
        <v>464.3</v>
      </c>
      <c r="N330" s="31">
        <v>2214709.36</v>
      </c>
      <c r="O330" s="31">
        <v>0</v>
      </c>
      <c r="P330" s="31">
        <v>0</v>
      </c>
      <c r="Q330" s="31">
        <v>0</v>
      </c>
      <c r="R330" s="31">
        <v>0</v>
      </c>
      <c r="S330" s="31">
        <v>0</v>
      </c>
      <c r="T330" s="31">
        <v>0</v>
      </c>
      <c r="U330" s="31">
        <v>0</v>
      </c>
      <c r="V330" s="31">
        <v>0</v>
      </c>
      <c r="W330" s="31">
        <v>0</v>
      </c>
      <c r="X330" s="31">
        <v>0</v>
      </c>
      <c r="Y330" s="31">
        <v>0</v>
      </c>
      <c r="Z330" s="31">
        <v>0</v>
      </c>
      <c r="AA330" s="31">
        <v>0</v>
      </c>
      <c r="AB330" s="31">
        <v>0</v>
      </c>
      <c r="AC330" s="31">
        <f>ROUND(N330*1.5%,2)</f>
        <v>33220.639999999999</v>
      </c>
      <c r="AD330" s="179">
        <v>69892.98</v>
      </c>
      <c r="AE330" s="31">
        <v>0</v>
      </c>
      <c r="AF330" s="34">
        <v>2020</v>
      </c>
      <c r="AG330" s="34">
        <v>2020</v>
      </c>
      <c r="AH330" s="35">
        <v>2020</v>
      </c>
      <c r="AT330" s="20" t="e">
        <f t="shared" si="57"/>
        <v>#N/A</v>
      </c>
      <c r="BZ330" s="71"/>
      <c r="CD330" s="20" t="e">
        <f t="shared" si="41"/>
        <v>#N/A</v>
      </c>
    </row>
    <row r="331" spans="1:82" ht="61.5" x14ac:dyDescent="0.85">
      <c r="A331" s="20">
        <v>1</v>
      </c>
      <c r="B331" s="66">
        <f>SUBTOTAL(103,$A$22:A331)</f>
        <v>295</v>
      </c>
      <c r="C331" s="24" t="s">
        <v>238</v>
      </c>
      <c r="D331" s="31">
        <f t="shared" si="58"/>
        <v>48252.34</v>
      </c>
      <c r="E331" s="31">
        <v>0</v>
      </c>
      <c r="F331" s="31">
        <v>0</v>
      </c>
      <c r="G331" s="31">
        <v>0</v>
      </c>
      <c r="H331" s="31">
        <v>0</v>
      </c>
      <c r="I331" s="31">
        <v>0</v>
      </c>
      <c r="J331" s="31">
        <v>0</v>
      </c>
      <c r="K331" s="33">
        <v>0</v>
      </c>
      <c r="L331" s="31">
        <v>0</v>
      </c>
      <c r="M331" s="31">
        <v>0</v>
      </c>
      <c r="N331" s="31">
        <v>0</v>
      </c>
      <c r="O331" s="31">
        <v>0</v>
      </c>
      <c r="P331" s="31">
        <v>0</v>
      </c>
      <c r="Q331" s="31">
        <v>0</v>
      </c>
      <c r="R331" s="31">
        <v>0</v>
      </c>
      <c r="S331" s="31">
        <v>0</v>
      </c>
      <c r="T331" s="31">
        <v>0</v>
      </c>
      <c r="U331" s="31">
        <v>0</v>
      </c>
      <c r="V331" s="31">
        <v>0</v>
      </c>
      <c r="W331" s="31">
        <v>0</v>
      </c>
      <c r="X331" s="31">
        <v>0</v>
      </c>
      <c r="Y331" s="31">
        <v>0</v>
      </c>
      <c r="Z331" s="31">
        <v>0</v>
      </c>
      <c r="AA331" s="31">
        <v>0</v>
      </c>
      <c r="AB331" s="31">
        <v>0</v>
      </c>
      <c r="AC331" s="31">
        <f>ROUND(N331*1.5%,2)</f>
        <v>0</v>
      </c>
      <c r="AD331" s="39">
        <v>48252.34</v>
      </c>
      <c r="AE331" s="31">
        <v>0</v>
      </c>
      <c r="AF331" s="34">
        <v>2020</v>
      </c>
      <c r="AG331" s="35" t="s">
        <v>270</v>
      </c>
      <c r="AH331" s="35" t="s">
        <v>270</v>
      </c>
      <c r="AT331" s="20" t="e">
        <f t="shared" si="57"/>
        <v>#N/A</v>
      </c>
      <c r="BZ331" s="71"/>
      <c r="CD331" s="20" t="e">
        <f t="shared" ref="CD331:CD394" si="59">VLOOKUP(C331,CE:CF,2,FALSE)</f>
        <v>#N/A</v>
      </c>
    </row>
    <row r="332" spans="1:82" ht="61.5" x14ac:dyDescent="0.85">
      <c r="A332" s="20">
        <v>1</v>
      </c>
      <c r="B332" s="66">
        <f>SUBTOTAL(103,$A$22:A332)</f>
        <v>296</v>
      </c>
      <c r="C332" s="24" t="s">
        <v>233</v>
      </c>
      <c r="D332" s="31">
        <f t="shared" si="58"/>
        <v>1368172.96</v>
      </c>
      <c r="E332" s="31">
        <v>0</v>
      </c>
      <c r="F332" s="31">
        <v>0</v>
      </c>
      <c r="G332" s="31">
        <v>0</v>
      </c>
      <c r="H332" s="31">
        <v>0</v>
      </c>
      <c r="I332" s="31">
        <v>0</v>
      </c>
      <c r="J332" s="31">
        <v>0</v>
      </c>
      <c r="K332" s="33">
        <v>0</v>
      </c>
      <c r="L332" s="31">
        <v>0</v>
      </c>
      <c r="M332" s="39">
        <v>296.32</v>
      </c>
      <c r="N332" s="39">
        <v>1291319.8999999999</v>
      </c>
      <c r="O332" s="31">
        <v>0</v>
      </c>
      <c r="P332" s="31">
        <v>0</v>
      </c>
      <c r="Q332" s="31">
        <v>0</v>
      </c>
      <c r="R332" s="31">
        <v>0</v>
      </c>
      <c r="S332" s="31">
        <v>0</v>
      </c>
      <c r="T332" s="31">
        <v>0</v>
      </c>
      <c r="U332" s="31">
        <v>0</v>
      </c>
      <c r="V332" s="31">
        <v>0</v>
      </c>
      <c r="W332" s="31">
        <v>0</v>
      </c>
      <c r="X332" s="31">
        <v>0</v>
      </c>
      <c r="Y332" s="31">
        <v>0</v>
      </c>
      <c r="Z332" s="31">
        <v>0</v>
      </c>
      <c r="AA332" s="31">
        <v>0</v>
      </c>
      <c r="AB332" s="31">
        <v>0</v>
      </c>
      <c r="AC332" s="31">
        <f>ROUND(N332*1.5%,2)</f>
        <v>19369.8</v>
      </c>
      <c r="AD332" s="179">
        <v>57483.26</v>
      </c>
      <c r="AE332" s="31">
        <v>0</v>
      </c>
      <c r="AF332" s="34">
        <v>2020</v>
      </c>
      <c r="AG332" s="34">
        <v>2020</v>
      </c>
      <c r="AH332" s="35">
        <v>2020</v>
      </c>
      <c r="AT332" s="20" t="e">
        <f t="shared" si="57"/>
        <v>#N/A</v>
      </c>
      <c r="BZ332" s="71"/>
      <c r="CD332" s="20" t="e">
        <f t="shared" si="59"/>
        <v>#N/A</v>
      </c>
    </row>
    <row r="333" spans="1:82" ht="61.5" x14ac:dyDescent="0.85">
      <c r="A333" s="20">
        <v>1</v>
      </c>
      <c r="B333" s="66">
        <f>SUBTOTAL(103,$A$22:A333)</f>
        <v>297</v>
      </c>
      <c r="C333" s="24" t="s">
        <v>240</v>
      </c>
      <c r="D333" s="31">
        <f t="shared" si="58"/>
        <v>82017.66</v>
      </c>
      <c r="E333" s="31">
        <v>0</v>
      </c>
      <c r="F333" s="31">
        <v>0</v>
      </c>
      <c r="G333" s="31">
        <v>0</v>
      </c>
      <c r="H333" s="31">
        <v>0</v>
      </c>
      <c r="I333" s="31">
        <v>0</v>
      </c>
      <c r="J333" s="31">
        <v>0</v>
      </c>
      <c r="K333" s="33">
        <v>0</v>
      </c>
      <c r="L333" s="31">
        <v>0</v>
      </c>
      <c r="M333" s="31">
        <v>0</v>
      </c>
      <c r="N333" s="31">
        <v>0</v>
      </c>
      <c r="O333" s="31">
        <v>0</v>
      </c>
      <c r="P333" s="31">
        <v>0</v>
      </c>
      <c r="Q333" s="31">
        <v>0</v>
      </c>
      <c r="R333" s="31">
        <v>0</v>
      </c>
      <c r="S333" s="31">
        <v>0</v>
      </c>
      <c r="T333" s="31">
        <v>0</v>
      </c>
      <c r="U333" s="31">
        <v>0</v>
      </c>
      <c r="V333" s="31">
        <v>0</v>
      </c>
      <c r="W333" s="31">
        <v>0</v>
      </c>
      <c r="X333" s="31">
        <v>0</v>
      </c>
      <c r="Y333" s="31">
        <v>0</v>
      </c>
      <c r="Z333" s="31">
        <v>0</v>
      </c>
      <c r="AA333" s="31">
        <v>0</v>
      </c>
      <c r="AB333" s="31">
        <v>0</v>
      </c>
      <c r="AC333" s="31">
        <f>ROUND(N333*1.5%,2)</f>
        <v>0</v>
      </c>
      <c r="AD333" s="39">
        <v>82017.66</v>
      </c>
      <c r="AE333" s="31">
        <v>0</v>
      </c>
      <c r="AF333" s="34">
        <v>2020</v>
      </c>
      <c r="AG333" s="35" t="s">
        <v>270</v>
      </c>
      <c r="AH333" s="35" t="s">
        <v>270</v>
      </c>
      <c r="AT333" s="20" t="e">
        <f t="shared" si="57"/>
        <v>#N/A</v>
      </c>
      <c r="BZ333" s="71"/>
      <c r="CD333" s="20" t="e">
        <f t="shared" si="59"/>
        <v>#N/A</v>
      </c>
    </row>
    <row r="334" spans="1:82" ht="61.5" x14ac:dyDescent="0.85">
      <c r="A334" s="20">
        <v>1</v>
      </c>
      <c r="B334" s="66">
        <f>SUBTOTAL(103,$A$22:A334)</f>
        <v>298</v>
      </c>
      <c r="C334" s="24" t="s">
        <v>1216</v>
      </c>
      <c r="D334" s="31">
        <f t="shared" si="58"/>
        <v>2822499.7699999996</v>
      </c>
      <c r="E334" s="38">
        <v>0</v>
      </c>
      <c r="F334" s="38">
        <v>0</v>
      </c>
      <c r="G334" s="31">
        <v>0</v>
      </c>
      <c r="H334" s="38">
        <v>0</v>
      </c>
      <c r="I334" s="38">
        <v>0</v>
      </c>
      <c r="J334" s="38">
        <v>0</v>
      </c>
      <c r="K334" s="74">
        <v>0</v>
      </c>
      <c r="L334" s="31">
        <v>0</v>
      </c>
      <c r="M334" s="31">
        <v>0</v>
      </c>
      <c r="N334" s="31">
        <v>0</v>
      </c>
      <c r="O334" s="38">
        <v>0</v>
      </c>
      <c r="P334" s="38">
        <v>0</v>
      </c>
      <c r="Q334" s="31">
        <v>677.5</v>
      </c>
      <c r="R334" s="31">
        <f>2715326.82+65461.13</f>
        <v>2780787.9499999997</v>
      </c>
      <c r="S334" s="31">
        <v>0</v>
      </c>
      <c r="T334" s="31">
        <v>0</v>
      </c>
      <c r="U334" s="31">
        <v>0</v>
      </c>
      <c r="V334" s="31">
        <v>0</v>
      </c>
      <c r="W334" s="31">
        <v>0</v>
      </c>
      <c r="X334" s="31">
        <v>0</v>
      </c>
      <c r="Y334" s="31">
        <v>0</v>
      </c>
      <c r="Z334" s="31">
        <v>0</v>
      </c>
      <c r="AA334" s="31">
        <v>0</v>
      </c>
      <c r="AB334" s="31">
        <v>0</v>
      </c>
      <c r="AC334" s="31">
        <f>ROUND(R334*1.5%,2)</f>
        <v>41711.82</v>
      </c>
      <c r="AD334" s="31">
        <v>0</v>
      </c>
      <c r="AE334" s="31">
        <v>0</v>
      </c>
      <c r="AF334" s="34" t="s">
        <v>270</v>
      </c>
      <c r="AG334" s="34">
        <v>2020</v>
      </c>
      <c r="AH334" s="35">
        <v>2020</v>
      </c>
      <c r="BZ334" s="71"/>
      <c r="CD334" s="20" t="e">
        <f t="shared" si="59"/>
        <v>#N/A</v>
      </c>
    </row>
    <row r="335" spans="1:82" ht="61.5" x14ac:dyDescent="0.85">
      <c r="A335" s="20">
        <v>1</v>
      </c>
      <c r="B335" s="66">
        <f>SUBTOTAL(103,$A$22:A335)</f>
        <v>299</v>
      </c>
      <c r="C335" s="24" t="s">
        <v>1217</v>
      </c>
      <c r="D335" s="31">
        <f t="shared" si="58"/>
        <v>2302494.9500000002</v>
      </c>
      <c r="E335" s="38">
        <v>0</v>
      </c>
      <c r="F335" s="38">
        <v>0</v>
      </c>
      <c r="G335" s="31">
        <v>0</v>
      </c>
      <c r="H335" s="38">
        <v>0</v>
      </c>
      <c r="I335" s="39">
        <v>2268467.9300000002</v>
      </c>
      <c r="J335" s="38">
        <v>0</v>
      </c>
      <c r="K335" s="33">
        <v>0</v>
      </c>
      <c r="L335" s="31">
        <v>0</v>
      </c>
      <c r="M335" s="31">
        <v>0</v>
      </c>
      <c r="N335" s="31">
        <v>0</v>
      </c>
      <c r="O335" s="38">
        <v>0</v>
      </c>
      <c r="P335" s="38">
        <v>0</v>
      </c>
      <c r="Q335" s="31">
        <v>0</v>
      </c>
      <c r="R335" s="31">
        <v>0</v>
      </c>
      <c r="S335" s="31">
        <v>0</v>
      </c>
      <c r="T335" s="31">
        <v>0</v>
      </c>
      <c r="U335" s="31">
        <v>0</v>
      </c>
      <c r="V335" s="31">
        <v>0</v>
      </c>
      <c r="W335" s="31">
        <v>0</v>
      </c>
      <c r="X335" s="31">
        <v>0</v>
      </c>
      <c r="Y335" s="31">
        <v>0</v>
      </c>
      <c r="Z335" s="31">
        <v>0</v>
      </c>
      <c r="AA335" s="31">
        <v>0</v>
      </c>
      <c r="AB335" s="31">
        <v>0</v>
      </c>
      <c r="AC335" s="31">
        <f>ROUND((E335+F335+G335+H335+I335+J335)*1.5%,2)</f>
        <v>34027.019999999997</v>
      </c>
      <c r="AD335" s="31">
        <v>0</v>
      </c>
      <c r="AE335" s="31">
        <v>0</v>
      </c>
      <c r="AF335" s="34" t="s">
        <v>270</v>
      </c>
      <c r="AG335" s="34">
        <v>2020</v>
      </c>
      <c r="AH335" s="35">
        <v>2020</v>
      </c>
      <c r="BZ335" s="71"/>
      <c r="CD335" s="20" t="e">
        <f t="shared" si="59"/>
        <v>#N/A</v>
      </c>
    </row>
    <row r="336" spans="1:82" ht="61.5" x14ac:dyDescent="0.85">
      <c r="A336" s="20">
        <v>1</v>
      </c>
      <c r="B336" s="66">
        <f>SUBTOTAL(103,$A$22:A336)</f>
        <v>300</v>
      </c>
      <c r="C336" s="24" t="s">
        <v>1218</v>
      </c>
      <c r="D336" s="31">
        <f t="shared" si="58"/>
        <v>2904879.9699999997</v>
      </c>
      <c r="E336" s="38">
        <v>0</v>
      </c>
      <c r="F336" s="38">
        <v>0</v>
      </c>
      <c r="G336" s="31">
        <v>0</v>
      </c>
      <c r="H336" s="38">
        <v>0</v>
      </c>
      <c r="I336" s="38">
        <v>0</v>
      </c>
      <c r="J336" s="38">
        <v>0</v>
      </c>
      <c r="K336" s="33">
        <v>0</v>
      </c>
      <c r="L336" s="31">
        <v>0</v>
      </c>
      <c r="M336" s="31">
        <v>0</v>
      </c>
      <c r="N336" s="31">
        <v>0</v>
      </c>
      <c r="O336" s="38">
        <v>0</v>
      </c>
      <c r="P336" s="38">
        <v>0</v>
      </c>
      <c r="Q336" s="39">
        <v>755</v>
      </c>
      <c r="R336" s="39">
        <v>2861950.71</v>
      </c>
      <c r="S336" s="31">
        <v>0</v>
      </c>
      <c r="T336" s="31">
        <v>0</v>
      </c>
      <c r="U336" s="31">
        <v>0</v>
      </c>
      <c r="V336" s="31">
        <v>0</v>
      </c>
      <c r="W336" s="31">
        <v>0</v>
      </c>
      <c r="X336" s="31">
        <v>0</v>
      </c>
      <c r="Y336" s="31">
        <v>0</v>
      </c>
      <c r="Z336" s="31">
        <v>0</v>
      </c>
      <c r="AA336" s="31">
        <v>0</v>
      </c>
      <c r="AB336" s="31">
        <v>0</v>
      </c>
      <c r="AC336" s="31">
        <f>ROUND(R336*1.5%,2)</f>
        <v>42929.26</v>
      </c>
      <c r="AD336" s="31">
        <v>0</v>
      </c>
      <c r="AE336" s="31">
        <v>0</v>
      </c>
      <c r="AF336" s="34" t="s">
        <v>270</v>
      </c>
      <c r="AG336" s="34">
        <v>2020</v>
      </c>
      <c r="AH336" s="35">
        <v>2020</v>
      </c>
      <c r="BZ336" s="71"/>
      <c r="CD336" s="20" t="e">
        <f t="shared" si="59"/>
        <v>#N/A</v>
      </c>
    </row>
    <row r="337" spans="1:82" ht="61.5" x14ac:dyDescent="0.85">
      <c r="A337" s="20">
        <v>1</v>
      </c>
      <c r="B337" s="66">
        <f>SUBTOTAL(103,$A$22:A337)</f>
        <v>301</v>
      </c>
      <c r="C337" s="24" t="s">
        <v>1221</v>
      </c>
      <c r="D337" s="31">
        <f t="shared" si="58"/>
        <v>1882894.5999999999</v>
      </c>
      <c r="E337" s="38">
        <v>0</v>
      </c>
      <c r="F337" s="38">
        <v>0</v>
      </c>
      <c r="G337" s="31">
        <v>0</v>
      </c>
      <c r="H337" s="38">
        <v>0</v>
      </c>
      <c r="I337" s="38">
        <v>0</v>
      </c>
      <c r="J337" s="38">
        <v>0</v>
      </c>
      <c r="K337" s="33">
        <v>0</v>
      </c>
      <c r="L337" s="31">
        <v>0</v>
      </c>
      <c r="M337" s="31">
        <v>374.3</v>
      </c>
      <c r="N337" s="31">
        <f>1642957.31+93884.66</f>
        <v>1736841.97</v>
      </c>
      <c r="O337" s="38">
        <v>0</v>
      </c>
      <c r="P337" s="38">
        <v>0</v>
      </c>
      <c r="Q337" s="31">
        <v>0</v>
      </c>
      <c r="R337" s="31">
        <v>0</v>
      </c>
      <c r="S337" s="31">
        <v>0</v>
      </c>
      <c r="T337" s="31">
        <v>0</v>
      </c>
      <c r="U337" s="31">
        <v>0</v>
      </c>
      <c r="V337" s="31">
        <v>0</v>
      </c>
      <c r="W337" s="31">
        <v>0</v>
      </c>
      <c r="X337" s="31">
        <v>0</v>
      </c>
      <c r="Y337" s="31">
        <v>0</v>
      </c>
      <c r="Z337" s="31">
        <v>0</v>
      </c>
      <c r="AA337" s="31">
        <v>0</v>
      </c>
      <c r="AB337" s="31">
        <v>0</v>
      </c>
      <c r="AC337" s="31">
        <f>ROUND(N337*1.5%,2)</f>
        <v>26052.63</v>
      </c>
      <c r="AD337" s="31">
        <v>0</v>
      </c>
      <c r="AE337" s="31">
        <v>120000</v>
      </c>
      <c r="AF337" s="34" t="s">
        <v>270</v>
      </c>
      <c r="AG337" s="34">
        <v>2020</v>
      </c>
      <c r="AH337" s="35">
        <v>2020</v>
      </c>
      <c r="BZ337" s="71"/>
      <c r="CD337" s="20">
        <f t="shared" si="59"/>
        <v>374.3</v>
      </c>
    </row>
    <row r="338" spans="1:82" ht="61.5" x14ac:dyDescent="0.85">
      <c r="A338" s="20">
        <v>1</v>
      </c>
      <c r="B338" s="66">
        <f>SUBTOTAL(103,$A$22:A338)</f>
        <v>302</v>
      </c>
      <c r="C338" s="24" t="s">
        <v>1542</v>
      </c>
      <c r="D338" s="31">
        <f t="shared" si="58"/>
        <v>1422597.9100000001</v>
      </c>
      <c r="E338" s="38">
        <v>0</v>
      </c>
      <c r="F338" s="38">
        <v>0</v>
      </c>
      <c r="G338" s="31">
        <v>0</v>
      </c>
      <c r="H338" s="38">
        <v>0</v>
      </c>
      <c r="I338" s="38">
        <v>0</v>
      </c>
      <c r="J338" s="38">
        <v>0</v>
      </c>
      <c r="K338" s="33">
        <v>0</v>
      </c>
      <c r="L338" s="31">
        <v>0</v>
      </c>
      <c r="M338" s="39">
        <v>327.87</v>
      </c>
      <c r="N338" s="179">
        <v>1401677.87</v>
      </c>
      <c r="O338" s="38">
        <v>0</v>
      </c>
      <c r="P338" s="38">
        <v>0</v>
      </c>
      <c r="Q338" s="31">
        <v>0</v>
      </c>
      <c r="R338" s="31">
        <v>0</v>
      </c>
      <c r="S338" s="31">
        <v>0</v>
      </c>
      <c r="T338" s="31">
        <v>0</v>
      </c>
      <c r="U338" s="31">
        <v>0</v>
      </c>
      <c r="V338" s="31">
        <v>0</v>
      </c>
      <c r="W338" s="31">
        <v>0</v>
      </c>
      <c r="X338" s="31">
        <v>0</v>
      </c>
      <c r="Y338" s="31">
        <v>0</v>
      </c>
      <c r="Z338" s="31">
        <v>0</v>
      </c>
      <c r="AA338" s="31">
        <v>0</v>
      </c>
      <c r="AB338" s="31">
        <v>0</v>
      </c>
      <c r="AC338" s="39">
        <v>20920.04</v>
      </c>
      <c r="AD338" s="31">
        <v>0</v>
      </c>
      <c r="AE338" s="31">
        <v>0</v>
      </c>
      <c r="AF338" s="34" t="s">
        <v>270</v>
      </c>
      <c r="AG338" s="34">
        <v>2020</v>
      </c>
      <c r="AH338" s="35">
        <v>2020</v>
      </c>
      <c r="BZ338" s="71"/>
      <c r="CD338" s="20">
        <f t="shared" si="59"/>
        <v>329.1</v>
      </c>
    </row>
    <row r="339" spans="1:82" ht="61.5" x14ac:dyDescent="0.85">
      <c r="A339" s="20">
        <v>1</v>
      </c>
      <c r="B339" s="66">
        <f>SUBTOTAL(103,$A$22:A339)</f>
        <v>303</v>
      </c>
      <c r="C339" s="24" t="s">
        <v>1543</v>
      </c>
      <c r="D339" s="31">
        <f t="shared" si="58"/>
        <v>2288055.7799999998</v>
      </c>
      <c r="E339" s="38">
        <v>0</v>
      </c>
      <c r="F339" s="38">
        <v>0</v>
      </c>
      <c r="G339" s="31">
        <v>0</v>
      </c>
      <c r="H339" s="38">
        <v>0</v>
      </c>
      <c r="I339" s="38">
        <v>0</v>
      </c>
      <c r="J339" s="38">
        <v>0</v>
      </c>
      <c r="K339" s="33">
        <v>0</v>
      </c>
      <c r="L339" s="31">
        <v>0</v>
      </c>
      <c r="M339" s="39">
        <v>600.53</v>
      </c>
      <c r="N339" s="39">
        <v>2254408.73</v>
      </c>
      <c r="O339" s="38">
        <v>0</v>
      </c>
      <c r="P339" s="38">
        <v>0</v>
      </c>
      <c r="Q339" s="31">
        <v>0</v>
      </c>
      <c r="R339" s="31">
        <v>0</v>
      </c>
      <c r="S339" s="31">
        <v>0</v>
      </c>
      <c r="T339" s="31">
        <v>0</v>
      </c>
      <c r="U339" s="31">
        <v>0</v>
      </c>
      <c r="V339" s="31">
        <v>0</v>
      </c>
      <c r="W339" s="31">
        <v>0</v>
      </c>
      <c r="X339" s="31">
        <v>0</v>
      </c>
      <c r="Y339" s="31">
        <v>0</v>
      </c>
      <c r="Z339" s="31">
        <v>0</v>
      </c>
      <c r="AA339" s="31">
        <v>0</v>
      </c>
      <c r="AB339" s="31">
        <v>0</v>
      </c>
      <c r="AC339" s="39">
        <v>33647.050000000003</v>
      </c>
      <c r="AD339" s="31">
        <v>0</v>
      </c>
      <c r="AE339" s="31">
        <v>0</v>
      </c>
      <c r="AF339" s="34" t="s">
        <v>270</v>
      </c>
      <c r="AG339" s="34">
        <v>2020</v>
      </c>
      <c r="AH339" s="35">
        <v>2020</v>
      </c>
      <c r="BZ339" s="71"/>
      <c r="CD339" s="20">
        <f t="shared" si="59"/>
        <v>611</v>
      </c>
    </row>
    <row r="340" spans="1:82" ht="61.5" x14ac:dyDescent="0.85">
      <c r="A340" s="20">
        <v>1</v>
      </c>
      <c r="B340" s="66">
        <f>SUBTOTAL(103,$A$22:A340)</f>
        <v>304</v>
      </c>
      <c r="C340" s="24" t="s">
        <v>1557</v>
      </c>
      <c r="D340" s="31">
        <f t="shared" si="58"/>
        <v>2360181.94</v>
      </c>
      <c r="E340" s="38">
        <v>0</v>
      </c>
      <c r="F340" s="38">
        <v>0</v>
      </c>
      <c r="G340" s="31">
        <v>0</v>
      </c>
      <c r="H340" s="38">
        <v>0</v>
      </c>
      <c r="I340" s="38">
        <v>0</v>
      </c>
      <c r="J340" s="38">
        <v>0</v>
      </c>
      <c r="K340" s="33">
        <v>0</v>
      </c>
      <c r="L340" s="31">
        <v>0</v>
      </c>
      <c r="M340" s="39">
        <v>630.69000000000005</v>
      </c>
      <c r="N340" s="39">
        <v>2325302.4</v>
      </c>
      <c r="O340" s="38">
        <v>0</v>
      </c>
      <c r="P340" s="38">
        <v>0</v>
      </c>
      <c r="Q340" s="31">
        <v>0</v>
      </c>
      <c r="R340" s="31">
        <v>0</v>
      </c>
      <c r="S340" s="31">
        <v>0</v>
      </c>
      <c r="T340" s="31">
        <v>0</v>
      </c>
      <c r="U340" s="31">
        <v>0</v>
      </c>
      <c r="V340" s="31">
        <v>0</v>
      </c>
      <c r="W340" s="31">
        <v>0</v>
      </c>
      <c r="X340" s="31">
        <v>0</v>
      </c>
      <c r="Y340" s="31">
        <v>0</v>
      </c>
      <c r="Z340" s="31">
        <v>0</v>
      </c>
      <c r="AA340" s="31">
        <v>0</v>
      </c>
      <c r="AB340" s="31">
        <v>0</v>
      </c>
      <c r="AC340" s="31">
        <f>ROUND(N340*1.5%,2)</f>
        <v>34879.54</v>
      </c>
      <c r="AD340" s="31">
        <v>0</v>
      </c>
      <c r="AE340" s="31">
        <v>0</v>
      </c>
      <c r="AF340" s="34" t="s">
        <v>270</v>
      </c>
      <c r="AG340" s="34">
        <v>2020</v>
      </c>
      <c r="AH340" s="35">
        <v>2020</v>
      </c>
      <c r="BZ340" s="71"/>
      <c r="CD340" s="20">
        <f t="shared" si="59"/>
        <v>606</v>
      </c>
    </row>
    <row r="341" spans="1:82" ht="61.5" x14ac:dyDescent="0.85">
      <c r="A341" s="20">
        <v>1</v>
      </c>
      <c r="B341" s="66">
        <f>SUBTOTAL(103,$A$22:A341)</f>
        <v>305</v>
      </c>
      <c r="C341" s="24" t="s">
        <v>1558</v>
      </c>
      <c r="D341" s="31">
        <f t="shared" si="58"/>
        <v>2304536.62</v>
      </c>
      <c r="E341" s="38">
        <v>0</v>
      </c>
      <c r="F341" s="38">
        <v>0</v>
      </c>
      <c r="G341" s="31">
        <v>0</v>
      </c>
      <c r="H341" s="38">
        <v>0</v>
      </c>
      <c r="I341" s="38">
        <v>0</v>
      </c>
      <c r="J341" s="38">
        <v>0</v>
      </c>
      <c r="K341" s="33">
        <v>0</v>
      </c>
      <c r="L341" s="31">
        <v>0</v>
      </c>
      <c r="M341" s="39">
        <v>592.07000000000005</v>
      </c>
      <c r="N341" s="39">
        <v>2270479.4300000002</v>
      </c>
      <c r="O341" s="38">
        <v>0</v>
      </c>
      <c r="P341" s="38">
        <v>0</v>
      </c>
      <c r="Q341" s="31">
        <v>0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  <c r="Y341" s="31">
        <v>0</v>
      </c>
      <c r="Z341" s="31">
        <v>0</v>
      </c>
      <c r="AA341" s="31">
        <v>0</v>
      </c>
      <c r="AB341" s="31">
        <v>0</v>
      </c>
      <c r="AC341" s="31">
        <f>ROUND(N341*1.5%,2)</f>
        <v>34057.19</v>
      </c>
      <c r="AD341" s="31">
        <v>0</v>
      </c>
      <c r="AE341" s="31">
        <v>0</v>
      </c>
      <c r="AF341" s="34" t="s">
        <v>270</v>
      </c>
      <c r="AG341" s="34">
        <v>2020</v>
      </c>
      <c r="AH341" s="35">
        <v>2020</v>
      </c>
      <c r="BZ341" s="71"/>
      <c r="CD341" s="20">
        <f t="shared" si="59"/>
        <v>592.07000000000005</v>
      </c>
    </row>
    <row r="342" spans="1:82" ht="61.5" x14ac:dyDescent="0.85">
      <c r="A342" s="20">
        <v>1</v>
      </c>
      <c r="B342" s="66">
        <f>SUBTOTAL(103,$A$22:A342)</f>
        <v>306</v>
      </c>
      <c r="C342" s="24" t="s">
        <v>1594</v>
      </c>
      <c r="D342" s="31">
        <f t="shared" ref="D342" si="60">E342+F342+G342+H342+I342+J342+L342+N342+P342+R342+T342+U342+V342+W342+X342+Y342+Z342+AA342+AB342+AC342+AD342+AE342</f>
        <v>40603.629999999997</v>
      </c>
      <c r="E342" s="38">
        <v>0</v>
      </c>
      <c r="F342" s="38">
        <v>0</v>
      </c>
      <c r="G342" s="31">
        <v>0</v>
      </c>
      <c r="H342" s="38">
        <v>0</v>
      </c>
      <c r="I342" s="38">
        <v>0</v>
      </c>
      <c r="J342" s="38">
        <v>0</v>
      </c>
      <c r="K342" s="33">
        <v>0</v>
      </c>
      <c r="L342" s="31">
        <v>0</v>
      </c>
      <c r="M342" s="31">
        <v>0</v>
      </c>
      <c r="N342" s="31">
        <v>0</v>
      </c>
      <c r="O342" s="38">
        <v>0</v>
      </c>
      <c r="P342" s="38">
        <v>0</v>
      </c>
      <c r="Q342" s="31">
        <v>0</v>
      </c>
      <c r="R342" s="31">
        <v>0</v>
      </c>
      <c r="S342" s="31">
        <v>0</v>
      </c>
      <c r="T342" s="31">
        <v>0</v>
      </c>
      <c r="U342" s="31">
        <v>0</v>
      </c>
      <c r="V342" s="31">
        <v>0</v>
      </c>
      <c r="W342" s="31">
        <v>0</v>
      </c>
      <c r="X342" s="31">
        <v>0</v>
      </c>
      <c r="Y342" s="31">
        <v>0</v>
      </c>
      <c r="Z342" s="31">
        <v>0</v>
      </c>
      <c r="AA342" s="31">
        <v>0</v>
      </c>
      <c r="AB342" s="31">
        <v>0</v>
      </c>
      <c r="AC342" s="31">
        <f>ROUND(R342*1.5%,2)</f>
        <v>0</v>
      </c>
      <c r="AD342" s="31">
        <v>40603.629999999997</v>
      </c>
      <c r="AE342" s="31">
        <v>0</v>
      </c>
      <c r="AF342" s="34">
        <v>2020</v>
      </c>
      <c r="AG342" s="35" t="s">
        <v>270</v>
      </c>
      <c r="AH342" s="35" t="s">
        <v>270</v>
      </c>
      <c r="BZ342" s="71"/>
      <c r="CD342" s="20" t="e">
        <f t="shared" si="59"/>
        <v>#N/A</v>
      </c>
    </row>
    <row r="343" spans="1:82" ht="61.5" x14ac:dyDescent="0.85">
      <c r="A343" s="20">
        <v>1</v>
      </c>
      <c r="B343" s="66">
        <f>SUBTOTAL(103,$A$22:A343)</f>
        <v>307</v>
      </c>
      <c r="C343" s="24" t="s">
        <v>1219</v>
      </c>
      <c r="D343" s="31">
        <f>E343+F343+G343+H343+I343+J343+L343+N343+P343+R343+T343+U343+V343+W343+X343+Y343+Z343+AA343+AB343+AC343+AD343+AE343</f>
        <v>89335.7</v>
      </c>
      <c r="E343" s="38">
        <v>0</v>
      </c>
      <c r="F343" s="38">
        <v>0</v>
      </c>
      <c r="G343" s="31">
        <v>0</v>
      </c>
      <c r="H343" s="38">
        <v>0</v>
      </c>
      <c r="I343" s="38">
        <v>0</v>
      </c>
      <c r="J343" s="38">
        <v>0</v>
      </c>
      <c r="K343" s="74">
        <v>0</v>
      </c>
      <c r="L343" s="31">
        <v>0</v>
      </c>
      <c r="M343" s="31">
        <v>0</v>
      </c>
      <c r="N343" s="31">
        <v>0</v>
      </c>
      <c r="O343" s="38">
        <v>0</v>
      </c>
      <c r="P343" s="38">
        <v>0</v>
      </c>
      <c r="Q343" s="31">
        <v>0</v>
      </c>
      <c r="R343" s="31">
        <v>0</v>
      </c>
      <c r="S343" s="31">
        <v>0</v>
      </c>
      <c r="T343" s="31">
        <v>0</v>
      </c>
      <c r="U343" s="31">
        <v>0</v>
      </c>
      <c r="V343" s="31">
        <v>0</v>
      </c>
      <c r="W343" s="31">
        <v>0</v>
      </c>
      <c r="X343" s="31">
        <v>0</v>
      </c>
      <c r="Y343" s="31">
        <v>0</v>
      </c>
      <c r="Z343" s="31">
        <v>0</v>
      </c>
      <c r="AA343" s="31">
        <v>0</v>
      </c>
      <c r="AB343" s="31">
        <v>0</v>
      </c>
      <c r="AC343" s="31">
        <f>ROUND(N343*1.5%,2)</f>
        <v>0</v>
      </c>
      <c r="AD343" s="31">
        <v>89335.7</v>
      </c>
      <c r="AE343" s="31">
        <v>0</v>
      </c>
      <c r="AF343" s="34">
        <v>2020</v>
      </c>
      <c r="AG343" s="35" t="s">
        <v>270</v>
      </c>
      <c r="AH343" s="35" t="s">
        <v>270</v>
      </c>
      <c r="BZ343" s="71"/>
      <c r="CD343" s="20" t="e">
        <f t="shared" si="59"/>
        <v>#N/A</v>
      </c>
    </row>
    <row r="344" spans="1:82" ht="61.5" x14ac:dyDescent="0.85">
      <c r="B344" s="24" t="s">
        <v>831</v>
      </c>
      <c r="C344" s="24"/>
      <c r="D344" s="195">
        <f t="shared" ref="D344:AE344" si="61">SUM(D345:D349)</f>
        <v>2260405.9900000002</v>
      </c>
      <c r="E344" s="31">
        <f t="shared" si="61"/>
        <v>0</v>
      </c>
      <c r="F344" s="31">
        <f t="shared" si="61"/>
        <v>0</v>
      </c>
      <c r="G344" s="31">
        <f t="shared" si="61"/>
        <v>0</v>
      </c>
      <c r="H344" s="31">
        <f t="shared" si="61"/>
        <v>0</v>
      </c>
      <c r="I344" s="31">
        <f t="shared" si="61"/>
        <v>0</v>
      </c>
      <c r="J344" s="31">
        <f t="shared" si="61"/>
        <v>0</v>
      </c>
      <c r="K344" s="33">
        <f t="shared" si="61"/>
        <v>0</v>
      </c>
      <c r="L344" s="31">
        <f t="shared" si="61"/>
        <v>0</v>
      </c>
      <c r="M344" s="31">
        <f t="shared" si="61"/>
        <v>568.76</v>
      </c>
      <c r="N344" s="31">
        <f t="shared" si="61"/>
        <v>2126707.66</v>
      </c>
      <c r="O344" s="31">
        <f t="shared" si="61"/>
        <v>0</v>
      </c>
      <c r="P344" s="31">
        <f t="shared" si="61"/>
        <v>0</v>
      </c>
      <c r="Q344" s="31">
        <f t="shared" si="61"/>
        <v>0</v>
      </c>
      <c r="R344" s="31">
        <f t="shared" si="61"/>
        <v>0</v>
      </c>
      <c r="S344" s="31">
        <f t="shared" si="61"/>
        <v>0</v>
      </c>
      <c r="T344" s="31">
        <f t="shared" si="61"/>
        <v>0</v>
      </c>
      <c r="U344" s="31">
        <f t="shared" si="61"/>
        <v>0</v>
      </c>
      <c r="V344" s="31">
        <f t="shared" si="61"/>
        <v>0</v>
      </c>
      <c r="W344" s="31">
        <f t="shared" si="61"/>
        <v>0</v>
      </c>
      <c r="X344" s="31">
        <f t="shared" si="61"/>
        <v>0</v>
      </c>
      <c r="Y344" s="31">
        <f t="shared" si="61"/>
        <v>0</v>
      </c>
      <c r="Z344" s="31">
        <f t="shared" si="61"/>
        <v>0</v>
      </c>
      <c r="AA344" s="31">
        <f t="shared" si="61"/>
        <v>0</v>
      </c>
      <c r="AB344" s="31">
        <f t="shared" si="61"/>
        <v>0</v>
      </c>
      <c r="AC344" s="31">
        <f t="shared" si="61"/>
        <v>31900.61</v>
      </c>
      <c r="AD344" s="31">
        <f t="shared" si="61"/>
        <v>101797.72</v>
      </c>
      <c r="AE344" s="31">
        <f t="shared" si="61"/>
        <v>0</v>
      </c>
      <c r="AF344" s="72" t="s">
        <v>757</v>
      </c>
      <c r="AG344" s="72" t="s">
        <v>757</v>
      </c>
      <c r="AH344" s="87" t="s">
        <v>757</v>
      </c>
      <c r="AT344" s="20" t="e">
        <f>VLOOKUP(C344,AW:AX,2,FALSE)</f>
        <v>#N/A</v>
      </c>
      <c r="BZ344" s="71">
        <v>4925031.5999999996</v>
      </c>
      <c r="CB344" s="71">
        <f>BZ344-D344</f>
        <v>2664625.6099999994</v>
      </c>
      <c r="CD344" s="20" t="e">
        <f t="shared" si="59"/>
        <v>#N/A</v>
      </c>
    </row>
    <row r="345" spans="1:82" ht="61.5" x14ac:dyDescent="0.85">
      <c r="A345" s="20">
        <v>1</v>
      </c>
      <c r="B345" s="66">
        <f>SUBTOTAL(103,$A$22:A345)</f>
        <v>308</v>
      </c>
      <c r="C345" s="24" t="s">
        <v>247</v>
      </c>
      <c r="D345" s="31">
        <f t="shared" ref="D345:D349" si="62">E345+F345+G345+H345+I345+J345+L345+N345+P345+R345+T345+U345+V345+W345+X345+Y345+Z345+AA345+AB345+AC345+AD345+AE345</f>
        <v>9547.9500000000007</v>
      </c>
      <c r="E345" s="31">
        <v>0</v>
      </c>
      <c r="F345" s="31">
        <v>0</v>
      </c>
      <c r="G345" s="31">
        <v>0</v>
      </c>
      <c r="H345" s="31">
        <v>0</v>
      </c>
      <c r="I345" s="31">
        <v>0</v>
      </c>
      <c r="J345" s="31">
        <v>0</v>
      </c>
      <c r="K345" s="33">
        <v>0</v>
      </c>
      <c r="L345" s="31">
        <v>0</v>
      </c>
      <c r="M345" s="31">
        <v>0</v>
      </c>
      <c r="N345" s="31">
        <v>0</v>
      </c>
      <c r="O345" s="31">
        <v>0</v>
      </c>
      <c r="P345" s="31">
        <v>0</v>
      </c>
      <c r="Q345" s="31">
        <v>0</v>
      </c>
      <c r="R345" s="31">
        <v>0</v>
      </c>
      <c r="S345" s="31">
        <v>0</v>
      </c>
      <c r="T345" s="31">
        <v>0</v>
      </c>
      <c r="U345" s="31">
        <v>0</v>
      </c>
      <c r="V345" s="31">
        <v>0</v>
      </c>
      <c r="W345" s="31">
        <v>0</v>
      </c>
      <c r="X345" s="31">
        <v>0</v>
      </c>
      <c r="Y345" s="31">
        <v>0</v>
      </c>
      <c r="Z345" s="31">
        <v>0</v>
      </c>
      <c r="AA345" s="31">
        <v>0</v>
      </c>
      <c r="AB345" s="31">
        <v>0</v>
      </c>
      <c r="AC345" s="31">
        <f>ROUND((E345+F345+G345+H345+I345+J345)*1.5%,2)</f>
        <v>0</v>
      </c>
      <c r="AD345" s="39">
        <v>9547.9500000000007</v>
      </c>
      <c r="AE345" s="31">
        <v>0</v>
      </c>
      <c r="AF345" s="34">
        <v>2020</v>
      </c>
      <c r="AG345" s="34" t="s">
        <v>270</v>
      </c>
      <c r="AH345" s="35" t="s">
        <v>270</v>
      </c>
      <c r="AT345" s="20" t="e">
        <f>VLOOKUP(C345,AW:AX,2,FALSE)</f>
        <v>#N/A</v>
      </c>
      <c r="BZ345" s="71"/>
      <c r="CD345" s="20" t="e">
        <f t="shared" si="59"/>
        <v>#N/A</v>
      </c>
    </row>
    <row r="346" spans="1:82" ht="61.5" x14ac:dyDescent="0.85">
      <c r="A346" s="20">
        <v>1</v>
      </c>
      <c r="B346" s="66">
        <f>SUBTOTAL(103,$A$22:A346)</f>
        <v>309</v>
      </c>
      <c r="C346" s="24" t="s">
        <v>248</v>
      </c>
      <c r="D346" s="31">
        <f t="shared" si="62"/>
        <v>31750.52</v>
      </c>
      <c r="E346" s="31">
        <v>0</v>
      </c>
      <c r="F346" s="31">
        <v>0</v>
      </c>
      <c r="G346" s="31">
        <v>0</v>
      </c>
      <c r="H346" s="31">
        <v>0</v>
      </c>
      <c r="I346" s="31">
        <v>0</v>
      </c>
      <c r="J346" s="31">
        <v>0</v>
      </c>
      <c r="K346" s="33">
        <v>0</v>
      </c>
      <c r="L346" s="31">
        <v>0</v>
      </c>
      <c r="M346" s="31">
        <v>0</v>
      </c>
      <c r="N346" s="31">
        <v>0</v>
      </c>
      <c r="O346" s="31">
        <v>0</v>
      </c>
      <c r="P346" s="31">
        <v>0</v>
      </c>
      <c r="Q346" s="31">
        <v>0</v>
      </c>
      <c r="R346" s="31">
        <v>0</v>
      </c>
      <c r="S346" s="31">
        <v>0</v>
      </c>
      <c r="T346" s="31">
        <v>0</v>
      </c>
      <c r="U346" s="31">
        <v>0</v>
      </c>
      <c r="V346" s="31">
        <v>0</v>
      </c>
      <c r="W346" s="31">
        <v>0</v>
      </c>
      <c r="X346" s="31">
        <v>0</v>
      </c>
      <c r="Y346" s="31">
        <v>0</v>
      </c>
      <c r="Z346" s="31">
        <v>0</v>
      </c>
      <c r="AA346" s="31">
        <v>0</v>
      </c>
      <c r="AB346" s="31">
        <v>0</v>
      </c>
      <c r="AC346" s="31">
        <f>ROUND((E346+F346+G346+H346+I346+J346)*1.5%,2)</f>
        <v>0</v>
      </c>
      <c r="AD346" s="31">
        <v>31750.52</v>
      </c>
      <c r="AE346" s="31">
        <v>0</v>
      </c>
      <c r="AF346" s="34">
        <v>2020</v>
      </c>
      <c r="AG346" s="34" t="s">
        <v>270</v>
      </c>
      <c r="AH346" s="35" t="s">
        <v>270</v>
      </c>
      <c r="AT346" s="20" t="e">
        <f>VLOOKUP(C346,AW:AX,2,FALSE)</f>
        <v>#N/A</v>
      </c>
      <c r="BZ346" s="71"/>
      <c r="CD346" s="20" t="e">
        <f t="shared" si="59"/>
        <v>#N/A</v>
      </c>
    </row>
    <row r="347" spans="1:82" ht="61.5" x14ac:dyDescent="0.85">
      <c r="A347" s="20">
        <v>1</v>
      </c>
      <c r="B347" s="66">
        <f>SUBTOTAL(103,$A$22:A347)</f>
        <v>310</v>
      </c>
      <c r="C347" s="24" t="s">
        <v>245</v>
      </c>
      <c r="D347" s="31">
        <f t="shared" si="62"/>
        <v>60499.25</v>
      </c>
      <c r="E347" s="31">
        <v>0</v>
      </c>
      <c r="F347" s="31">
        <v>0</v>
      </c>
      <c r="G347" s="31">
        <v>0</v>
      </c>
      <c r="H347" s="31">
        <v>0</v>
      </c>
      <c r="I347" s="31">
        <v>0</v>
      </c>
      <c r="J347" s="31">
        <v>0</v>
      </c>
      <c r="K347" s="33">
        <v>0</v>
      </c>
      <c r="L347" s="31">
        <v>0</v>
      </c>
      <c r="M347" s="31">
        <v>0</v>
      </c>
      <c r="N347" s="31">
        <v>0</v>
      </c>
      <c r="O347" s="31">
        <v>0</v>
      </c>
      <c r="P347" s="31">
        <v>0</v>
      </c>
      <c r="Q347" s="31">
        <v>0</v>
      </c>
      <c r="R347" s="31">
        <v>0</v>
      </c>
      <c r="S347" s="31">
        <v>0</v>
      </c>
      <c r="T347" s="31">
        <v>0</v>
      </c>
      <c r="U347" s="31">
        <v>0</v>
      </c>
      <c r="V347" s="31">
        <v>0</v>
      </c>
      <c r="W347" s="31">
        <v>0</v>
      </c>
      <c r="X347" s="31">
        <v>0</v>
      </c>
      <c r="Y347" s="31">
        <v>0</v>
      </c>
      <c r="Z347" s="31">
        <v>0</v>
      </c>
      <c r="AA347" s="31">
        <v>0</v>
      </c>
      <c r="AB347" s="31">
        <v>0</v>
      </c>
      <c r="AC347" s="31">
        <f>ROUND(R347*1.5%,2)</f>
        <v>0</v>
      </c>
      <c r="AD347" s="123">
        <v>60499.25</v>
      </c>
      <c r="AE347" s="31">
        <v>0</v>
      </c>
      <c r="AF347" s="34">
        <v>2020</v>
      </c>
      <c r="AG347" s="34" t="s">
        <v>270</v>
      </c>
      <c r="AH347" s="35" t="s">
        <v>270</v>
      </c>
      <c r="AT347" s="20" t="e">
        <f>VLOOKUP(C347,AW:AX,2,FALSE)</f>
        <v>#N/A</v>
      </c>
      <c r="BZ347" s="71"/>
      <c r="CD347" s="20" t="e">
        <f t="shared" si="59"/>
        <v>#N/A</v>
      </c>
    </row>
    <row r="348" spans="1:82" ht="61.5" x14ac:dyDescent="0.85">
      <c r="A348" s="20">
        <v>1</v>
      </c>
      <c r="B348" s="66">
        <f>SUBTOTAL(103,$A$22:A348)</f>
        <v>311</v>
      </c>
      <c r="C348" s="24" t="s">
        <v>1544</v>
      </c>
      <c r="D348" s="31">
        <f t="shared" si="62"/>
        <v>944609.1</v>
      </c>
      <c r="E348" s="31">
        <v>0</v>
      </c>
      <c r="F348" s="31">
        <v>0</v>
      </c>
      <c r="G348" s="31">
        <v>0</v>
      </c>
      <c r="H348" s="31">
        <v>0</v>
      </c>
      <c r="I348" s="31">
        <v>0</v>
      </c>
      <c r="J348" s="31">
        <v>0</v>
      </c>
      <c r="K348" s="33">
        <v>0</v>
      </c>
      <c r="L348" s="31">
        <v>0</v>
      </c>
      <c r="M348" s="39">
        <v>259.76</v>
      </c>
      <c r="N348" s="39">
        <v>930649.36</v>
      </c>
      <c r="O348" s="31">
        <v>0</v>
      </c>
      <c r="P348" s="31">
        <v>0</v>
      </c>
      <c r="Q348" s="31">
        <v>0</v>
      </c>
      <c r="R348" s="31">
        <v>0</v>
      </c>
      <c r="S348" s="31">
        <v>0</v>
      </c>
      <c r="T348" s="31">
        <v>0</v>
      </c>
      <c r="U348" s="31">
        <v>0</v>
      </c>
      <c r="V348" s="31">
        <v>0</v>
      </c>
      <c r="W348" s="31">
        <v>0</v>
      </c>
      <c r="X348" s="31">
        <v>0</v>
      </c>
      <c r="Y348" s="31">
        <v>0</v>
      </c>
      <c r="Z348" s="31">
        <v>0</v>
      </c>
      <c r="AA348" s="31">
        <v>0</v>
      </c>
      <c r="AB348" s="31">
        <v>0</v>
      </c>
      <c r="AC348" s="31">
        <f>ROUND(N348*1.5%,2)</f>
        <v>13959.74</v>
      </c>
      <c r="AD348" s="31">
        <v>0</v>
      </c>
      <c r="AE348" s="31">
        <v>0</v>
      </c>
      <c r="AF348" s="34" t="s">
        <v>270</v>
      </c>
      <c r="AG348" s="34">
        <v>2020</v>
      </c>
      <c r="AH348" s="35">
        <v>2020</v>
      </c>
      <c r="BZ348" s="71"/>
      <c r="CD348" s="20">
        <f t="shared" si="59"/>
        <v>249</v>
      </c>
    </row>
    <row r="349" spans="1:82" ht="61.5" x14ac:dyDescent="0.85">
      <c r="A349" s="20">
        <v>1</v>
      </c>
      <c r="B349" s="66">
        <f>SUBTOTAL(103,$A$22:A349)</f>
        <v>312</v>
      </c>
      <c r="C349" s="24" t="s">
        <v>1545</v>
      </c>
      <c r="D349" s="31">
        <f t="shared" si="62"/>
        <v>1213999.1700000002</v>
      </c>
      <c r="E349" s="31">
        <v>0</v>
      </c>
      <c r="F349" s="31">
        <v>0</v>
      </c>
      <c r="G349" s="31">
        <v>0</v>
      </c>
      <c r="H349" s="31">
        <v>0</v>
      </c>
      <c r="I349" s="31">
        <v>0</v>
      </c>
      <c r="J349" s="31">
        <v>0</v>
      </c>
      <c r="K349" s="33">
        <v>0</v>
      </c>
      <c r="L349" s="31">
        <v>0</v>
      </c>
      <c r="M349" s="39">
        <v>309</v>
      </c>
      <c r="N349" s="39">
        <v>1196058.3</v>
      </c>
      <c r="O349" s="31">
        <v>0</v>
      </c>
      <c r="P349" s="31">
        <v>0</v>
      </c>
      <c r="Q349" s="31">
        <v>0</v>
      </c>
      <c r="R349" s="31">
        <v>0</v>
      </c>
      <c r="S349" s="31">
        <v>0</v>
      </c>
      <c r="T349" s="31">
        <v>0</v>
      </c>
      <c r="U349" s="31">
        <v>0</v>
      </c>
      <c r="V349" s="31">
        <v>0</v>
      </c>
      <c r="W349" s="31">
        <v>0</v>
      </c>
      <c r="X349" s="31">
        <v>0</v>
      </c>
      <c r="Y349" s="31">
        <v>0</v>
      </c>
      <c r="Z349" s="31">
        <v>0</v>
      </c>
      <c r="AA349" s="31">
        <v>0</v>
      </c>
      <c r="AB349" s="31">
        <v>0</v>
      </c>
      <c r="AC349" s="31">
        <f>ROUND(N349*1.5%,2)</f>
        <v>17940.87</v>
      </c>
      <c r="AD349" s="31">
        <v>0</v>
      </c>
      <c r="AE349" s="31">
        <v>0</v>
      </c>
      <c r="AF349" s="34" t="s">
        <v>270</v>
      </c>
      <c r="AG349" s="34">
        <v>2020</v>
      </c>
      <c r="AH349" s="35">
        <v>2020</v>
      </c>
      <c r="BZ349" s="71"/>
      <c r="CD349" s="20">
        <f t="shared" si="59"/>
        <v>309</v>
      </c>
    </row>
    <row r="350" spans="1:82" ht="61.5" x14ac:dyDescent="0.85">
      <c r="B350" s="24" t="s">
        <v>832</v>
      </c>
      <c r="C350" s="24"/>
      <c r="D350" s="195">
        <f>SUM(D351:D352)</f>
        <v>4429525.8800000008</v>
      </c>
      <c r="E350" s="31">
        <f t="shared" ref="E350:AE350" si="63">SUM(E351:E352)</f>
        <v>0</v>
      </c>
      <c r="F350" s="31">
        <f t="shared" si="63"/>
        <v>0</v>
      </c>
      <c r="G350" s="31">
        <f t="shared" si="63"/>
        <v>0</v>
      </c>
      <c r="H350" s="31">
        <f t="shared" si="63"/>
        <v>0</v>
      </c>
      <c r="I350" s="31">
        <f t="shared" si="63"/>
        <v>0</v>
      </c>
      <c r="J350" s="31">
        <f t="shared" si="63"/>
        <v>0</v>
      </c>
      <c r="K350" s="33">
        <f t="shared" si="63"/>
        <v>0</v>
      </c>
      <c r="L350" s="31">
        <f t="shared" si="63"/>
        <v>0</v>
      </c>
      <c r="M350" s="31">
        <f t="shared" si="63"/>
        <v>0</v>
      </c>
      <c r="N350" s="31">
        <f t="shared" si="63"/>
        <v>0</v>
      </c>
      <c r="O350" s="31">
        <f t="shared" si="63"/>
        <v>0</v>
      </c>
      <c r="P350" s="31">
        <f t="shared" si="63"/>
        <v>0</v>
      </c>
      <c r="Q350" s="31">
        <f t="shared" si="63"/>
        <v>1137.67</v>
      </c>
      <c r="R350" s="31">
        <f t="shared" si="63"/>
        <v>4285584.68</v>
      </c>
      <c r="S350" s="31">
        <f t="shared" si="63"/>
        <v>0</v>
      </c>
      <c r="T350" s="31">
        <f t="shared" si="63"/>
        <v>0</v>
      </c>
      <c r="U350" s="31">
        <f t="shared" si="63"/>
        <v>0</v>
      </c>
      <c r="V350" s="31">
        <f t="shared" si="63"/>
        <v>0</v>
      </c>
      <c r="W350" s="31">
        <f t="shared" si="63"/>
        <v>0</v>
      </c>
      <c r="X350" s="31">
        <f t="shared" si="63"/>
        <v>0</v>
      </c>
      <c r="Y350" s="31">
        <f t="shared" si="63"/>
        <v>0</v>
      </c>
      <c r="Z350" s="31">
        <f t="shared" si="63"/>
        <v>0</v>
      </c>
      <c r="AA350" s="31">
        <f t="shared" si="63"/>
        <v>0</v>
      </c>
      <c r="AB350" s="31">
        <f t="shared" si="63"/>
        <v>0</v>
      </c>
      <c r="AC350" s="31">
        <f t="shared" si="63"/>
        <v>64283.78</v>
      </c>
      <c r="AD350" s="31">
        <f t="shared" si="63"/>
        <v>79657.42</v>
      </c>
      <c r="AE350" s="31">
        <f t="shared" si="63"/>
        <v>0</v>
      </c>
      <c r="AF350" s="72" t="s">
        <v>757</v>
      </c>
      <c r="AG350" s="72" t="s">
        <v>757</v>
      </c>
      <c r="AH350" s="87" t="s">
        <v>757</v>
      </c>
      <c r="AT350" s="20" t="e">
        <f>VLOOKUP(C350,AW:AX,2,FALSE)</f>
        <v>#N/A</v>
      </c>
      <c r="BZ350" s="71">
        <v>5532352.54</v>
      </c>
      <c r="CB350" s="71">
        <f>BZ350-D350</f>
        <v>1102826.6599999992</v>
      </c>
      <c r="CD350" s="20" t="e">
        <f t="shared" si="59"/>
        <v>#N/A</v>
      </c>
    </row>
    <row r="351" spans="1:82" ht="61.5" x14ac:dyDescent="0.85">
      <c r="A351" s="20">
        <v>1</v>
      </c>
      <c r="B351" s="66">
        <f>SUBTOTAL(103,$A$22:A351)</f>
        <v>313</v>
      </c>
      <c r="C351" s="24" t="s">
        <v>242</v>
      </c>
      <c r="D351" s="31">
        <f>E351+F351+G351+H351+I351+J351+L351+N351+P351+R351+T351+U351+V351+W351+X351+Y351+Z351+AA351+AB351+AC351+AD351+AE351</f>
        <v>2286802.33</v>
      </c>
      <c r="E351" s="31">
        <v>0</v>
      </c>
      <c r="F351" s="31">
        <v>0</v>
      </c>
      <c r="G351" s="31">
        <v>0</v>
      </c>
      <c r="H351" s="31">
        <v>0</v>
      </c>
      <c r="I351" s="31">
        <v>0</v>
      </c>
      <c r="J351" s="31">
        <v>0</v>
      </c>
      <c r="K351" s="33">
        <v>0</v>
      </c>
      <c r="L351" s="31">
        <v>0</v>
      </c>
      <c r="M351" s="31">
        <v>0</v>
      </c>
      <c r="N351" s="31">
        <v>0</v>
      </c>
      <c r="O351" s="31">
        <v>0</v>
      </c>
      <c r="P351" s="31">
        <v>0</v>
      </c>
      <c r="Q351" s="31">
        <v>490.6</v>
      </c>
      <c r="R351" s="31">
        <v>2174527</v>
      </c>
      <c r="S351" s="31">
        <v>0</v>
      </c>
      <c r="T351" s="31">
        <v>0</v>
      </c>
      <c r="U351" s="31">
        <v>0</v>
      </c>
      <c r="V351" s="31">
        <v>0</v>
      </c>
      <c r="W351" s="31">
        <v>0</v>
      </c>
      <c r="X351" s="31">
        <v>0</v>
      </c>
      <c r="Y351" s="31">
        <v>0</v>
      </c>
      <c r="Z351" s="31">
        <v>0</v>
      </c>
      <c r="AA351" s="31">
        <v>0</v>
      </c>
      <c r="AB351" s="31">
        <v>0</v>
      </c>
      <c r="AC351" s="31">
        <f>ROUND(R351*1.5%,2)</f>
        <v>32617.91</v>
      </c>
      <c r="AD351" s="39">
        <v>79657.42</v>
      </c>
      <c r="AE351" s="31">
        <v>0</v>
      </c>
      <c r="AF351" s="34">
        <v>2020</v>
      </c>
      <c r="AG351" s="34">
        <v>2020</v>
      </c>
      <c r="AH351" s="35">
        <v>2020</v>
      </c>
      <c r="AT351" s="20" t="e">
        <f>VLOOKUP(C351,AW:AX,2,FALSE)</f>
        <v>#N/A</v>
      </c>
      <c r="BZ351" s="71"/>
      <c r="CD351" s="20" t="e">
        <f t="shared" si="59"/>
        <v>#N/A</v>
      </c>
    </row>
    <row r="352" spans="1:82" ht="61.5" x14ac:dyDescent="0.85">
      <c r="A352" s="20">
        <v>1</v>
      </c>
      <c r="B352" s="66">
        <f>SUBTOTAL(103,$A$22:A352)</f>
        <v>314</v>
      </c>
      <c r="C352" s="24" t="s">
        <v>1222</v>
      </c>
      <c r="D352" s="31">
        <f>E352+F352+G352+H352+I352+J352+L352+N352+P352+R352+T352+U352+V352+W352+X352+Y352+Z352+AA352+AB352+AC352+AD352+AE352</f>
        <v>2142723.5500000003</v>
      </c>
      <c r="E352" s="38">
        <v>0</v>
      </c>
      <c r="F352" s="38">
        <v>0</v>
      </c>
      <c r="G352" s="31">
        <v>0</v>
      </c>
      <c r="H352" s="38">
        <v>0</v>
      </c>
      <c r="I352" s="38">
        <v>0</v>
      </c>
      <c r="J352" s="38">
        <v>0</v>
      </c>
      <c r="K352" s="33">
        <v>0</v>
      </c>
      <c r="L352" s="31">
        <v>0</v>
      </c>
      <c r="M352" s="31">
        <v>0</v>
      </c>
      <c r="N352" s="31">
        <v>0</v>
      </c>
      <c r="O352" s="38">
        <v>0</v>
      </c>
      <c r="P352" s="38">
        <v>0</v>
      </c>
      <c r="Q352" s="39">
        <v>647.07000000000005</v>
      </c>
      <c r="R352" s="39">
        <v>2111057.6800000002</v>
      </c>
      <c r="S352" s="31">
        <v>0</v>
      </c>
      <c r="T352" s="31">
        <v>0</v>
      </c>
      <c r="U352" s="31">
        <v>0</v>
      </c>
      <c r="V352" s="31">
        <v>0</v>
      </c>
      <c r="W352" s="31">
        <v>0</v>
      </c>
      <c r="X352" s="31">
        <v>0</v>
      </c>
      <c r="Y352" s="31">
        <v>0</v>
      </c>
      <c r="Z352" s="31">
        <v>0</v>
      </c>
      <c r="AA352" s="31">
        <v>0</v>
      </c>
      <c r="AB352" s="31">
        <v>0</v>
      </c>
      <c r="AC352" s="31">
        <f>ROUND(R352*1.5%,2)</f>
        <v>31665.87</v>
      </c>
      <c r="AD352" s="31">
        <v>0</v>
      </c>
      <c r="AE352" s="31">
        <v>0</v>
      </c>
      <c r="AF352" s="34" t="s">
        <v>270</v>
      </c>
      <c r="AG352" s="34">
        <v>2020</v>
      </c>
      <c r="AH352" s="35">
        <v>2020</v>
      </c>
      <c r="BZ352" s="71"/>
      <c r="CD352" s="20" t="e">
        <f t="shared" si="59"/>
        <v>#N/A</v>
      </c>
    </row>
    <row r="353" spans="1:82" ht="61.5" x14ac:dyDescent="0.85">
      <c r="B353" s="24" t="s">
        <v>833</v>
      </c>
      <c r="C353" s="138"/>
      <c r="D353" s="193">
        <f>SUM(D354:D355)</f>
        <v>7840990.7699999996</v>
      </c>
      <c r="E353" s="30">
        <f t="shared" ref="E353:AE353" si="64">SUM(E354:E355)</f>
        <v>0</v>
      </c>
      <c r="F353" s="30">
        <f t="shared" si="64"/>
        <v>0</v>
      </c>
      <c r="G353" s="30">
        <f t="shared" si="64"/>
        <v>0</v>
      </c>
      <c r="H353" s="30">
        <f t="shared" si="64"/>
        <v>0</v>
      </c>
      <c r="I353" s="30">
        <f t="shared" si="64"/>
        <v>0</v>
      </c>
      <c r="J353" s="30">
        <f t="shared" si="64"/>
        <v>0</v>
      </c>
      <c r="K353" s="106">
        <f t="shared" si="64"/>
        <v>0</v>
      </c>
      <c r="L353" s="30">
        <f t="shared" si="64"/>
        <v>0</v>
      </c>
      <c r="M353" s="30">
        <f t="shared" si="64"/>
        <v>1357</v>
      </c>
      <c r="N353" s="30">
        <f t="shared" si="64"/>
        <v>7767002.5899999999</v>
      </c>
      <c r="O353" s="30">
        <f t="shared" si="64"/>
        <v>0</v>
      </c>
      <c r="P353" s="30">
        <f t="shared" si="64"/>
        <v>0</v>
      </c>
      <c r="Q353" s="30">
        <f t="shared" si="64"/>
        <v>0</v>
      </c>
      <c r="R353" s="30">
        <f t="shared" si="64"/>
        <v>0</v>
      </c>
      <c r="S353" s="30">
        <f t="shared" si="64"/>
        <v>0</v>
      </c>
      <c r="T353" s="30">
        <f t="shared" si="64"/>
        <v>0</v>
      </c>
      <c r="U353" s="30">
        <f t="shared" si="64"/>
        <v>0</v>
      </c>
      <c r="V353" s="30">
        <f t="shared" si="64"/>
        <v>0</v>
      </c>
      <c r="W353" s="30">
        <f t="shared" si="64"/>
        <v>0</v>
      </c>
      <c r="X353" s="30">
        <f t="shared" si="64"/>
        <v>0</v>
      </c>
      <c r="Y353" s="30">
        <f t="shared" si="64"/>
        <v>0</v>
      </c>
      <c r="Z353" s="30">
        <f t="shared" si="64"/>
        <v>0</v>
      </c>
      <c r="AA353" s="30">
        <f t="shared" si="64"/>
        <v>0</v>
      </c>
      <c r="AB353" s="30">
        <f t="shared" si="64"/>
        <v>0</v>
      </c>
      <c r="AC353" s="30">
        <f t="shared" si="64"/>
        <v>73988.179999999993</v>
      </c>
      <c r="AD353" s="30">
        <f t="shared" si="64"/>
        <v>0</v>
      </c>
      <c r="AE353" s="30">
        <f t="shared" si="64"/>
        <v>0</v>
      </c>
      <c r="AF353" s="72" t="s">
        <v>757</v>
      </c>
      <c r="AG353" s="72" t="s">
        <v>757</v>
      </c>
      <c r="AH353" s="87" t="s">
        <v>757</v>
      </c>
      <c r="AT353" s="20" t="e">
        <f>VLOOKUP(C353,AW:AX,2,FALSE)</f>
        <v>#N/A</v>
      </c>
      <c r="BZ353" s="71">
        <v>7838189.9699999997</v>
      </c>
      <c r="CB353" s="71">
        <f>BZ353-D353</f>
        <v>-2800.7999999998137</v>
      </c>
      <c r="CD353" s="20" t="e">
        <f t="shared" si="59"/>
        <v>#N/A</v>
      </c>
    </row>
    <row r="354" spans="1:82" ht="61.5" x14ac:dyDescent="0.85">
      <c r="A354" s="20">
        <v>1</v>
      </c>
      <c r="B354" s="66">
        <f>SUBTOTAL(103,$A$22:A354)</f>
        <v>315</v>
      </c>
      <c r="C354" s="25" t="s">
        <v>0</v>
      </c>
      <c r="D354" s="31">
        <f>E354+F354+G354+H354+I354+J354+L354+N354+P354+R354+T354+U354+V354+W354+X354+Y354+Z354+AA354+AB354+AC354+AD354+AE354</f>
        <v>2834457.48</v>
      </c>
      <c r="E354" s="31">
        <v>0</v>
      </c>
      <c r="F354" s="31">
        <v>0</v>
      </c>
      <c r="G354" s="31">
        <v>0</v>
      </c>
      <c r="H354" s="31">
        <v>0</v>
      </c>
      <c r="I354" s="31">
        <v>0</v>
      </c>
      <c r="J354" s="31">
        <v>0</v>
      </c>
      <c r="K354" s="33">
        <v>0</v>
      </c>
      <c r="L354" s="31">
        <v>0</v>
      </c>
      <c r="M354" s="39">
        <v>618.1</v>
      </c>
      <c r="N354" s="39">
        <v>2834457.48</v>
      </c>
      <c r="O354" s="31">
        <v>0</v>
      </c>
      <c r="P354" s="31">
        <v>0</v>
      </c>
      <c r="Q354" s="31">
        <v>0</v>
      </c>
      <c r="R354" s="31">
        <v>0</v>
      </c>
      <c r="S354" s="31">
        <v>0</v>
      </c>
      <c r="T354" s="31">
        <v>0</v>
      </c>
      <c r="U354" s="31">
        <v>0</v>
      </c>
      <c r="V354" s="31">
        <v>0</v>
      </c>
      <c r="W354" s="31">
        <v>0</v>
      </c>
      <c r="X354" s="31">
        <v>0</v>
      </c>
      <c r="Y354" s="31">
        <v>0</v>
      </c>
      <c r="Z354" s="31">
        <v>0</v>
      </c>
      <c r="AA354" s="31">
        <v>0</v>
      </c>
      <c r="AB354" s="31">
        <v>0</v>
      </c>
      <c r="AC354" s="31">
        <v>0</v>
      </c>
      <c r="AD354" s="31">
        <v>0</v>
      </c>
      <c r="AE354" s="31">
        <v>0</v>
      </c>
      <c r="AF354" s="34" t="s">
        <v>270</v>
      </c>
      <c r="AG354" s="34">
        <v>2020</v>
      </c>
      <c r="AH354" s="35" t="s">
        <v>270</v>
      </c>
      <c r="AT354" s="20" t="e">
        <f>VLOOKUP(C354,AW:AX,2,FALSE)</f>
        <v>#N/A</v>
      </c>
      <c r="BZ354" s="71"/>
      <c r="CD354" s="20">
        <f t="shared" si="59"/>
        <v>618.1</v>
      </c>
    </row>
    <row r="355" spans="1:82" ht="61.5" x14ac:dyDescent="0.85">
      <c r="A355" s="20">
        <v>1</v>
      </c>
      <c r="B355" s="66">
        <f>SUBTOTAL(103,$A$22:A355)</f>
        <v>316</v>
      </c>
      <c r="C355" s="24" t="s">
        <v>5</v>
      </c>
      <c r="D355" s="31">
        <f>E355+F355+G355+H355+I355+J355+L355+N355+P355+R355+T355+U355+V355+W355+X355+Y355+Z355+AA355+AB355+AC355+AD355+AE355</f>
        <v>5006533.2899999991</v>
      </c>
      <c r="E355" s="31">
        <v>0</v>
      </c>
      <c r="F355" s="31">
        <v>0</v>
      </c>
      <c r="G355" s="31">
        <v>0</v>
      </c>
      <c r="H355" s="31">
        <v>0</v>
      </c>
      <c r="I355" s="31">
        <v>0</v>
      </c>
      <c r="J355" s="31">
        <v>0</v>
      </c>
      <c r="K355" s="33">
        <v>0</v>
      </c>
      <c r="L355" s="31">
        <v>0</v>
      </c>
      <c r="M355" s="39">
        <v>738.9</v>
      </c>
      <c r="N355" s="31">
        <f>3127494.34+147783.25+128832.61+507278.24+979268.14+41888.53</f>
        <v>4932545.1099999994</v>
      </c>
      <c r="O355" s="31">
        <v>0</v>
      </c>
      <c r="P355" s="31">
        <v>0</v>
      </c>
      <c r="Q355" s="31">
        <v>0</v>
      </c>
      <c r="R355" s="31">
        <v>0</v>
      </c>
      <c r="S355" s="31">
        <v>0</v>
      </c>
      <c r="T355" s="31">
        <v>0</v>
      </c>
      <c r="U355" s="31">
        <v>0</v>
      </c>
      <c r="V355" s="31">
        <v>0</v>
      </c>
      <c r="W355" s="31">
        <v>0</v>
      </c>
      <c r="X355" s="31">
        <v>0</v>
      </c>
      <c r="Y355" s="31">
        <v>0</v>
      </c>
      <c r="Z355" s="31">
        <v>0</v>
      </c>
      <c r="AA355" s="31">
        <v>0</v>
      </c>
      <c r="AB355" s="31">
        <v>0</v>
      </c>
      <c r="AC355" s="31">
        <f>ROUND(N355*1.5%,2)</f>
        <v>73988.179999999993</v>
      </c>
      <c r="AD355" s="31">
        <v>0</v>
      </c>
      <c r="AE355" s="31">
        <v>0</v>
      </c>
      <c r="AF355" s="34" t="s">
        <v>270</v>
      </c>
      <c r="AG355" s="34">
        <v>2020</v>
      </c>
      <c r="AH355" s="35">
        <v>2020</v>
      </c>
      <c r="AT355" s="20" t="e">
        <f>VLOOKUP(C355,AW:AX,2,FALSE)</f>
        <v>#N/A</v>
      </c>
      <c r="BZ355" s="71"/>
      <c r="CD355" s="20">
        <f t="shared" si="59"/>
        <v>722.14</v>
      </c>
    </row>
    <row r="356" spans="1:82" ht="61.5" x14ac:dyDescent="0.85">
      <c r="B356" s="24" t="s">
        <v>834</v>
      </c>
      <c r="C356" s="108"/>
      <c r="D356" s="195">
        <f>SUM(D357:D359)</f>
        <v>8426851.959999999</v>
      </c>
      <c r="E356" s="31">
        <f t="shared" ref="E356:AE356" si="65">SUM(E357:E359)</f>
        <v>0</v>
      </c>
      <c r="F356" s="31">
        <f t="shared" si="65"/>
        <v>0</v>
      </c>
      <c r="G356" s="31">
        <f t="shared" si="65"/>
        <v>6562845.1299999999</v>
      </c>
      <c r="H356" s="31">
        <f t="shared" si="65"/>
        <v>0</v>
      </c>
      <c r="I356" s="31">
        <f t="shared" si="65"/>
        <v>0</v>
      </c>
      <c r="J356" s="31">
        <f t="shared" si="65"/>
        <v>0</v>
      </c>
      <c r="K356" s="33">
        <f t="shared" si="65"/>
        <v>0</v>
      </c>
      <c r="L356" s="31">
        <f t="shared" si="65"/>
        <v>0</v>
      </c>
      <c r="M356" s="31">
        <f t="shared" si="65"/>
        <v>406.9</v>
      </c>
      <c r="N356" s="31">
        <f t="shared" si="65"/>
        <v>1731921.7</v>
      </c>
      <c r="O356" s="31">
        <f t="shared" si="65"/>
        <v>0</v>
      </c>
      <c r="P356" s="31">
        <f t="shared" si="65"/>
        <v>0</v>
      </c>
      <c r="Q356" s="31">
        <f t="shared" si="65"/>
        <v>0</v>
      </c>
      <c r="R356" s="31">
        <f t="shared" si="65"/>
        <v>0</v>
      </c>
      <c r="S356" s="31">
        <f t="shared" si="65"/>
        <v>0</v>
      </c>
      <c r="T356" s="31">
        <f t="shared" si="65"/>
        <v>0</v>
      </c>
      <c r="U356" s="31">
        <f t="shared" si="65"/>
        <v>0</v>
      </c>
      <c r="V356" s="31">
        <f t="shared" si="65"/>
        <v>0</v>
      </c>
      <c r="W356" s="31">
        <f t="shared" si="65"/>
        <v>0</v>
      </c>
      <c r="X356" s="31">
        <f t="shared" si="65"/>
        <v>0</v>
      </c>
      <c r="Y356" s="31">
        <f t="shared" si="65"/>
        <v>0</v>
      </c>
      <c r="Z356" s="31">
        <f t="shared" si="65"/>
        <v>0</v>
      </c>
      <c r="AA356" s="31">
        <f t="shared" si="65"/>
        <v>0</v>
      </c>
      <c r="AB356" s="31">
        <f t="shared" si="65"/>
        <v>0</v>
      </c>
      <c r="AC356" s="31">
        <f t="shared" si="65"/>
        <v>22341.79</v>
      </c>
      <c r="AD356" s="31">
        <f t="shared" si="65"/>
        <v>109743.34</v>
      </c>
      <c r="AE356" s="31">
        <f t="shared" si="65"/>
        <v>0</v>
      </c>
      <c r="AF356" s="72" t="s">
        <v>757</v>
      </c>
      <c r="AG356" s="72" t="s">
        <v>757</v>
      </c>
      <c r="AH356" s="87" t="s">
        <v>757</v>
      </c>
      <c r="AT356" s="20" t="e">
        <f>VLOOKUP(C356,AW:AX,2,FALSE)</f>
        <v>#N/A</v>
      </c>
      <c r="BZ356" s="71">
        <v>11111629.25</v>
      </c>
      <c r="CB356" s="71">
        <f>BZ356-D356</f>
        <v>2684777.290000001</v>
      </c>
      <c r="CD356" s="20" t="e">
        <f t="shared" si="59"/>
        <v>#N/A</v>
      </c>
    </row>
    <row r="357" spans="1:82" ht="61.5" x14ac:dyDescent="0.85">
      <c r="A357" s="20">
        <v>1</v>
      </c>
      <c r="B357" s="66">
        <f>SUBTOTAL(103,$A$22:A357)</f>
        <v>317</v>
      </c>
      <c r="C357" s="24" t="s">
        <v>697</v>
      </c>
      <c r="D357" s="31">
        <f>E357+F357+G357+H357+I357+J357+L357+N357+P357+R357+T357+U357+V357+W357+X357+Y357+Z357+AA357+AB357+AC357+AD357+AE357</f>
        <v>51949.1</v>
      </c>
      <c r="E357" s="31">
        <v>0</v>
      </c>
      <c r="F357" s="31">
        <v>0</v>
      </c>
      <c r="G357" s="31">
        <v>0</v>
      </c>
      <c r="H357" s="31">
        <v>0</v>
      </c>
      <c r="I357" s="31">
        <v>0</v>
      </c>
      <c r="J357" s="31">
        <v>0</v>
      </c>
      <c r="K357" s="33">
        <v>0</v>
      </c>
      <c r="L357" s="31">
        <v>0</v>
      </c>
      <c r="M357" s="31">
        <v>0</v>
      </c>
      <c r="N357" s="31">
        <v>0</v>
      </c>
      <c r="O357" s="31">
        <v>0</v>
      </c>
      <c r="P357" s="31">
        <v>0</v>
      </c>
      <c r="Q357" s="31">
        <v>0</v>
      </c>
      <c r="R357" s="31">
        <v>0</v>
      </c>
      <c r="S357" s="31">
        <v>0</v>
      </c>
      <c r="T357" s="31">
        <v>0</v>
      </c>
      <c r="U357" s="31">
        <v>0</v>
      </c>
      <c r="V357" s="31">
        <v>0</v>
      </c>
      <c r="W357" s="31">
        <v>0</v>
      </c>
      <c r="X357" s="31">
        <v>0</v>
      </c>
      <c r="Y357" s="31">
        <v>0</v>
      </c>
      <c r="Z357" s="31">
        <v>0</v>
      </c>
      <c r="AA357" s="31">
        <v>0</v>
      </c>
      <c r="AB357" s="31">
        <v>0</v>
      </c>
      <c r="AC357" s="31">
        <f>ROUND(N357*1.5%,2)</f>
        <v>0</v>
      </c>
      <c r="AD357" s="39">
        <v>51949.1</v>
      </c>
      <c r="AE357" s="31">
        <v>0</v>
      </c>
      <c r="AF357" s="34">
        <v>2020</v>
      </c>
      <c r="AG357" s="34" t="s">
        <v>270</v>
      </c>
      <c r="AH357" s="35" t="s">
        <v>270</v>
      </c>
      <c r="AT357" s="20" t="e">
        <f>VLOOKUP(C357,AW:AX,2,FALSE)</f>
        <v>#N/A</v>
      </c>
      <c r="BZ357" s="71"/>
      <c r="CD357" s="20" t="e">
        <f t="shared" si="59"/>
        <v>#N/A</v>
      </c>
    </row>
    <row r="358" spans="1:82" ht="61.5" x14ac:dyDescent="0.85">
      <c r="A358" s="20">
        <v>1</v>
      </c>
      <c r="B358" s="66">
        <f>SUBTOTAL(103,$A$22:A358)</f>
        <v>318</v>
      </c>
      <c r="C358" s="24" t="s">
        <v>1225</v>
      </c>
      <c r="D358" s="31">
        <f>E358+F358+G358+H358+I358+J358+L358+N358+P358+R358+T358+U358+V358+W358+X358+Y358+Z358+AA358+AB358+AC358+AD358+AE358</f>
        <v>6562845.1299999999</v>
      </c>
      <c r="E358" s="38">
        <v>0</v>
      </c>
      <c r="F358" s="38">
        <v>0</v>
      </c>
      <c r="G358" s="39">
        <v>6562845.1299999999</v>
      </c>
      <c r="H358" s="38">
        <v>0</v>
      </c>
      <c r="I358" s="38">
        <v>0</v>
      </c>
      <c r="J358" s="38">
        <v>0</v>
      </c>
      <c r="K358" s="33">
        <v>0</v>
      </c>
      <c r="L358" s="31">
        <v>0</v>
      </c>
      <c r="M358" s="31">
        <v>0</v>
      </c>
      <c r="N358" s="31">
        <v>0</v>
      </c>
      <c r="O358" s="38">
        <v>0</v>
      </c>
      <c r="P358" s="38">
        <v>0</v>
      </c>
      <c r="Q358" s="31">
        <v>0</v>
      </c>
      <c r="R358" s="31">
        <v>0</v>
      </c>
      <c r="S358" s="31">
        <v>0</v>
      </c>
      <c r="T358" s="31">
        <v>0</v>
      </c>
      <c r="U358" s="31">
        <v>0</v>
      </c>
      <c r="V358" s="31">
        <v>0</v>
      </c>
      <c r="W358" s="31">
        <v>0</v>
      </c>
      <c r="X358" s="31">
        <v>0</v>
      </c>
      <c r="Y358" s="31">
        <v>0</v>
      </c>
      <c r="Z358" s="31">
        <v>0</v>
      </c>
      <c r="AA358" s="31">
        <v>0</v>
      </c>
      <c r="AB358" s="31">
        <v>0</v>
      </c>
      <c r="AC358" s="31">
        <v>0</v>
      </c>
      <c r="AD358" s="31">
        <v>0</v>
      </c>
      <c r="AE358" s="31">
        <v>0</v>
      </c>
      <c r="AF358" s="34" t="s">
        <v>270</v>
      </c>
      <c r="AG358" s="34">
        <v>2020</v>
      </c>
      <c r="AH358" s="35" t="s">
        <v>270</v>
      </c>
      <c r="BZ358" s="71"/>
      <c r="CD358" s="20" t="e">
        <f t="shared" si="59"/>
        <v>#N/A</v>
      </c>
    </row>
    <row r="359" spans="1:82" ht="61.5" x14ac:dyDescent="0.85">
      <c r="A359" s="20">
        <v>1</v>
      </c>
      <c r="B359" s="66">
        <f>SUBTOTAL(103,$A$22:A359)</f>
        <v>319</v>
      </c>
      <c r="C359" s="24" t="s">
        <v>1581</v>
      </c>
      <c r="D359" s="31">
        <f>E359+F359+G359+H359+I359+J359+L359+N359+P359+R359+T359+U359+V359+W359+X359+Y359+Z359+AA359+AB359+AC359+AD359+AE359</f>
        <v>1812057.73</v>
      </c>
      <c r="E359" s="38">
        <v>0</v>
      </c>
      <c r="F359" s="38">
        <v>0</v>
      </c>
      <c r="G359" s="31">
        <v>0</v>
      </c>
      <c r="H359" s="38">
        <v>0</v>
      </c>
      <c r="I359" s="38">
        <v>0</v>
      </c>
      <c r="J359" s="38">
        <v>0</v>
      </c>
      <c r="K359" s="33">
        <v>0</v>
      </c>
      <c r="L359" s="31">
        <v>0</v>
      </c>
      <c r="M359" s="39">
        <v>406.9</v>
      </c>
      <c r="N359" s="39">
        <v>1731921.7</v>
      </c>
      <c r="O359" s="38">
        <v>0</v>
      </c>
      <c r="P359" s="38">
        <v>0</v>
      </c>
      <c r="Q359" s="31">
        <v>0</v>
      </c>
      <c r="R359" s="31">
        <v>0</v>
      </c>
      <c r="S359" s="31">
        <v>0</v>
      </c>
      <c r="T359" s="31">
        <v>0</v>
      </c>
      <c r="U359" s="31">
        <v>0</v>
      </c>
      <c r="V359" s="31">
        <v>0</v>
      </c>
      <c r="W359" s="31">
        <v>0</v>
      </c>
      <c r="X359" s="31">
        <v>0</v>
      </c>
      <c r="Y359" s="31">
        <v>0</v>
      </c>
      <c r="Z359" s="31">
        <v>0</v>
      </c>
      <c r="AA359" s="31">
        <v>0</v>
      </c>
      <c r="AB359" s="31">
        <v>0</v>
      </c>
      <c r="AC359" s="39">
        <v>22341.79</v>
      </c>
      <c r="AD359" s="39">
        <v>57794.239999999998</v>
      </c>
      <c r="AE359" s="31">
        <v>0</v>
      </c>
      <c r="AF359" s="34">
        <v>2020</v>
      </c>
      <c r="AG359" s="34">
        <v>2020</v>
      </c>
      <c r="AH359" s="35">
        <v>2020</v>
      </c>
      <c r="BZ359" s="71"/>
      <c r="CD359" s="20" t="e">
        <f t="shared" si="59"/>
        <v>#N/A</v>
      </c>
    </row>
    <row r="360" spans="1:82" ht="61.5" x14ac:dyDescent="0.85">
      <c r="B360" s="24" t="s">
        <v>835</v>
      </c>
      <c r="C360" s="24"/>
      <c r="D360" s="195">
        <f t="shared" ref="D360:AE360" si="66">SUM(D361:D362)</f>
        <v>7999153.3599999994</v>
      </c>
      <c r="E360" s="31">
        <f t="shared" si="66"/>
        <v>0</v>
      </c>
      <c r="F360" s="31">
        <f t="shared" si="66"/>
        <v>0</v>
      </c>
      <c r="G360" s="31">
        <f t="shared" si="66"/>
        <v>4236373.1399999997</v>
      </c>
      <c r="H360" s="31">
        <f t="shared" si="66"/>
        <v>474283.04</v>
      </c>
      <c r="I360" s="31">
        <f t="shared" si="66"/>
        <v>0</v>
      </c>
      <c r="J360" s="31">
        <f t="shared" si="66"/>
        <v>0</v>
      </c>
      <c r="K360" s="33">
        <f t="shared" si="66"/>
        <v>0</v>
      </c>
      <c r="L360" s="31">
        <f t="shared" si="66"/>
        <v>0</v>
      </c>
      <c r="M360" s="31">
        <f t="shared" si="66"/>
        <v>1144.52</v>
      </c>
      <c r="N360" s="31">
        <f t="shared" si="66"/>
        <v>3057208.51</v>
      </c>
      <c r="O360" s="31">
        <f t="shared" si="66"/>
        <v>0</v>
      </c>
      <c r="P360" s="31">
        <f t="shared" si="66"/>
        <v>0</v>
      </c>
      <c r="Q360" s="31">
        <f t="shared" si="66"/>
        <v>0</v>
      </c>
      <c r="R360" s="31">
        <f t="shared" si="66"/>
        <v>0</v>
      </c>
      <c r="S360" s="31">
        <f t="shared" si="66"/>
        <v>0</v>
      </c>
      <c r="T360" s="31">
        <f t="shared" si="66"/>
        <v>0</v>
      </c>
      <c r="U360" s="31">
        <f t="shared" si="66"/>
        <v>0</v>
      </c>
      <c r="V360" s="31">
        <f t="shared" si="66"/>
        <v>0</v>
      </c>
      <c r="W360" s="31">
        <f t="shared" si="66"/>
        <v>0</v>
      </c>
      <c r="X360" s="31">
        <f t="shared" si="66"/>
        <v>0</v>
      </c>
      <c r="Y360" s="31">
        <f t="shared" si="66"/>
        <v>0</v>
      </c>
      <c r="Z360" s="31">
        <f t="shared" si="66"/>
        <v>0</v>
      </c>
      <c r="AA360" s="31">
        <f t="shared" si="66"/>
        <v>0</v>
      </c>
      <c r="AB360" s="31">
        <f t="shared" si="66"/>
        <v>0</v>
      </c>
      <c r="AC360" s="31">
        <f t="shared" si="66"/>
        <v>116517.97</v>
      </c>
      <c r="AD360" s="31">
        <f t="shared" si="66"/>
        <v>114770.7</v>
      </c>
      <c r="AE360" s="31">
        <f t="shared" si="66"/>
        <v>0</v>
      </c>
      <c r="AF360" s="72" t="s">
        <v>757</v>
      </c>
      <c r="AG360" s="72" t="s">
        <v>757</v>
      </c>
      <c r="AH360" s="87" t="s">
        <v>757</v>
      </c>
      <c r="AT360" s="20" t="e">
        <f>VLOOKUP(C360,AW:AX,2,FALSE)</f>
        <v>#N/A</v>
      </c>
      <c r="BZ360" s="71">
        <v>12137858.549999999</v>
      </c>
      <c r="CB360" s="71">
        <f>BZ360-D360</f>
        <v>4138705.1899999995</v>
      </c>
      <c r="CD360" s="20" t="e">
        <f t="shared" si="59"/>
        <v>#N/A</v>
      </c>
    </row>
    <row r="361" spans="1:82" ht="61.5" x14ac:dyDescent="0.85">
      <c r="A361" s="20">
        <v>1</v>
      </c>
      <c r="B361" s="66">
        <f>SUBTOTAL(103,$A$22:A361)</f>
        <v>320</v>
      </c>
      <c r="C361" s="24" t="s">
        <v>703</v>
      </c>
      <c r="D361" s="31">
        <f>E361+F361+G361+H361+I361+J361+L361+N361+P361+R361+T361+U361+V361+W361+X361+Y361+Z361+AA361+AB361+AC361+AD361+AE361</f>
        <v>3217837.34</v>
      </c>
      <c r="E361" s="31">
        <v>0</v>
      </c>
      <c r="F361" s="31">
        <v>0</v>
      </c>
      <c r="G361" s="31">
        <v>0</v>
      </c>
      <c r="H361" s="31">
        <v>0</v>
      </c>
      <c r="I361" s="31">
        <v>0</v>
      </c>
      <c r="J361" s="31">
        <v>0</v>
      </c>
      <c r="K361" s="33">
        <v>0</v>
      </c>
      <c r="L361" s="31">
        <v>0</v>
      </c>
      <c r="M361" s="39">
        <v>1144.52</v>
      </c>
      <c r="N361" s="39">
        <v>3057208.51</v>
      </c>
      <c r="O361" s="31">
        <v>0</v>
      </c>
      <c r="P361" s="31">
        <v>0</v>
      </c>
      <c r="Q361" s="31">
        <v>0</v>
      </c>
      <c r="R361" s="31">
        <v>0</v>
      </c>
      <c r="S361" s="31">
        <v>0</v>
      </c>
      <c r="T361" s="31">
        <v>0</v>
      </c>
      <c r="U361" s="31">
        <v>0</v>
      </c>
      <c r="V361" s="31">
        <v>0</v>
      </c>
      <c r="W361" s="31">
        <v>0</v>
      </c>
      <c r="X361" s="31">
        <v>0</v>
      </c>
      <c r="Y361" s="31">
        <v>0</v>
      </c>
      <c r="Z361" s="31">
        <v>0</v>
      </c>
      <c r="AA361" s="31">
        <v>0</v>
      </c>
      <c r="AB361" s="31">
        <v>0</v>
      </c>
      <c r="AC361" s="31">
        <f>ROUND(N361*1.5%,2)</f>
        <v>45858.13</v>
      </c>
      <c r="AD361" s="39">
        <v>114770.7</v>
      </c>
      <c r="AE361" s="31">
        <v>0</v>
      </c>
      <c r="AF361" s="34">
        <v>2020</v>
      </c>
      <c r="AG361" s="34">
        <v>2020</v>
      </c>
      <c r="AH361" s="35">
        <v>2020</v>
      </c>
      <c r="AT361" s="20" t="e">
        <f>VLOOKUP(C361,AW:AX,2,FALSE)</f>
        <v>#N/A</v>
      </c>
      <c r="BZ361" s="71"/>
      <c r="CD361" s="20" t="e">
        <f t="shared" si="59"/>
        <v>#N/A</v>
      </c>
    </row>
    <row r="362" spans="1:82" ht="61.5" x14ac:dyDescent="0.85">
      <c r="A362" s="20">
        <v>1</v>
      </c>
      <c r="B362" s="66">
        <f>SUBTOTAL(103,$A$22:A362)</f>
        <v>321</v>
      </c>
      <c r="C362" s="24" t="s">
        <v>1226</v>
      </c>
      <c r="D362" s="31">
        <f>E362+F362+G362+H362+I362+J362+L362+N362+P362+R362+T362+U362+V362+W362+X362+Y362+Z362+AA362+AB362+AC362+AD362+AE362</f>
        <v>4781316.0199999996</v>
      </c>
      <c r="E362" s="31">
        <v>0</v>
      </c>
      <c r="F362" s="31">
        <v>0</v>
      </c>
      <c r="G362" s="39">
        <f>1731244.66+2505128.48</f>
        <v>4236373.1399999997</v>
      </c>
      <c r="H362" s="39">
        <v>474283.04</v>
      </c>
      <c r="I362" s="31">
        <v>0</v>
      </c>
      <c r="J362" s="31">
        <v>0</v>
      </c>
      <c r="K362" s="33">
        <v>0</v>
      </c>
      <c r="L362" s="31">
        <v>0</v>
      </c>
      <c r="M362" s="31">
        <v>0</v>
      </c>
      <c r="N362" s="31">
        <v>0</v>
      </c>
      <c r="O362" s="31">
        <v>0</v>
      </c>
      <c r="P362" s="31">
        <v>0</v>
      </c>
      <c r="Q362" s="31">
        <v>0</v>
      </c>
      <c r="R362" s="31">
        <v>0</v>
      </c>
      <c r="S362" s="31">
        <v>0</v>
      </c>
      <c r="T362" s="31">
        <v>0</v>
      </c>
      <c r="U362" s="31">
        <v>0</v>
      </c>
      <c r="V362" s="31">
        <v>0</v>
      </c>
      <c r="W362" s="31">
        <v>0</v>
      </c>
      <c r="X362" s="31">
        <v>0</v>
      </c>
      <c r="Y362" s="31">
        <v>0</v>
      </c>
      <c r="Z362" s="31">
        <v>0</v>
      </c>
      <c r="AA362" s="31">
        <v>0</v>
      </c>
      <c r="AB362" s="31">
        <v>0</v>
      </c>
      <c r="AC362" s="31">
        <f>ROUND((E362+F362+G362+H362+I362+J362)*1.5%,2)</f>
        <v>70659.839999999997</v>
      </c>
      <c r="AD362" s="31">
        <v>0</v>
      </c>
      <c r="AE362" s="31">
        <v>0</v>
      </c>
      <c r="AF362" s="34" t="s">
        <v>270</v>
      </c>
      <c r="AG362" s="34">
        <v>2020</v>
      </c>
      <c r="AH362" s="35">
        <v>2020</v>
      </c>
      <c r="BZ362" s="71"/>
      <c r="CD362" s="20" t="e">
        <f t="shared" si="59"/>
        <v>#N/A</v>
      </c>
    </row>
    <row r="363" spans="1:82" ht="61.5" x14ac:dyDescent="0.85">
      <c r="B363" s="24" t="s">
        <v>836</v>
      </c>
      <c r="C363" s="24"/>
      <c r="D363" s="195">
        <f t="shared" ref="D363:AE363" si="67">D364</f>
        <v>3236596.36</v>
      </c>
      <c r="E363" s="31">
        <f t="shared" si="67"/>
        <v>0</v>
      </c>
      <c r="F363" s="31">
        <f t="shared" si="67"/>
        <v>0</v>
      </c>
      <c r="G363" s="31">
        <f t="shared" si="67"/>
        <v>0</v>
      </c>
      <c r="H363" s="31">
        <f t="shared" si="67"/>
        <v>0</v>
      </c>
      <c r="I363" s="31">
        <f t="shared" si="67"/>
        <v>0</v>
      </c>
      <c r="J363" s="31">
        <f t="shared" si="67"/>
        <v>0</v>
      </c>
      <c r="K363" s="33">
        <f t="shared" si="67"/>
        <v>0</v>
      </c>
      <c r="L363" s="31">
        <f t="shared" si="67"/>
        <v>0</v>
      </c>
      <c r="M363" s="31">
        <f t="shared" si="67"/>
        <v>552.27</v>
      </c>
      <c r="N363" s="31">
        <f t="shared" si="67"/>
        <v>3067762.84</v>
      </c>
      <c r="O363" s="31">
        <f t="shared" si="67"/>
        <v>0</v>
      </c>
      <c r="P363" s="31">
        <f t="shared" si="67"/>
        <v>0</v>
      </c>
      <c r="Q363" s="31">
        <f t="shared" si="67"/>
        <v>0</v>
      </c>
      <c r="R363" s="31">
        <f t="shared" si="67"/>
        <v>0</v>
      </c>
      <c r="S363" s="31">
        <f t="shared" si="67"/>
        <v>0</v>
      </c>
      <c r="T363" s="31">
        <f t="shared" si="67"/>
        <v>0</v>
      </c>
      <c r="U363" s="31">
        <f t="shared" si="67"/>
        <v>0</v>
      </c>
      <c r="V363" s="31">
        <f t="shared" si="67"/>
        <v>0</v>
      </c>
      <c r="W363" s="31">
        <f t="shared" si="67"/>
        <v>0</v>
      </c>
      <c r="X363" s="31">
        <f t="shared" si="67"/>
        <v>0</v>
      </c>
      <c r="Y363" s="31">
        <f t="shared" si="67"/>
        <v>0</v>
      </c>
      <c r="Z363" s="31">
        <f t="shared" si="67"/>
        <v>0</v>
      </c>
      <c r="AA363" s="31">
        <f t="shared" si="67"/>
        <v>0</v>
      </c>
      <c r="AB363" s="31">
        <f t="shared" si="67"/>
        <v>0</v>
      </c>
      <c r="AC363" s="31">
        <f t="shared" si="67"/>
        <v>46016.44</v>
      </c>
      <c r="AD363" s="31">
        <f t="shared" si="67"/>
        <v>122817.08</v>
      </c>
      <c r="AE363" s="31">
        <f t="shared" si="67"/>
        <v>0</v>
      </c>
      <c r="AF363" s="72" t="s">
        <v>757</v>
      </c>
      <c r="AG363" s="72" t="s">
        <v>757</v>
      </c>
      <c r="AH363" s="87" t="s">
        <v>757</v>
      </c>
      <c r="AT363" s="20" t="e">
        <f t="shared" ref="AT363:AT371" si="68">VLOOKUP(C363,AW:AX,2,FALSE)</f>
        <v>#N/A</v>
      </c>
      <c r="BZ363" s="71">
        <v>5698132.5200000005</v>
      </c>
      <c r="CD363" s="20" t="e">
        <f t="shared" si="59"/>
        <v>#N/A</v>
      </c>
    </row>
    <row r="364" spans="1:82" ht="61.5" x14ac:dyDescent="0.85">
      <c r="A364" s="20">
        <v>1</v>
      </c>
      <c r="B364" s="66">
        <f>SUBTOTAL(103,$A$22:A364)</f>
        <v>322</v>
      </c>
      <c r="C364" s="24" t="s">
        <v>801</v>
      </c>
      <c r="D364" s="31">
        <f>E364+F364+G364+H364+I364+J364+L364+N364+P364+R364+T364+U364+V364+W364+X364+Y364+Z364+AA364+AB364+AC364+AD364+AE364</f>
        <v>3236596.36</v>
      </c>
      <c r="E364" s="31">
        <v>0</v>
      </c>
      <c r="F364" s="31">
        <v>0</v>
      </c>
      <c r="G364" s="31">
        <v>0</v>
      </c>
      <c r="H364" s="31">
        <v>0</v>
      </c>
      <c r="I364" s="31">
        <v>0</v>
      </c>
      <c r="J364" s="31">
        <v>0</v>
      </c>
      <c r="K364" s="33">
        <v>0</v>
      </c>
      <c r="L364" s="31">
        <v>0</v>
      </c>
      <c r="M364" s="39">
        <v>552.27</v>
      </c>
      <c r="N364" s="39">
        <v>3067762.84</v>
      </c>
      <c r="O364" s="31">
        <v>0</v>
      </c>
      <c r="P364" s="31">
        <v>0</v>
      </c>
      <c r="Q364" s="31">
        <v>0</v>
      </c>
      <c r="R364" s="31">
        <v>0</v>
      </c>
      <c r="S364" s="31">
        <v>0</v>
      </c>
      <c r="T364" s="31">
        <v>0</v>
      </c>
      <c r="U364" s="31">
        <v>0</v>
      </c>
      <c r="V364" s="31">
        <v>0</v>
      </c>
      <c r="W364" s="31">
        <v>0</v>
      </c>
      <c r="X364" s="31">
        <v>0</v>
      </c>
      <c r="Y364" s="31">
        <v>0</v>
      </c>
      <c r="Z364" s="31">
        <v>0</v>
      </c>
      <c r="AA364" s="31">
        <v>0</v>
      </c>
      <c r="AB364" s="31">
        <v>0</v>
      </c>
      <c r="AC364" s="31">
        <f>ROUND((N364+R364)*1.5%,2)</f>
        <v>46016.44</v>
      </c>
      <c r="AD364" s="31">
        <v>122817.08</v>
      </c>
      <c r="AE364" s="31">
        <v>0</v>
      </c>
      <c r="AF364" s="34">
        <v>2020</v>
      </c>
      <c r="AG364" s="34">
        <v>2020</v>
      </c>
      <c r="AH364" s="34">
        <v>2020</v>
      </c>
      <c r="AT364" s="20" t="e">
        <f t="shared" si="68"/>
        <v>#N/A</v>
      </c>
      <c r="BZ364" s="71"/>
      <c r="CD364" s="20" t="e">
        <f t="shared" si="59"/>
        <v>#N/A</v>
      </c>
    </row>
    <row r="365" spans="1:82" ht="61.5" x14ac:dyDescent="0.85">
      <c r="B365" s="24" t="s">
        <v>837</v>
      </c>
      <c r="C365" s="108"/>
      <c r="D365" s="195">
        <f t="shared" ref="D365:AE365" si="69">SUM(D366:D379)</f>
        <v>45445529.100000001</v>
      </c>
      <c r="E365" s="31">
        <f t="shared" si="69"/>
        <v>170842.96</v>
      </c>
      <c r="F365" s="31">
        <f t="shared" si="69"/>
        <v>0</v>
      </c>
      <c r="G365" s="31">
        <f t="shared" si="69"/>
        <v>0</v>
      </c>
      <c r="H365" s="31">
        <f t="shared" si="69"/>
        <v>0</v>
      </c>
      <c r="I365" s="31">
        <f t="shared" si="69"/>
        <v>0</v>
      </c>
      <c r="J365" s="31">
        <f t="shared" si="69"/>
        <v>0</v>
      </c>
      <c r="K365" s="33">
        <f t="shared" si="69"/>
        <v>0</v>
      </c>
      <c r="L365" s="31">
        <f t="shared" si="69"/>
        <v>0</v>
      </c>
      <c r="M365" s="31">
        <f t="shared" si="69"/>
        <v>9868.5</v>
      </c>
      <c r="N365" s="31">
        <f t="shared" si="69"/>
        <v>38938314.030000001</v>
      </c>
      <c r="O365" s="31">
        <f t="shared" si="69"/>
        <v>0</v>
      </c>
      <c r="P365" s="31">
        <f t="shared" si="69"/>
        <v>0</v>
      </c>
      <c r="Q365" s="31">
        <f t="shared" si="69"/>
        <v>2836.8</v>
      </c>
      <c r="R365" s="31">
        <f t="shared" si="69"/>
        <v>5484510.0500000007</v>
      </c>
      <c r="S365" s="31">
        <f t="shared" si="69"/>
        <v>0</v>
      </c>
      <c r="T365" s="31">
        <f t="shared" si="69"/>
        <v>0</v>
      </c>
      <c r="U365" s="31">
        <f t="shared" si="69"/>
        <v>0</v>
      </c>
      <c r="V365" s="31">
        <f t="shared" si="69"/>
        <v>0</v>
      </c>
      <c r="W365" s="31">
        <f t="shared" si="69"/>
        <v>0</v>
      </c>
      <c r="X365" s="31">
        <f t="shared" si="69"/>
        <v>0</v>
      </c>
      <c r="Y365" s="31">
        <f t="shared" si="69"/>
        <v>0</v>
      </c>
      <c r="Z365" s="31">
        <f t="shared" si="69"/>
        <v>0</v>
      </c>
      <c r="AA365" s="31">
        <f t="shared" si="69"/>
        <v>0</v>
      </c>
      <c r="AB365" s="31">
        <f t="shared" si="69"/>
        <v>0</v>
      </c>
      <c r="AC365" s="31">
        <f t="shared" si="69"/>
        <v>554759.3600000001</v>
      </c>
      <c r="AD365" s="31">
        <f t="shared" si="69"/>
        <v>297102.7</v>
      </c>
      <c r="AE365" s="31">
        <f t="shared" si="69"/>
        <v>0</v>
      </c>
      <c r="AF365" s="72" t="s">
        <v>757</v>
      </c>
      <c r="AG365" s="72" t="s">
        <v>757</v>
      </c>
      <c r="AH365" s="87" t="s">
        <v>757</v>
      </c>
      <c r="AT365" s="20" t="e">
        <f t="shared" si="68"/>
        <v>#N/A</v>
      </c>
      <c r="AV365" s="20">
        <v>20654065.649999999</v>
      </c>
      <c r="AW365" s="71">
        <f>AV365-D365</f>
        <v>-24791463.450000003</v>
      </c>
      <c r="BZ365" s="31">
        <v>56051993.530000009</v>
      </c>
      <c r="CA365" s="31"/>
      <c r="CB365" s="31">
        <f>BZ365-D365</f>
        <v>10606464.430000007</v>
      </c>
      <c r="CD365" s="20" t="e">
        <f t="shared" si="59"/>
        <v>#N/A</v>
      </c>
    </row>
    <row r="366" spans="1:82" ht="61.5" x14ac:dyDescent="0.85">
      <c r="A366" s="20">
        <v>1</v>
      </c>
      <c r="B366" s="66">
        <f>SUBTOTAL(103,$A$22:A366)</f>
        <v>323</v>
      </c>
      <c r="C366" s="24" t="s">
        <v>114</v>
      </c>
      <c r="D366" s="31">
        <f t="shared" ref="D366:D379" si="70">E366+F366+G366+H366+I366+J366+L366+N366+P366+R366+T366+U366+V366+W366+X366+Y366+Z366+AA366+AB366+AC366+AD366+AE366</f>
        <v>54256.44</v>
      </c>
      <c r="E366" s="31">
        <v>0</v>
      </c>
      <c r="F366" s="31">
        <v>0</v>
      </c>
      <c r="G366" s="31">
        <v>0</v>
      </c>
      <c r="H366" s="31">
        <v>0</v>
      </c>
      <c r="I366" s="31">
        <v>0</v>
      </c>
      <c r="J366" s="31">
        <v>0</v>
      </c>
      <c r="K366" s="33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0</v>
      </c>
      <c r="Q366" s="31">
        <v>0</v>
      </c>
      <c r="R366" s="31">
        <v>0</v>
      </c>
      <c r="S366" s="31">
        <v>0</v>
      </c>
      <c r="T366" s="31">
        <v>0</v>
      </c>
      <c r="U366" s="31">
        <v>0</v>
      </c>
      <c r="V366" s="31">
        <v>0</v>
      </c>
      <c r="W366" s="31">
        <v>0</v>
      </c>
      <c r="X366" s="31">
        <v>0</v>
      </c>
      <c r="Y366" s="31">
        <v>0</v>
      </c>
      <c r="Z366" s="31">
        <v>0</v>
      </c>
      <c r="AA366" s="31">
        <v>0</v>
      </c>
      <c r="AB366" s="31">
        <v>0</v>
      </c>
      <c r="AC366" s="31">
        <f t="shared" ref="AC366:AC368" si="71">ROUND(N366*1.5%,2)</f>
        <v>0</v>
      </c>
      <c r="AD366" s="31">
        <v>54256.44</v>
      </c>
      <c r="AE366" s="31">
        <v>0</v>
      </c>
      <c r="AF366" s="34">
        <v>2020</v>
      </c>
      <c r="AG366" s="34" t="s">
        <v>270</v>
      </c>
      <c r="AH366" s="34" t="s">
        <v>270</v>
      </c>
      <c r="AT366" s="20" t="e">
        <f t="shared" si="68"/>
        <v>#N/A</v>
      </c>
      <c r="BZ366" s="71"/>
      <c r="CD366" s="20" t="e">
        <f t="shared" si="59"/>
        <v>#N/A</v>
      </c>
    </row>
    <row r="367" spans="1:82" ht="61.5" x14ac:dyDescent="0.85">
      <c r="A367" s="20">
        <v>1</v>
      </c>
      <c r="B367" s="66">
        <f>SUBTOTAL(103,$A$22:A367)</f>
        <v>324</v>
      </c>
      <c r="C367" s="24" t="s">
        <v>117</v>
      </c>
      <c r="D367" s="31">
        <f t="shared" si="70"/>
        <v>2502252.8600000003</v>
      </c>
      <c r="E367" s="31">
        <v>0</v>
      </c>
      <c r="F367" s="31">
        <v>0</v>
      </c>
      <c r="G367" s="31">
        <v>0</v>
      </c>
      <c r="H367" s="31">
        <v>0</v>
      </c>
      <c r="I367" s="31">
        <v>0</v>
      </c>
      <c r="J367" s="31">
        <v>0</v>
      </c>
      <c r="K367" s="33">
        <v>0</v>
      </c>
      <c r="L367" s="31">
        <v>0</v>
      </c>
      <c r="M367" s="39">
        <v>616.94000000000005</v>
      </c>
      <c r="N367" s="39">
        <v>2411642.35</v>
      </c>
      <c r="O367" s="31">
        <v>0</v>
      </c>
      <c r="P367" s="31">
        <v>0</v>
      </c>
      <c r="Q367" s="31">
        <v>0</v>
      </c>
      <c r="R367" s="31">
        <v>0</v>
      </c>
      <c r="S367" s="31">
        <v>0</v>
      </c>
      <c r="T367" s="31">
        <v>0</v>
      </c>
      <c r="U367" s="31">
        <v>0</v>
      </c>
      <c r="V367" s="31">
        <v>0</v>
      </c>
      <c r="W367" s="31">
        <v>0</v>
      </c>
      <c r="X367" s="31">
        <v>0</v>
      </c>
      <c r="Y367" s="31">
        <v>0</v>
      </c>
      <c r="Z367" s="31">
        <v>0</v>
      </c>
      <c r="AA367" s="31">
        <v>0</v>
      </c>
      <c r="AB367" s="31">
        <v>0</v>
      </c>
      <c r="AC367" s="31">
        <f t="shared" si="71"/>
        <v>36174.639999999999</v>
      </c>
      <c r="AD367" s="31">
        <v>54435.87</v>
      </c>
      <c r="AE367" s="31">
        <v>0</v>
      </c>
      <c r="AF367" s="34">
        <v>2020</v>
      </c>
      <c r="AG367" s="34">
        <v>2020</v>
      </c>
      <c r="AH367" s="35">
        <v>2020</v>
      </c>
      <c r="AT367" s="20" t="e">
        <f t="shared" si="68"/>
        <v>#N/A</v>
      </c>
      <c r="BZ367" s="71"/>
      <c r="CD367" s="20" t="e">
        <f t="shared" si="59"/>
        <v>#N/A</v>
      </c>
    </row>
    <row r="368" spans="1:82" ht="61.5" x14ac:dyDescent="0.85">
      <c r="A368" s="20">
        <v>1</v>
      </c>
      <c r="B368" s="66">
        <f>SUBTOTAL(103,$A$22:A368)</f>
        <v>325</v>
      </c>
      <c r="C368" s="24" t="s">
        <v>113</v>
      </c>
      <c r="D368" s="31">
        <f t="shared" si="70"/>
        <v>2257759.4200000004</v>
      </c>
      <c r="E368" s="31">
        <v>0</v>
      </c>
      <c r="F368" s="31">
        <v>0</v>
      </c>
      <c r="G368" s="31">
        <v>0</v>
      </c>
      <c r="H368" s="31">
        <v>0</v>
      </c>
      <c r="I368" s="31">
        <v>0</v>
      </c>
      <c r="J368" s="31">
        <v>0</v>
      </c>
      <c r="K368" s="33">
        <v>0</v>
      </c>
      <c r="L368" s="31">
        <v>0</v>
      </c>
      <c r="M368" s="39">
        <v>340</v>
      </c>
      <c r="N368" s="39">
        <f>1683420.22+501165.52</f>
        <v>2184585.7400000002</v>
      </c>
      <c r="O368" s="31">
        <v>0</v>
      </c>
      <c r="P368" s="31">
        <v>0</v>
      </c>
      <c r="Q368" s="31">
        <v>0</v>
      </c>
      <c r="R368" s="31">
        <v>0</v>
      </c>
      <c r="S368" s="31">
        <v>0</v>
      </c>
      <c r="T368" s="31">
        <v>0</v>
      </c>
      <c r="U368" s="31">
        <v>0</v>
      </c>
      <c r="V368" s="31">
        <v>0</v>
      </c>
      <c r="W368" s="31">
        <v>0</v>
      </c>
      <c r="X368" s="31">
        <v>0</v>
      </c>
      <c r="Y368" s="31">
        <v>0</v>
      </c>
      <c r="Z368" s="31">
        <v>0</v>
      </c>
      <c r="AA368" s="31">
        <v>0</v>
      </c>
      <c r="AB368" s="31">
        <v>0</v>
      </c>
      <c r="AC368" s="31">
        <f t="shared" si="71"/>
        <v>32768.79</v>
      </c>
      <c r="AD368" s="31">
        <v>40404.89</v>
      </c>
      <c r="AE368" s="31">
        <v>0</v>
      </c>
      <c r="AF368" s="34">
        <v>2020</v>
      </c>
      <c r="AG368" s="34">
        <v>2020</v>
      </c>
      <c r="AH368" s="35">
        <v>2020</v>
      </c>
      <c r="AT368" s="20" t="e">
        <f t="shared" si="68"/>
        <v>#N/A</v>
      </c>
      <c r="BZ368" s="71"/>
      <c r="CD368" s="20" t="e">
        <f t="shared" si="59"/>
        <v>#N/A</v>
      </c>
    </row>
    <row r="369" spans="1:82" ht="61.5" x14ac:dyDescent="0.85">
      <c r="A369" s="20">
        <v>1</v>
      </c>
      <c r="B369" s="66">
        <f>SUBTOTAL(103,$A$22:A369)</f>
        <v>326</v>
      </c>
      <c r="C369" s="24" t="s">
        <v>115</v>
      </c>
      <c r="D369" s="31">
        <f t="shared" si="70"/>
        <v>4557103.54</v>
      </c>
      <c r="E369" s="31">
        <v>0</v>
      </c>
      <c r="F369" s="31">
        <v>0</v>
      </c>
      <c r="G369" s="31">
        <v>0</v>
      </c>
      <c r="H369" s="31">
        <v>0</v>
      </c>
      <c r="I369" s="31">
        <v>0</v>
      </c>
      <c r="J369" s="31">
        <v>0</v>
      </c>
      <c r="K369" s="33">
        <v>0</v>
      </c>
      <c r="L369" s="31">
        <v>0</v>
      </c>
      <c r="M369" s="39">
        <v>1235.5</v>
      </c>
      <c r="N369" s="39">
        <v>4529924</v>
      </c>
      <c r="O369" s="31">
        <v>0</v>
      </c>
      <c r="P369" s="31">
        <v>0</v>
      </c>
      <c r="Q369" s="31">
        <v>0</v>
      </c>
      <c r="R369" s="31">
        <v>0</v>
      </c>
      <c r="S369" s="31">
        <v>0</v>
      </c>
      <c r="T369" s="31">
        <v>0</v>
      </c>
      <c r="U369" s="31">
        <v>0</v>
      </c>
      <c r="V369" s="31">
        <v>0</v>
      </c>
      <c r="W369" s="31">
        <v>0</v>
      </c>
      <c r="X369" s="31">
        <v>0</v>
      </c>
      <c r="Y369" s="31">
        <v>0</v>
      </c>
      <c r="Z369" s="31">
        <v>0</v>
      </c>
      <c r="AA369" s="31">
        <v>0</v>
      </c>
      <c r="AB369" s="31">
        <v>0</v>
      </c>
      <c r="AC369" s="39">
        <v>27179.54</v>
      </c>
      <c r="AD369" s="31">
        <v>0</v>
      </c>
      <c r="AE369" s="31">
        <v>0</v>
      </c>
      <c r="AF369" s="34" t="s">
        <v>270</v>
      </c>
      <c r="AG369" s="34">
        <v>2020</v>
      </c>
      <c r="AH369" s="35">
        <v>2020</v>
      </c>
      <c r="AT369" s="20" t="e">
        <f t="shared" si="68"/>
        <v>#N/A</v>
      </c>
      <c r="BZ369" s="71"/>
      <c r="CD369" s="20">
        <f t="shared" si="59"/>
        <v>1256.9000000000001</v>
      </c>
    </row>
    <row r="370" spans="1:82" ht="61.5" x14ac:dyDescent="0.85">
      <c r="A370" s="20">
        <v>1</v>
      </c>
      <c r="B370" s="66">
        <f>SUBTOTAL(103,$A$22:A370)</f>
        <v>327</v>
      </c>
      <c r="C370" s="24" t="s">
        <v>116</v>
      </c>
      <c r="D370" s="31">
        <f t="shared" si="70"/>
        <v>4223582.3699999992</v>
      </c>
      <c r="E370" s="31">
        <v>0</v>
      </c>
      <c r="F370" s="31">
        <v>0</v>
      </c>
      <c r="G370" s="31">
        <v>0</v>
      </c>
      <c r="H370" s="31">
        <v>0</v>
      </c>
      <c r="I370" s="31">
        <v>0</v>
      </c>
      <c r="J370" s="31">
        <v>0</v>
      </c>
      <c r="K370" s="33">
        <v>0</v>
      </c>
      <c r="L370" s="31">
        <v>0</v>
      </c>
      <c r="M370" s="39">
        <v>1109.18</v>
      </c>
      <c r="N370" s="39">
        <v>4198392.0199999996</v>
      </c>
      <c r="O370" s="31">
        <v>0</v>
      </c>
      <c r="P370" s="31">
        <v>0</v>
      </c>
      <c r="Q370" s="31">
        <v>0</v>
      </c>
      <c r="R370" s="31">
        <v>0</v>
      </c>
      <c r="S370" s="31">
        <v>0</v>
      </c>
      <c r="T370" s="31">
        <v>0</v>
      </c>
      <c r="U370" s="31">
        <v>0</v>
      </c>
      <c r="V370" s="31">
        <v>0</v>
      </c>
      <c r="W370" s="31">
        <v>0</v>
      </c>
      <c r="X370" s="31">
        <v>0</v>
      </c>
      <c r="Y370" s="31">
        <v>0</v>
      </c>
      <c r="Z370" s="31">
        <v>0</v>
      </c>
      <c r="AA370" s="31">
        <v>0</v>
      </c>
      <c r="AB370" s="31">
        <v>0</v>
      </c>
      <c r="AC370" s="39">
        <v>25190.35</v>
      </c>
      <c r="AD370" s="31">
        <v>0</v>
      </c>
      <c r="AE370" s="31">
        <v>0</v>
      </c>
      <c r="AF370" s="34" t="s">
        <v>270</v>
      </c>
      <c r="AG370" s="34">
        <v>2020</v>
      </c>
      <c r="AH370" s="35">
        <v>2020</v>
      </c>
      <c r="AT370" s="20" t="e">
        <f t="shared" si="68"/>
        <v>#N/A</v>
      </c>
      <c r="BZ370" s="71"/>
      <c r="CD370" s="20">
        <f t="shared" si="59"/>
        <v>1151</v>
      </c>
    </row>
    <row r="371" spans="1:82" ht="61.5" x14ac:dyDescent="0.85">
      <c r="A371" s="20">
        <v>1</v>
      </c>
      <c r="B371" s="66">
        <f>SUBTOTAL(103,$A$22:A371)</f>
        <v>328</v>
      </c>
      <c r="C371" s="24" t="s">
        <v>118</v>
      </c>
      <c r="D371" s="31">
        <f t="shared" si="70"/>
        <v>3453193.2099999995</v>
      </c>
      <c r="E371" s="31">
        <v>0</v>
      </c>
      <c r="F371" s="31">
        <v>0</v>
      </c>
      <c r="G371" s="31">
        <v>0</v>
      </c>
      <c r="H371" s="31">
        <v>0</v>
      </c>
      <c r="I371" s="31">
        <v>0</v>
      </c>
      <c r="J371" s="31">
        <v>0</v>
      </c>
      <c r="K371" s="74">
        <v>0</v>
      </c>
      <c r="L371" s="31">
        <v>0</v>
      </c>
      <c r="M371" s="39">
        <v>635</v>
      </c>
      <c r="N371" s="39">
        <f>3347864.86+539.8</f>
        <v>3348404.6599999997</v>
      </c>
      <c r="O371" s="31">
        <v>0</v>
      </c>
      <c r="P371" s="31">
        <v>0</v>
      </c>
      <c r="Q371" s="31">
        <v>0</v>
      </c>
      <c r="R371" s="31">
        <v>0</v>
      </c>
      <c r="S371" s="31">
        <v>0</v>
      </c>
      <c r="T371" s="31">
        <v>0</v>
      </c>
      <c r="U371" s="31">
        <v>0</v>
      </c>
      <c r="V371" s="31">
        <v>0</v>
      </c>
      <c r="W371" s="31">
        <v>0</v>
      </c>
      <c r="X371" s="31">
        <v>0</v>
      </c>
      <c r="Y371" s="31">
        <v>0</v>
      </c>
      <c r="Z371" s="31">
        <v>0</v>
      </c>
      <c r="AA371" s="31">
        <v>0</v>
      </c>
      <c r="AB371" s="31">
        <v>0</v>
      </c>
      <c r="AC371" s="31">
        <f t="shared" ref="AC371" si="72">ROUND(N371*1.5%,2)</f>
        <v>50226.07</v>
      </c>
      <c r="AD371" s="31">
        <v>54562.48</v>
      </c>
      <c r="AE371" s="31">
        <v>0</v>
      </c>
      <c r="AF371" s="34">
        <v>2020</v>
      </c>
      <c r="AG371" s="34">
        <v>2020</v>
      </c>
      <c r="AH371" s="34">
        <v>2020</v>
      </c>
      <c r="AT371" s="20" t="e">
        <f t="shared" si="68"/>
        <v>#N/A</v>
      </c>
      <c r="BZ371" s="71"/>
      <c r="CD371" s="20" t="e">
        <f t="shared" si="59"/>
        <v>#N/A</v>
      </c>
    </row>
    <row r="372" spans="1:82" ht="61.5" x14ac:dyDescent="0.85">
      <c r="A372" s="20">
        <v>1</v>
      </c>
      <c r="B372" s="66">
        <f>SUBTOTAL(103,$A$22:A372)</f>
        <v>329</v>
      </c>
      <c r="C372" s="24" t="s">
        <v>1227</v>
      </c>
      <c r="D372" s="31">
        <f t="shared" si="70"/>
        <v>5566777.7000000011</v>
      </c>
      <c r="E372" s="31">
        <v>0</v>
      </c>
      <c r="F372" s="31">
        <v>0</v>
      </c>
      <c r="G372" s="31">
        <v>0</v>
      </c>
      <c r="H372" s="31">
        <v>0</v>
      </c>
      <c r="I372" s="31">
        <v>0</v>
      </c>
      <c r="J372" s="31">
        <v>0</v>
      </c>
      <c r="K372" s="33">
        <v>0</v>
      </c>
      <c r="L372" s="31">
        <v>0</v>
      </c>
      <c r="M372" s="31">
        <v>0</v>
      </c>
      <c r="N372" s="31">
        <v>0</v>
      </c>
      <c r="O372" s="31">
        <v>0</v>
      </c>
      <c r="P372" s="31">
        <v>0</v>
      </c>
      <c r="Q372" s="39">
        <v>2836.8</v>
      </c>
      <c r="R372" s="39">
        <f>5358277.61+126232.44</f>
        <v>5484510.0500000007</v>
      </c>
      <c r="S372" s="31">
        <v>0</v>
      </c>
      <c r="T372" s="31">
        <v>0</v>
      </c>
      <c r="U372" s="31">
        <v>0</v>
      </c>
      <c r="V372" s="31">
        <v>0</v>
      </c>
      <c r="W372" s="31">
        <v>0</v>
      </c>
      <c r="X372" s="31">
        <v>0</v>
      </c>
      <c r="Y372" s="31">
        <v>0</v>
      </c>
      <c r="Z372" s="31">
        <v>0</v>
      </c>
      <c r="AA372" s="31">
        <v>0</v>
      </c>
      <c r="AB372" s="31">
        <v>0</v>
      </c>
      <c r="AC372" s="31">
        <f>ROUND(R372*1.5%,2)</f>
        <v>82267.649999999994</v>
      </c>
      <c r="AD372" s="31">
        <v>0</v>
      </c>
      <c r="AE372" s="31">
        <v>0</v>
      </c>
      <c r="AF372" s="34" t="s">
        <v>270</v>
      </c>
      <c r="AG372" s="34">
        <v>2020</v>
      </c>
      <c r="AH372" s="35">
        <v>2020</v>
      </c>
      <c r="BZ372" s="71"/>
      <c r="CD372" s="20" t="e">
        <f t="shared" si="59"/>
        <v>#N/A</v>
      </c>
    </row>
    <row r="373" spans="1:82" ht="61.5" x14ac:dyDescent="0.85">
      <c r="A373" s="20">
        <v>1</v>
      </c>
      <c r="B373" s="66">
        <f>SUBTOTAL(103,$A$22:A373)</f>
        <v>330</v>
      </c>
      <c r="C373" s="24" t="s">
        <v>1228</v>
      </c>
      <c r="D373" s="31">
        <f t="shared" si="70"/>
        <v>4137160</v>
      </c>
      <c r="E373" s="31">
        <v>0</v>
      </c>
      <c r="F373" s="31">
        <v>0</v>
      </c>
      <c r="G373" s="31">
        <v>0</v>
      </c>
      <c r="H373" s="31">
        <v>0</v>
      </c>
      <c r="I373" s="31">
        <v>0</v>
      </c>
      <c r="J373" s="31">
        <v>0</v>
      </c>
      <c r="K373" s="33">
        <v>0</v>
      </c>
      <c r="L373" s="31">
        <v>0</v>
      </c>
      <c r="M373" s="39">
        <v>1159.3699999999999</v>
      </c>
      <c r="N373" s="39">
        <v>4076320.91</v>
      </c>
      <c r="O373" s="31">
        <v>0</v>
      </c>
      <c r="P373" s="31">
        <v>0</v>
      </c>
      <c r="Q373" s="31">
        <v>0</v>
      </c>
      <c r="R373" s="31">
        <v>0</v>
      </c>
      <c r="S373" s="31">
        <v>0</v>
      </c>
      <c r="T373" s="31">
        <v>0</v>
      </c>
      <c r="U373" s="31">
        <v>0</v>
      </c>
      <c r="V373" s="31">
        <v>0</v>
      </c>
      <c r="W373" s="31">
        <v>0</v>
      </c>
      <c r="X373" s="31">
        <v>0</v>
      </c>
      <c r="Y373" s="31">
        <v>0</v>
      </c>
      <c r="Z373" s="31">
        <v>0</v>
      </c>
      <c r="AA373" s="31">
        <v>0</v>
      </c>
      <c r="AB373" s="31">
        <v>0</v>
      </c>
      <c r="AC373" s="39">
        <v>60839.09</v>
      </c>
      <c r="AD373" s="31">
        <v>0</v>
      </c>
      <c r="AE373" s="31">
        <v>0</v>
      </c>
      <c r="AF373" s="34" t="s">
        <v>270</v>
      </c>
      <c r="AG373" s="34">
        <v>2020</v>
      </c>
      <c r="AH373" s="35">
        <v>2020</v>
      </c>
      <c r="BZ373" s="71"/>
      <c r="CD373" s="20">
        <f t="shared" si="59"/>
        <v>1150.3</v>
      </c>
    </row>
    <row r="374" spans="1:82" ht="61.5" x14ac:dyDescent="0.85">
      <c r="A374" s="20">
        <v>1</v>
      </c>
      <c r="B374" s="66">
        <f>SUBTOTAL(103,$A$22:A374)</f>
        <v>331</v>
      </c>
      <c r="C374" s="24" t="s">
        <v>1229</v>
      </c>
      <c r="D374" s="31">
        <f t="shared" si="70"/>
        <v>2786924.03</v>
      </c>
      <c r="E374" s="31">
        <v>0</v>
      </c>
      <c r="F374" s="31">
        <v>0</v>
      </c>
      <c r="G374" s="31">
        <v>0</v>
      </c>
      <c r="H374" s="31">
        <v>0</v>
      </c>
      <c r="I374" s="31">
        <v>0</v>
      </c>
      <c r="J374" s="31">
        <v>0</v>
      </c>
      <c r="K374" s="33">
        <v>0</v>
      </c>
      <c r="L374" s="31">
        <v>0</v>
      </c>
      <c r="M374" s="39">
        <v>763.8</v>
      </c>
      <c r="N374" s="39">
        <v>2745737.96</v>
      </c>
      <c r="O374" s="31">
        <v>0</v>
      </c>
      <c r="P374" s="31">
        <v>0</v>
      </c>
      <c r="Q374" s="31">
        <v>0</v>
      </c>
      <c r="R374" s="31">
        <v>0</v>
      </c>
      <c r="S374" s="31">
        <v>0</v>
      </c>
      <c r="T374" s="31">
        <v>0</v>
      </c>
      <c r="U374" s="31">
        <v>0</v>
      </c>
      <c r="V374" s="31">
        <v>0</v>
      </c>
      <c r="W374" s="31">
        <v>0</v>
      </c>
      <c r="X374" s="31">
        <v>0</v>
      </c>
      <c r="Y374" s="31">
        <v>0</v>
      </c>
      <c r="Z374" s="31">
        <v>0</v>
      </c>
      <c r="AA374" s="31">
        <v>0</v>
      </c>
      <c r="AB374" s="31">
        <v>0</v>
      </c>
      <c r="AC374" s="31">
        <f>ROUND(N374*1.5%,2)</f>
        <v>41186.07</v>
      </c>
      <c r="AD374" s="31">
        <v>0</v>
      </c>
      <c r="AE374" s="31">
        <v>0</v>
      </c>
      <c r="AF374" s="34" t="s">
        <v>270</v>
      </c>
      <c r="AG374" s="34">
        <v>2020</v>
      </c>
      <c r="AH374" s="35">
        <v>2020</v>
      </c>
      <c r="BZ374" s="71"/>
      <c r="CD374" s="20">
        <f t="shared" si="59"/>
        <v>763.8</v>
      </c>
    </row>
    <row r="375" spans="1:82" ht="61.5" x14ac:dyDescent="0.85">
      <c r="A375" s="20">
        <v>1</v>
      </c>
      <c r="B375" s="66">
        <f>SUBTOTAL(103,$A$22:A375)</f>
        <v>332</v>
      </c>
      <c r="C375" s="24" t="s">
        <v>1230</v>
      </c>
      <c r="D375" s="31">
        <f t="shared" si="70"/>
        <v>1749750.39</v>
      </c>
      <c r="E375" s="31">
        <v>0</v>
      </c>
      <c r="F375" s="31">
        <v>0</v>
      </c>
      <c r="G375" s="31">
        <v>0</v>
      </c>
      <c r="H375" s="31">
        <v>0</v>
      </c>
      <c r="I375" s="31">
        <v>0</v>
      </c>
      <c r="J375" s="31">
        <v>0</v>
      </c>
      <c r="K375" s="33">
        <v>0</v>
      </c>
      <c r="L375" s="31">
        <v>0</v>
      </c>
      <c r="M375" s="39">
        <v>456.6</v>
      </c>
      <c r="N375" s="39">
        <v>1724019.4</v>
      </c>
      <c r="O375" s="31">
        <v>0</v>
      </c>
      <c r="P375" s="31">
        <v>0</v>
      </c>
      <c r="Q375" s="31">
        <v>0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  <c r="Y375" s="31">
        <v>0</v>
      </c>
      <c r="Z375" s="31">
        <v>0</v>
      </c>
      <c r="AA375" s="31">
        <v>0</v>
      </c>
      <c r="AB375" s="31">
        <v>0</v>
      </c>
      <c r="AC375" s="39">
        <v>25730.99</v>
      </c>
      <c r="AD375" s="31">
        <v>0</v>
      </c>
      <c r="AE375" s="31">
        <v>0</v>
      </c>
      <c r="AF375" s="34" t="s">
        <v>270</v>
      </c>
      <c r="AG375" s="34">
        <v>2020</v>
      </c>
      <c r="AH375" s="35">
        <v>2020</v>
      </c>
      <c r="BZ375" s="71"/>
      <c r="CD375" s="20">
        <f t="shared" si="59"/>
        <v>461.1</v>
      </c>
    </row>
    <row r="376" spans="1:82" ht="61.5" x14ac:dyDescent="0.85">
      <c r="A376" s="20">
        <v>1</v>
      </c>
      <c r="B376" s="66">
        <f>SUBTOTAL(103,$A$22:A376)</f>
        <v>333</v>
      </c>
      <c r="C376" s="24" t="s">
        <v>1231</v>
      </c>
      <c r="D376" s="31">
        <f t="shared" si="70"/>
        <v>173405.6</v>
      </c>
      <c r="E376" s="31">
        <v>170842.96</v>
      </c>
      <c r="F376" s="31">
        <v>0</v>
      </c>
      <c r="G376" s="31">
        <v>0</v>
      </c>
      <c r="H376" s="31">
        <v>0</v>
      </c>
      <c r="I376" s="31">
        <v>0</v>
      </c>
      <c r="J376" s="31">
        <v>0</v>
      </c>
      <c r="K376" s="33">
        <v>0</v>
      </c>
      <c r="L376" s="31">
        <v>0</v>
      </c>
      <c r="M376" s="31">
        <v>0</v>
      </c>
      <c r="N376" s="31">
        <v>0</v>
      </c>
      <c r="O376" s="31">
        <v>0</v>
      </c>
      <c r="P376" s="31">
        <v>0</v>
      </c>
      <c r="Q376" s="31">
        <v>0</v>
      </c>
      <c r="R376" s="31">
        <v>0</v>
      </c>
      <c r="S376" s="31">
        <v>0</v>
      </c>
      <c r="T376" s="31">
        <v>0</v>
      </c>
      <c r="U376" s="31">
        <v>0</v>
      </c>
      <c r="V376" s="31">
        <v>0</v>
      </c>
      <c r="W376" s="31">
        <v>0</v>
      </c>
      <c r="X376" s="31">
        <v>0</v>
      </c>
      <c r="Y376" s="31">
        <v>0</v>
      </c>
      <c r="Z376" s="31">
        <v>0</v>
      </c>
      <c r="AA376" s="31">
        <v>0</v>
      </c>
      <c r="AB376" s="31">
        <v>0</v>
      </c>
      <c r="AC376" s="31">
        <f>ROUND((E376+F376+G376+H376+I376+J376)*1.5%,2)</f>
        <v>2562.64</v>
      </c>
      <c r="AD376" s="31">
        <v>0</v>
      </c>
      <c r="AE376" s="31">
        <v>0</v>
      </c>
      <c r="AF376" s="34" t="s">
        <v>270</v>
      </c>
      <c r="AG376" s="34">
        <v>2020</v>
      </c>
      <c r="AH376" s="35">
        <v>2020</v>
      </c>
      <c r="BZ376" s="71"/>
      <c r="CD376" s="20" t="e">
        <f t="shared" si="59"/>
        <v>#N/A</v>
      </c>
    </row>
    <row r="377" spans="1:82" ht="61.5" x14ac:dyDescent="0.85">
      <c r="A377" s="20">
        <v>1</v>
      </c>
      <c r="B377" s="66">
        <f>SUBTOTAL(103,$A$22:A377)</f>
        <v>334</v>
      </c>
      <c r="C377" s="24" t="s">
        <v>1232</v>
      </c>
      <c r="D377" s="31">
        <f t="shared" si="70"/>
        <v>6271249.8300000001</v>
      </c>
      <c r="E377" s="31">
        <v>0</v>
      </c>
      <c r="F377" s="31">
        <v>0</v>
      </c>
      <c r="G377" s="31">
        <v>0</v>
      </c>
      <c r="H377" s="31">
        <v>0</v>
      </c>
      <c r="I377" s="31">
        <v>0</v>
      </c>
      <c r="J377" s="31">
        <v>0</v>
      </c>
      <c r="K377" s="33">
        <v>0</v>
      </c>
      <c r="L377" s="31">
        <v>0</v>
      </c>
      <c r="M377" s="39">
        <v>1532.62</v>
      </c>
      <c r="N377" s="39">
        <v>6178571.2599999998</v>
      </c>
      <c r="O377" s="31">
        <v>0</v>
      </c>
      <c r="P377" s="31">
        <v>0</v>
      </c>
      <c r="Q377" s="31">
        <v>0</v>
      </c>
      <c r="R377" s="31">
        <v>0</v>
      </c>
      <c r="S377" s="31">
        <v>0</v>
      </c>
      <c r="T377" s="31">
        <v>0</v>
      </c>
      <c r="U377" s="31">
        <v>0</v>
      </c>
      <c r="V377" s="31">
        <v>0</v>
      </c>
      <c r="W377" s="31">
        <v>0</v>
      </c>
      <c r="X377" s="31">
        <v>0</v>
      </c>
      <c r="Y377" s="31">
        <v>0</v>
      </c>
      <c r="Z377" s="31">
        <v>0</v>
      </c>
      <c r="AA377" s="31">
        <v>0</v>
      </c>
      <c r="AB377" s="31">
        <v>0</v>
      </c>
      <c r="AC377" s="31">
        <f>ROUND(N377*1.5%,2)</f>
        <v>92678.57</v>
      </c>
      <c r="AD377" s="31">
        <v>0</v>
      </c>
      <c r="AE377" s="31">
        <v>0</v>
      </c>
      <c r="AF377" s="34" t="s">
        <v>270</v>
      </c>
      <c r="AG377" s="34">
        <v>2020</v>
      </c>
      <c r="AH377" s="35">
        <v>2020</v>
      </c>
      <c r="BZ377" s="71"/>
      <c r="CD377" s="20">
        <f t="shared" si="59"/>
        <v>1528.9</v>
      </c>
    </row>
    <row r="378" spans="1:82" ht="61.5" x14ac:dyDescent="0.85">
      <c r="A378" s="20">
        <v>1</v>
      </c>
      <c r="B378" s="66">
        <f>SUBTOTAL(103,$A$22:A378)</f>
        <v>335</v>
      </c>
      <c r="C378" s="24" t="s">
        <v>1568</v>
      </c>
      <c r="D378" s="31">
        <f t="shared" si="70"/>
        <v>3782480.4</v>
      </c>
      <c r="E378" s="31">
        <v>0</v>
      </c>
      <c r="F378" s="31">
        <v>0</v>
      </c>
      <c r="G378" s="31">
        <v>0</v>
      </c>
      <c r="H378" s="31">
        <v>0</v>
      </c>
      <c r="I378" s="31">
        <v>0</v>
      </c>
      <c r="J378" s="31">
        <v>0</v>
      </c>
      <c r="K378" s="33">
        <v>0</v>
      </c>
      <c r="L378" s="31">
        <v>0</v>
      </c>
      <c r="M378" s="39">
        <v>909.07</v>
      </c>
      <c r="N378" s="39">
        <v>3634519.59</v>
      </c>
      <c r="O378" s="31">
        <v>0</v>
      </c>
      <c r="P378" s="31">
        <v>0</v>
      </c>
      <c r="Q378" s="31">
        <v>0</v>
      </c>
      <c r="R378" s="31">
        <v>0</v>
      </c>
      <c r="S378" s="31">
        <v>0</v>
      </c>
      <c r="T378" s="31">
        <v>0</v>
      </c>
      <c r="U378" s="31">
        <v>0</v>
      </c>
      <c r="V378" s="31">
        <v>0</v>
      </c>
      <c r="W378" s="31">
        <v>0</v>
      </c>
      <c r="X378" s="31">
        <v>0</v>
      </c>
      <c r="Y378" s="31">
        <v>0</v>
      </c>
      <c r="Z378" s="31">
        <v>0</v>
      </c>
      <c r="AA378" s="31">
        <v>0</v>
      </c>
      <c r="AB378" s="31">
        <v>0</v>
      </c>
      <c r="AC378" s="31">
        <f>ROUND(N378*1.5%,2)</f>
        <v>54517.79</v>
      </c>
      <c r="AD378" s="39">
        <v>93443.02</v>
      </c>
      <c r="AE378" s="31">
        <v>0</v>
      </c>
      <c r="AF378" s="34">
        <v>2020</v>
      </c>
      <c r="AG378" s="34">
        <v>2020</v>
      </c>
      <c r="AH378" s="35">
        <v>2020</v>
      </c>
      <c r="BZ378" s="71"/>
      <c r="CD378" s="20">
        <f t="shared" si="59"/>
        <v>870</v>
      </c>
    </row>
    <row r="379" spans="1:82" ht="61.5" x14ac:dyDescent="0.85">
      <c r="A379" s="20">
        <v>1</v>
      </c>
      <c r="B379" s="66">
        <f>SUBTOTAL(103,$A$22:A379)</f>
        <v>336</v>
      </c>
      <c r="C379" s="122" t="s">
        <v>135</v>
      </c>
      <c r="D379" s="31">
        <f t="shared" si="70"/>
        <v>3929633.31</v>
      </c>
      <c r="E379" s="31">
        <v>0</v>
      </c>
      <c r="F379" s="31">
        <v>0</v>
      </c>
      <c r="G379" s="31">
        <v>0</v>
      </c>
      <c r="H379" s="31">
        <v>0</v>
      </c>
      <c r="I379" s="31">
        <v>0</v>
      </c>
      <c r="J379" s="31">
        <v>0</v>
      </c>
      <c r="K379" s="33">
        <v>0</v>
      </c>
      <c r="L379" s="31">
        <v>0</v>
      </c>
      <c r="M379" s="39">
        <v>1110.42</v>
      </c>
      <c r="N379" s="179">
        <v>3906196.14</v>
      </c>
      <c r="O379" s="31">
        <v>0</v>
      </c>
      <c r="P379" s="31">
        <v>0</v>
      </c>
      <c r="Q379" s="31">
        <v>0</v>
      </c>
      <c r="R379" s="31">
        <v>0</v>
      </c>
      <c r="S379" s="31">
        <v>0</v>
      </c>
      <c r="T379" s="31">
        <v>0</v>
      </c>
      <c r="U379" s="31">
        <v>0</v>
      </c>
      <c r="V379" s="31">
        <v>0</v>
      </c>
      <c r="W379" s="31">
        <v>0</v>
      </c>
      <c r="X379" s="31">
        <v>0</v>
      </c>
      <c r="Y379" s="31">
        <v>0</v>
      </c>
      <c r="Z379" s="31">
        <v>0</v>
      </c>
      <c r="AA379" s="31">
        <v>0</v>
      </c>
      <c r="AB379" s="31">
        <v>0</v>
      </c>
      <c r="AC379" s="179">
        <v>23437.17</v>
      </c>
      <c r="AD379" s="31">
        <v>0</v>
      </c>
      <c r="AE379" s="31">
        <v>0</v>
      </c>
      <c r="AF379" s="34" t="s">
        <v>270</v>
      </c>
      <c r="AG379" s="34">
        <v>2020</v>
      </c>
      <c r="AH379" s="35">
        <v>2020</v>
      </c>
      <c r="BZ379" s="71"/>
      <c r="CD379" s="20">
        <f t="shared" si="59"/>
        <v>1229.9000000000001</v>
      </c>
    </row>
    <row r="380" spans="1:82" ht="61.5" x14ac:dyDescent="0.85">
      <c r="B380" s="24" t="s">
        <v>838</v>
      </c>
      <c r="C380" s="24"/>
      <c r="D380" s="195">
        <f>D381+D382</f>
        <v>2913286.51</v>
      </c>
      <c r="E380" s="31">
        <f t="shared" ref="E380:AE380" si="73">E381+E382</f>
        <v>120832.23</v>
      </c>
      <c r="F380" s="31">
        <f t="shared" si="73"/>
        <v>0</v>
      </c>
      <c r="G380" s="31">
        <f t="shared" si="73"/>
        <v>0</v>
      </c>
      <c r="H380" s="31">
        <f t="shared" si="73"/>
        <v>109660.45000000001</v>
      </c>
      <c r="I380" s="31">
        <f t="shared" si="73"/>
        <v>295538.62</v>
      </c>
      <c r="J380" s="31">
        <f t="shared" si="73"/>
        <v>0</v>
      </c>
      <c r="K380" s="33">
        <f t="shared" si="73"/>
        <v>0</v>
      </c>
      <c r="L380" s="31">
        <f t="shared" si="73"/>
        <v>0</v>
      </c>
      <c r="M380" s="31">
        <f t="shared" si="73"/>
        <v>541.1</v>
      </c>
      <c r="N380" s="31">
        <f t="shared" si="73"/>
        <v>2344240.58</v>
      </c>
      <c r="O380" s="31">
        <f t="shared" si="73"/>
        <v>0</v>
      </c>
      <c r="P380" s="31">
        <f t="shared" si="73"/>
        <v>0</v>
      </c>
      <c r="Q380" s="31">
        <f t="shared" si="73"/>
        <v>0</v>
      </c>
      <c r="R380" s="31">
        <f t="shared" si="73"/>
        <v>0</v>
      </c>
      <c r="S380" s="31">
        <f t="shared" si="73"/>
        <v>0</v>
      </c>
      <c r="T380" s="31">
        <f t="shared" si="73"/>
        <v>0</v>
      </c>
      <c r="U380" s="31">
        <f t="shared" si="73"/>
        <v>0</v>
      </c>
      <c r="V380" s="31">
        <f t="shared" si="73"/>
        <v>0</v>
      </c>
      <c r="W380" s="31">
        <f t="shared" si="73"/>
        <v>0</v>
      </c>
      <c r="X380" s="31">
        <f t="shared" si="73"/>
        <v>0</v>
      </c>
      <c r="Y380" s="31">
        <f t="shared" si="73"/>
        <v>0</v>
      </c>
      <c r="Z380" s="31">
        <f t="shared" si="73"/>
        <v>0</v>
      </c>
      <c r="AA380" s="31">
        <f t="shared" si="73"/>
        <v>0</v>
      </c>
      <c r="AB380" s="31">
        <f t="shared" si="73"/>
        <v>0</v>
      </c>
      <c r="AC380" s="31">
        <f t="shared" si="73"/>
        <v>43014.630000000005</v>
      </c>
      <c r="AD380" s="31">
        <f t="shared" si="73"/>
        <v>0</v>
      </c>
      <c r="AE380" s="31">
        <f t="shared" si="73"/>
        <v>0</v>
      </c>
      <c r="AF380" s="72" t="s">
        <v>757</v>
      </c>
      <c r="AG380" s="72" t="s">
        <v>757</v>
      </c>
      <c r="AH380" s="87" t="s">
        <v>757</v>
      </c>
      <c r="AT380" s="20" t="e">
        <f>VLOOKUP(C380,AW:AX,2,FALSE)</f>
        <v>#N/A</v>
      </c>
      <c r="BZ380" s="31">
        <v>2913286.51</v>
      </c>
      <c r="CA380" s="31"/>
      <c r="CB380" s="31">
        <f>BZ380-D380</f>
        <v>0</v>
      </c>
      <c r="CD380" s="20" t="e">
        <f t="shared" si="59"/>
        <v>#N/A</v>
      </c>
    </row>
    <row r="381" spans="1:82" ht="61.5" x14ac:dyDescent="0.85">
      <c r="A381" s="20">
        <v>1</v>
      </c>
      <c r="B381" s="66">
        <f>SUBTOTAL(103,$A$22:A381)</f>
        <v>337</v>
      </c>
      <c r="C381" s="24" t="s">
        <v>120</v>
      </c>
      <c r="D381" s="31">
        <f>E381+F381+G381+H381+I381+J381+L381+N381+P381+R381+T381+U381+V381+W381+X381+Y381+Z381+AA381+AB381+AC381+AD381+AE381</f>
        <v>2379404.19</v>
      </c>
      <c r="E381" s="31">
        <v>0</v>
      </c>
      <c r="F381" s="31">
        <v>0</v>
      </c>
      <c r="G381" s="31">
        <v>0</v>
      </c>
      <c r="H381" s="31">
        <v>0</v>
      </c>
      <c r="I381" s="31">
        <v>0</v>
      </c>
      <c r="J381" s="31">
        <v>0</v>
      </c>
      <c r="K381" s="33">
        <v>0</v>
      </c>
      <c r="L381" s="31">
        <v>0</v>
      </c>
      <c r="M381" s="31">
        <v>541.1</v>
      </c>
      <c r="N381" s="31">
        <v>2344240.58</v>
      </c>
      <c r="O381" s="31">
        <v>0</v>
      </c>
      <c r="P381" s="31">
        <v>0</v>
      </c>
      <c r="Q381" s="31">
        <v>0</v>
      </c>
      <c r="R381" s="31">
        <v>0</v>
      </c>
      <c r="S381" s="31">
        <v>0</v>
      </c>
      <c r="T381" s="31">
        <v>0</v>
      </c>
      <c r="U381" s="31">
        <v>0</v>
      </c>
      <c r="V381" s="31">
        <v>0</v>
      </c>
      <c r="W381" s="31">
        <v>0</v>
      </c>
      <c r="X381" s="31">
        <v>0</v>
      </c>
      <c r="Y381" s="31">
        <v>0</v>
      </c>
      <c r="Z381" s="31">
        <v>0</v>
      </c>
      <c r="AA381" s="31">
        <v>0</v>
      </c>
      <c r="AB381" s="31">
        <v>0</v>
      </c>
      <c r="AC381" s="31">
        <f>ROUND(N381*1.5%,2)</f>
        <v>35163.61</v>
      </c>
      <c r="AD381" s="31">
        <v>0</v>
      </c>
      <c r="AE381" s="31">
        <v>0</v>
      </c>
      <c r="AF381" s="34" t="s">
        <v>270</v>
      </c>
      <c r="AG381" s="34">
        <v>2020</v>
      </c>
      <c r="AH381" s="35">
        <v>2020</v>
      </c>
      <c r="AT381" s="20" t="e">
        <f>VLOOKUP(C381,AW:AX,2,FALSE)</f>
        <v>#N/A</v>
      </c>
      <c r="BZ381" s="71"/>
      <c r="CD381" s="20">
        <f t="shared" si="59"/>
        <v>541.1</v>
      </c>
    </row>
    <row r="382" spans="1:82" ht="61.5" x14ac:dyDescent="0.85">
      <c r="A382" s="20">
        <v>1</v>
      </c>
      <c r="B382" s="66">
        <f>SUBTOTAL(103,$A$22:A382)</f>
        <v>338</v>
      </c>
      <c r="C382" s="24" t="s">
        <v>1233</v>
      </c>
      <c r="D382" s="31">
        <f>E382+F382+G382+H382+I382+J382+L382+N382+P382+R382+T382+U382+V382+W382+X382+Y382+Z382+AA382+AB382+AC382+AD382+AE382</f>
        <v>533882.32000000007</v>
      </c>
      <c r="E382" s="31">
        <v>120832.23</v>
      </c>
      <c r="F382" s="31">
        <v>0</v>
      </c>
      <c r="G382" s="31">
        <v>0</v>
      </c>
      <c r="H382" s="31">
        <f>47331.59+62324.26+4.6</f>
        <v>109660.45000000001</v>
      </c>
      <c r="I382" s="39">
        <v>295538.62</v>
      </c>
      <c r="J382" s="31">
        <v>0</v>
      </c>
      <c r="K382" s="33">
        <v>0</v>
      </c>
      <c r="L382" s="31">
        <v>0</v>
      </c>
      <c r="M382" s="31">
        <v>0</v>
      </c>
      <c r="N382" s="31">
        <v>0</v>
      </c>
      <c r="O382" s="31">
        <v>0</v>
      </c>
      <c r="P382" s="31">
        <v>0</v>
      </c>
      <c r="Q382" s="31">
        <v>0</v>
      </c>
      <c r="R382" s="31">
        <v>0</v>
      </c>
      <c r="S382" s="31">
        <v>0</v>
      </c>
      <c r="T382" s="31">
        <v>0</v>
      </c>
      <c r="U382" s="31">
        <v>0</v>
      </c>
      <c r="V382" s="31">
        <v>0</v>
      </c>
      <c r="W382" s="31">
        <v>0</v>
      </c>
      <c r="X382" s="31">
        <v>0</v>
      </c>
      <c r="Y382" s="31">
        <v>0</v>
      </c>
      <c r="Z382" s="31">
        <v>0</v>
      </c>
      <c r="AA382" s="31">
        <v>0</v>
      </c>
      <c r="AB382" s="31">
        <v>0</v>
      </c>
      <c r="AC382" s="31">
        <f>ROUND((E382+F382+G382+H382+I382+J382)*1.4925%,2)</f>
        <v>7851.02</v>
      </c>
      <c r="AD382" s="31">
        <v>0</v>
      </c>
      <c r="AE382" s="31">
        <v>0</v>
      </c>
      <c r="AF382" s="34" t="s">
        <v>270</v>
      </c>
      <c r="AG382" s="34">
        <v>2020</v>
      </c>
      <c r="AH382" s="35">
        <v>2020</v>
      </c>
      <c r="BZ382" s="71"/>
      <c r="CD382" s="20" t="e">
        <f t="shared" si="59"/>
        <v>#N/A</v>
      </c>
    </row>
    <row r="383" spans="1:82" ht="61.5" x14ac:dyDescent="0.85">
      <c r="B383" s="24" t="s">
        <v>897</v>
      </c>
      <c r="C383" s="24"/>
      <c r="D383" s="195">
        <f t="shared" ref="D383:AE383" si="74">D384</f>
        <v>2005046.9200000002</v>
      </c>
      <c r="E383" s="31">
        <f t="shared" si="74"/>
        <v>0</v>
      </c>
      <c r="F383" s="31">
        <f t="shared" si="74"/>
        <v>0</v>
      </c>
      <c r="G383" s="31">
        <f t="shared" si="74"/>
        <v>0</v>
      </c>
      <c r="H383" s="31">
        <f t="shared" si="74"/>
        <v>0</v>
      </c>
      <c r="I383" s="31">
        <f t="shared" si="74"/>
        <v>0</v>
      </c>
      <c r="J383" s="31">
        <f t="shared" si="74"/>
        <v>0</v>
      </c>
      <c r="K383" s="33">
        <f t="shared" si="74"/>
        <v>0</v>
      </c>
      <c r="L383" s="31">
        <f t="shared" si="74"/>
        <v>0</v>
      </c>
      <c r="M383" s="31">
        <f t="shared" si="74"/>
        <v>317.68</v>
      </c>
      <c r="N383" s="31">
        <f t="shared" si="74"/>
        <v>1068295.6000000001</v>
      </c>
      <c r="O383" s="31">
        <f t="shared" si="74"/>
        <v>0</v>
      </c>
      <c r="P383" s="31">
        <f t="shared" si="74"/>
        <v>0</v>
      </c>
      <c r="Q383" s="31">
        <f t="shared" si="74"/>
        <v>364.69</v>
      </c>
      <c r="R383" s="31">
        <f t="shared" si="74"/>
        <v>915315.12</v>
      </c>
      <c r="S383" s="31">
        <f t="shared" si="74"/>
        <v>0</v>
      </c>
      <c r="T383" s="31">
        <f t="shared" si="74"/>
        <v>0</v>
      </c>
      <c r="U383" s="31">
        <f t="shared" si="74"/>
        <v>0</v>
      </c>
      <c r="V383" s="31">
        <f t="shared" si="74"/>
        <v>0</v>
      </c>
      <c r="W383" s="31">
        <f t="shared" si="74"/>
        <v>0</v>
      </c>
      <c r="X383" s="31">
        <f t="shared" si="74"/>
        <v>0</v>
      </c>
      <c r="Y383" s="31">
        <f t="shared" si="74"/>
        <v>0</v>
      </c>
      <c r="Z383" s="31">
        <f t="shared" si="74"/>
        <v>0</v>
      </c>
      <c r="AA383" s="31">
        <f t="shared" si="74"/>
        <v>0</v>
      </c>
      <c r="AB383" s="31">
        <f t="shared" si="74"/>
        <v>0</v>
      </c>
      <c r="AC383" s="31">
        <f t="shared" si="74"/>
        <v>21436.2</v>
      </c>
      <c r="AD383" s="31">
        <f t="shared" si="74"/>
        <v>0</v>
      </c>
      <c r="AE383" s="31">
        <f t="shared" si="74"/>
        <v>0</v>
      </c>
      <c r="AF383" s="72" t="s">
        <v>757</v>
      </c>
      <c r="AG383" s="72" t="s">
        <v>757</v>
      </c>
      <c r="AH383" s="87" t="s">
        <v>757</v>
      </c>
      <c r="AT383" s="20" t="e">
        <f t="shared" ref="AT383:AT390" si="75">VLOOKUP(C383,AW:AX,2,FALSE)</f>
        <v>#N/A</v>
      </c>
      <c r="BZ383" s="71">
        <v>2727875.44</v>
      </c>
      <c r="CD383" s="20" t="e">
        <f t="shared" si="59"/>
        <v>#N/A</v>
      </c>
    </row>
    <row r="384" spans="1:82" ht="61.5" x14ac:dyDescent="0.85">
      <c r="A384" s="20">
        <v>1</v>
      </c>
      <c r="B384" s="66">
        <f>SUBTOTAL(103,$A$22:A384)</f>
        <v>339</v>
      </c>
      <c r="C384" s="24" t="s">
        <v>121</v>
      </c>
      <c r="D384" s="31">
        <f>E384+F384+G384+H384+I384+J384+L384+N384+P384+R384+T384+U384+V384+W384+X384+Y384+Z384+AA384+AB384+AC384+AD384+AE384</f>
        <v>2005046.9200000002</v>
      </c>
      <c r="E384" s="31">
        <v>0</v>
      </c>
      <c r="F384" s="31">
        <v>0</v>
      </c>
      <c r="G384" s="31">
        <v>0</v>
      </c>
      <c r="H384" s="31">
        <v>0</v>
      </c>
      <c r="I384" s="31">
        <v>0</v>
      </c>
      <c r="J384" s="31">
        <v>0</v>
      </c>
      <c r="K384" s="33">
        <v>0</v>
      </c>
      <c r="L384" s="31">
        <v>0</v>
      </c>
      <c r="M384" s="39">
        <v>317.68</v>
      </c>
      <c r="N384" s="179">
        <v>1068295.6000000001</v>
      </c>
      <c r="O384" s="31">
        <v>0</v>
      </c>
      <c r="P384" s="31">
        <v>0</v>
      </c>
      <c r="Q384" s="39">
        <v>364.69</v>
      </c>
      <c r="R384" s="39">
        <v>915315.12</v>
      </c>
      <c r="S384" s="31">
        <v>0</v>
      </c>
      <c r="T384" s="31">
        <v>0</v>
      </c>
      <c r="U384" s="31">
        <v>0</v>
      </c>
      <c r="V384" s="31">
        <v>0</v>
      </c>
      <c r="W384" s="31">
        <v>0</v>
      </c>
      <c r="X384" s="31">
        <v>0</v>
      </c>
      <c r="Y384" s="31">
        <v>0</v>
      </c>
      <c r="Z384" s="31">
        <v>0</v>
      </c>
      <c r="AA384" s="31">
        <v>0</v>
      </c>
      <c r="AB384" s="31">
        <v>0</v>
      </c>
      <c r="AC384" s="31">
        <v>21436.2</v>
      </c>
      <c r="AD384" s="31">
        <v>0</v>
      </c>
      <c r="AE384" s="31">
        <v>0</v>
      </c>
      <c r="AF384" s="34" t="s">
        <v>270</v>
      </c>
      <c r="AG384" s="34">
        <v>2020</v>
      </c>
      <c r="AH384" s="35">
        <v>2020</v>
      </c>
      <c r="AT384" s="20" t="e">
        <f t="shared" si="75"/>
        <v>#N/A</v>
      </c>
      <c r="BZ384" s="71"/>
      <c r="CD384" s="20">
        <f t="shared" si="59"/>
        <v>313.10000000000002</v>
      </c>
    </row>
    <row r="385" spans="1:82" ht="61.5" x14ac:dyDescent="0.85">
      <c r="B385" s="24" t="s">
        <v>839</v>
      </c>
      <c r="C385" s="24"/>
      <c r="D385" s="195">
        <f t="shared" ref="D385:AE385" si="76">D386</f>
        <v>3866903.76</v>
      </c>
      <c r="E385" s="31">
        <f t="shared" si="76"/>
        <v>0</v>
      </c>
      <c r="F385" s="31">
        <f t="shared" si="76"/>
        <v>0</v>
      </c>
      <c r="G385" s="31">
        <f t="shared" si="76"/>
        <v>0</v>
      </c>
      <c r="H385" s="31">
        <f t="shared" si="76"/>
        <v>0</v>
      </c>
      <c r="I385" s="31">
        <f t="shared" si="76"/>
        <v>0</v>
      </c>
      <c r="J385" s="31">
        <f t="shared" si="76"/>
        <v>0</v>
      </c>
      <c r="K385" s="33">
        <f t="shared" si="76"/>
        <v>0</v>
      </c>
      <c r="L385" s="31">
        <f t="shared" si="76"/>
        <v>0</v>
      </c>
      <c r="M385" s="31">
        <f t="shared" si="76"/>
        <v>807.46</v>
      </c>
      <c r="N385" s="31">
        <f t="shared" si="76"/>
        <v>3749036.68</v>
      </c>
      <c r="O385" s="31">
        <f t="shared" si="76"/>
        <v>0</v>
      </c>
      <c r="P385" s="31">
        <f t="shared" si="76"/>
        <v>0</v>
      </c>
      <c r="Q385" s="31">
        <f t="shared" si="76"/>
        <v>0</v>
      </c>
      <c r="R385" s="31">
        <f t="shared" si="76"/>
        <v>0</v>
      </c>
      <c r="S385" s="31">
        <f t="shared" si="76"/>
        <v>0</v>
      </c>
      <c r="T385" s="31">
        <f t="shared" si="76"/>
        <v>0</v>
      </c>
      <c r="U385" s="31">
        <f t="shared" si="76"/>
        <v>0</v>
      </c>
      <c r="V385" s="31">
        <f t="shared" si="76"/>
        <v>0</v>
      </c>
      <c r="W385" s="31">
        <f t="shared" si="76"/>
        <v>0</v>
      </c>
      <c r="X385" s="31">
        <f t="shared" si="76"/>
        <v>0</v>
      </c>
      <c r="Y385" s="31">
        <f t="shared" si="76"/>
        <v>0</v>
      </c>
      <c r="Z385" s="31">
        <f t="shared" si="76"/>
        <v>0</v>
      </c>
      <c r="AA385" s="31">
        <f t="shared" si="76"/>
        <v>0</v>
      </c>
      <c r="AB385" s="31">
        <f t="shared" si="76"/>
        <v>0</v>
      </c>
      <c r="AC385" s="31">
        <f t="shared" si="76"/>
        <v>56235.55</v>
      </c>
      <c r="AD385" s="31">
        <f t="shared" si="76"/>
        <v>61631.53</v>
      </c>
      <c r="AE385" s="31">
        <f t="shared" si="76"/>
        <v>0</v>
      </c>
      <c r="AF385" s="72" t="s">
        <v>757</v>
      </c>
      <c r="AG385" s="72" t="s">
        <v>757</v>
      </c>
      <c r="AH385" s="87" t="s">
        <v>757</v>
      </c>
      <c r="AT385" s="20" t="e">
        <f t="shared" si="75"/>
        <v>#N/A</v>
      </c>
      <c r="BZ385" s="71">
        <v>3866903.76</v>
      </c>
      <c r="CD385" s="20" t="e">
        <f t="shared" si="59"/>
        <v>#N/A</v>
      </c>
    </row>
    <row r="386" spans="1:82" ht="61.5" x14ac:dyDescent="0.85">
      <c r="A386" s="20">
        <v>1</v>
      </c>
      <c r="B386" s="66">
        <f>SUBTOTAL(103,$A$22:A386)</f>
        <v>340</v>
      </c>
      <c r="C386" s="24" t="s">
        <v>122</v>
      </c>
      <c r="D386" s="31">
        <f>E386+F386+G386+H386+I386+J386+L386+N386+P386+R386+T386+U386+V386+W386+X386+Y386+Z386+AA386+AB386+AC386+AD386+AE386</f>
        <v>3866903.76</v>
      </c>
      <c r="E386" s="31">
        <v>0</v>
      </c>
      <c r="F386" s="31">
        <v>0</v>
      </c>
      <c r="G386" s="31">
        <v>0</v>
      </c>
      <c r="H386" s="31">
        <v>0</v>
      </c>
      <c r="I386" s="31">
        <v>0</v>
      </c>
      <c r="J386" s="31">
        <v>0</v>
      </c>
      <c r="K386" s="33">
        <v>0</v>
      </c>
      <c r="L386" s="31">
        <v>0</v>
      </c>
      <c r="M386" s="31">
        <v>807.46</v>
      </c>
      <c r="N386" s="31">
        <f>3740078.64+8958.04</f>
        <v>3749036.68</v>
      </c>
      <c r="O386" s="31">
        <v>0</v>
      </c>
      <c r="P386" s="31">
        <v>0</v>
      </c>
      <c r="Q386" s="31">
        <v>0</v>
      </c>
      <c r="R386" s="31">
        <v>0</v>
      </c>
      <c r="S386" s="31">
        <v>0</v>
      </c>
      <c r="T386" s="31">
        <v>0</v>
      </c>
      <c r="U386" s="31">
        <v>0</v>
      </c>
      <c r="V386" s="31">
        <v>0</v>
      </c>
      <c r="W386" s="31">
        <v>0</v>
      </c>
      <c r="X386" s="31">
        <v>0</v>
      </c>
      <c r="Y386" s="31">
        <v>0</v>
      </c>
      <c r="Z386" s="31">
        <v>0</v>
      </c>
      <c r="AA386" s="31">
        <v>0</v>
      </c>
      <c r="AB386" s="31">
        <v>0</v>
      </c>
      <c r="AC386" s="31">
        <f>ROUND(N386*1.5%,2)</f>
        <v>56235.55</v>
      </c>
      <c r="AD386" s="31">
        <v>61631.53</v>
      </c>
      <c r="AE386" s="31">
        <v>0</v>
      </c>
      <c r="AF386" s="34">
        <v>2020</v>
      </c>
      <c r="AG386" s="34">
        <v>2020</v>
      </c>
      <c r="AH386" s="34">
        <v>2020</v>
      </c>
      <c r="AT386" s="20" t="e">
        <f t="shared" si="75"/>
        <v>#N/A</v>
      </c>
      <c r="BZ386" s="71"/>
      <c r="CD386" s="20" t="e">
        <f t="shared" si="59"/>
        <v>#N/A</v>
      </c>
    </row>
    <row r="387" spans="1:82" ht="61.5" x14ac:dyDescent="0.85">
      <c r="B387" s="24" t="s">
        <v>840</v>
      </c>
      <c r="C387" s="108"/>
      <c r="D387" s="195">
        <f>SUM(D388:D391)</f>
        <v>4286820.72</v>
      </c>
      <c r="E387" s="31">
        <f t="shared" ref="E387:AE387" si="77">SUM(E388:E391)</f>
        <v>0</v>
      </c>
      <c r="F387" s="31">
        <f t="shared" si="77"/>
        <v>0</v>
      </c>
      <c r="G387" s="31">
        <f t="shared" si="77"/>
        <v>0</v>
      </c>
      <c r="H387" s="31">
        <f t="shared" si="77"/>
        <v>0</v>
      </c>
      <c r="I387" s="31">
        <f t="shared" si="77"/>
        <v>0</v>
      </c>
      <c r="J387" s="31">
        <f t="shared" si="77"/>
        <v>0</v>
      </c>
      <c r="K387" s="33">
        <f t="shared" si="77"/>
        <v>0</v>
      </c>
      <c r="L387" s="31">
        <f t="shared" si="77"/>
        <v>0</v>
      </c>
      <c r="M387" s="31">
        <f t="shared" si="77"/>
        <v>678.3</v>
      </c>
      <c r="N387" s="31">
        <f t="shared" si="77"/>
        <v>2321700.09</v>
      </c>
      <c r="O387" s="31">
        <f t="shared" si="77"/>
        <v>0</v>
      </c>
      <c r="P387" s="31">
        <f t="shared" si="77"/>
        <v>0</v>
      </c>
      <c r="Q387" s="31">
        <f t="shared" si="77"/>
        <v>542.73</v>
      </c>
      <c r="R387" s="31">
        <f t="shared" si="77"/>
        <v>1785668.47</v>
      </c>
      <c r="S387" s="31">
        <f t="shared" si="77"/>
        <v>0</v>
      </c>
      <c r="T387" s="31">
        <f t="shared" si="77"/>
        <v>0</v>
      </c>
      <c r="U387" s="31">
        <f t="shared" si="77"/>
        <v>0</v>
      </c>
      <c r="V387" s="31">
        <f t="shared" si="77"/>
        <v>0</v>
      </c>
      <c r="W387" s="31">
        <f t="shared" si="77"/>
        <v>0</v>
      </c>
      <c r="X387" s="31">
        <f t="shared" si="77"/>
        <v>0</v>
      </c>
      <c r="Y387" s="31">
        <f t="shared" si="77"/>
        <v>0</v>
      </c>
      <c r="Z387" s="31">
        <f t="shared" si="77"/>
        <v>0</v>
      </c>
      <c r="AA387" s="31">
        <f t="shared" si="77"/>
        <v>0</v>
      </c>
      <c r="AB387" s="31">
        <f t="shared" si="77"/>
        <v>0</v>
      </c>
      <c r="AC387" s="31">
        <f t="shared" si="77"/>
        <v>26785.03</v>
      </c>
      <c r="AD387" s="31">
        <f t="shared" si="77"/>
        <v>152667.13</v>
      </c>
      <c r="AE387" s="31">
        <f t="shared" si="77"/>
        <v>0</v>
      </c>
      <c r="AF387" s="72" t="s">
        <v>757</v>
      </c>
      <c r="AG387" s="72" t="s">
        <v>757</v>
      </c>
      <c r="AH387" s="87" t="s">
        <v>757</v>
      </c>
      <c r="AT387" s="20" t="e">
        <f t="shared" si="75"/>
        <v>#N/A</v>
      </c>
      <c r="BZ387" s="71">
        <v>11389569.279999999</v>
      </c>
      <c r="CC387" s="31">
        <v>10475726.369999999</v>
      </c>
      <c r="CD387" s="20" t="e">
        <f t="shared" si="59"/>
        <v>#N/A</v>
      </c>
    </row>
    <row r="388" spans="1:82" ht="61.5" x14ac:dyDescent="0.85">
      <c r="A388" s="20">
        <v>1</v>
      </c>
      <c r="B388" s="66">
        <f>SUBTOTAL(103,$A$22:A388)</f>
        <v>341</v>
      </c>
      <c r="C388" s="24" t="s">
        <v>171</v>
      </c>
      <c r="D388" s="31">
        <f>E388+F388+G388+H388+I388+J388+L388+N388+P388+R388+T388+U388+V388+W388+X388+Y388+Z388+AA388+AB388+AC388+AD388+AE388</f>
        <v>2321700.09</v>
      </c>
      <c r="E388" s="31">
        <v>0</v>
      </c>
      <c r="F388" s="31">
        <v>0</v>
      </c>
      <c r="G388" s="31">
        <v>0</v>
      </c>
      <c r="H388" s="31">
        <v>0</v>
      </c>
      <c r="I388" s="31">
        <v>0</v>
      </c>
      <c r="J388" s="31">
        <v>0</v>
      </c>
      <c r="K388" s="33">
        <v>0</v>
      </c>
      <c r="L388" s="31">
        <v>0</v>
      </c>
      <c r="M388" s="39">
        <v>678.3</v>
      </c>
      <c r="N388" s="39">
        <v>2321700.09</v>
      </c>
      <c r="O388" s="31">
        <v>0</v>
      </c>
      <c r="P388" s="31">
        <v>0</v>
      </c>
      <c r="Q388" s="31">
        <v>0</v>
      </c>
      <c r="R388" s="31">
        <v>0</v>
      </c>
      <c r="S388" s="31">
        <v>0</v>
      </c>
      <c r="T388" s="31">
        <v>0</v>
      </c>
      <c r="U388" s="31">
        <v>0</v>
      </c>
      <c r="V388" s="31">
        <v>0</v>
      </c>
      <c r="W388" s="31">
        <v>0</v>
      </c>
      <c r="X388" s="31">
        <v>0</v>
      </c>
      <c r="Y388" s="31">
        <v>0</v>
      </c>
      <c r="Z388" s="31">
        <v>0</v>
      </c>
      <c r="AA388" s="31">
        <v>0</v>
      </c>
      <c r="AB388" s="31">
        <v>0</v>
      </c>
      <c r="AC388" s="31">
        <v>0</v>
      </c>
      <c r="AD388" s="31">
        <v>0</v>
      </c>
      <c r="AE388" s="31">
        <v>0</v>
      </c>
      <c r="AF388" s="34" t="s">
        <v>270</v>
      </c>
      <c r="AG388" s="34">
        <v>2020</v>
      </c>
      <c r="AH388" s="35" t="s">
        <v>270</v>
      </c>
      <c r="AT388" s="20" t="e">
        <f t="shared" si="75"/>
        <v>#N/A</v>
      </c>
      <c r="BZ388" s="71"/>
      <c r="CD388" s="20">
        <f t="shared" si="59"/>
        <v>678.3</v>
      </c>
    </row>
    <row r="389" spans="1:82" ht="61.5" x14ac:dyDescent="0.85">
      <c r="A389" s="20">
        <v>1</v>
      </c>
      <c r="B389" s="66">
        <f>SUBTOTAL(103,$A$22:A389)</f>
        <v>342</v>
      </c>
      <c r="C389" s="24" t="s">
        <v>172</v>
      </c>
      <c r="D389" s="31">
        <f>E389+F389+G389+H389+I389+J389+L389+N389+P389+R389+T389+U389+V389+W389+X389+Y389+Z389+AA389+AB389+AC389+AD389+AE389</f>
        <v>1812453.5</v>
      </c>
      <c r="E389" s="31">
        <v>0</v>
      </c>
      <c r="F389" s="31">
        <v>0</v>
      </c>
      <c r="G389" s="31">
        <v>0</v>
      </c>
      <c r="H389" s="31">
        <v>0</v>
      </c>
      <c r="I389" s="31">
        <v>0</v>
      </c>
      <c r="J389" s="31">
        <v>0</v>
      </c>
      <c r="K389" s="33">
        <v>0</v>
      </c>
      <c r="L389" s="31">
        <v>0</v>
      </c>
      <c r="M389" s="31">
        <v>0</v>
      </c>
      <c r="N389" s="31">
        <v>0</v>
      </c>
      <c r="O389" s="31">
        <v>0</v>
      </c>
      <c r="P389" s="31">
        <v>0</v>
      </c>
      <c r="Q389" s="39">
        <v>542.73</v>
      </c>
      <c r="R389" s="39">
        <v>1785668.47</v>
      </c>
      <c r="S389" s="31">
        <v>0</v>
      </c>
      <c r="T389" s="31">
        <v>0</v>
      </c>
      <c r="U389" s="31">
        <v>0</v>
      </c>
      <c r="V389" s="31">
        <v>0</v>
      </c>
      <c r="W389" s="31">
        <v>0</v>
      </c>
      <c r="X389" s="31">
        <v>0</v>
      </c>
      <c r="Y389" s="31">
        <v>0</v>
      </c>
      <c r="Z389" s="31">
        <v>0</v>
      </c>
      <c r="AA389" s="31">
        <v>0</v>
      </c>
      <c r="AB389" s="31">
        <v>0</v>
      </c>
      <c r="AC389" s="31">
        <f>ROUND(R389*1.5%,2)</f>
        <v>26785.03</v>
      </c>
      <c r="AD389" s="31">
        <v>0</v>
      </c>
      <c r="AE389" s="31">
        <v>0</v>
      </c>
      <c r="AF389" s="34" t="s">
        <v>270</v>
      </c>
      <c r="AG389" s="34">
        <v>2020</v>
      </c>
      <c r="AH389" s="35">
        <v>2020</v>
      </c>
      <c r="AT389" s="20" t="e">
        <f t="shared" si="75"/>
        <v>#N/A</v>
      </c>
      <c r="BZ389" s="71"/>
      <c r="CD389" s="20" t="e">
        <f t="shared" si="59"/>
        <v>#N/A</v>
      </c>
    </row>
    <row r="390" spans="1:82" ht="61.5" x14ac:dyDescent="0.85">
      <c r="A390" s="20">
        <v>1</v>
      </c>
      <c r="B390" s="66">
        <f>SUBTOTAL(103,$A$22:A390)</f>
        <v>343</v>
      </c>
      <c r="C390" s="24" t="s">
        <v>170</v>
      </c>
      <c r="D390" s="31">
        <f>E390+F390+G390+H390+I390+J390+L390+N390+P390+R390+T390+U390+V390+W390+X390+Y390+Z390+AA390+AB390+AC390+AD390+AE390</f>
        <v>104027.61</v>
      </c>
      <c r="E390" s="31">
        <v>0</v>
      </c>
      <c r="F390" s="31">
        <v>0</v>
      </c>
      <c r="G390" s="31">
        <v>0</v>
      </c>
      <c r="H390" s="31">
        <v>0</v>
      </c>
      <c r="I390" s="31">
        <v>0</v>
      </c>
      <c r="J390" s="31">
        <v>0</v>
      </c>
      <c r="K390" s="33">
        <v>0</v>
      </c>
      <c r="L390" s="31">
        <v>0</v>
      </c>
      <c r="M390" s="31">
        <v>0</v>
      </c>
      <c r="N390" s="31">
        <v>0</v>
      </c>
      <c r="O390" s="31">
        <v>0</v>
      </c>
      <c r="P390" s="31">
        <v>0</v>
      </c>
      <c r="Q390" s="31">
        <v>0</v>
      </c>
      <c r="R390" s="31">
        <v>0</v>
      </c>
      <c r="S390" s="31">
        <v>0</v>
      </c>
      <c r="T390" s="31">
        <v>0</v>
      </c>
      <c r="U390" s="31">
        <v>0</v>
      </c>
      <c r="V390" s="31">
        <v>0</v>
      </c>
      <c r="W390" s="31">
        <v>0</v>
      </c>
      <c r="X390" s="31">
        <v>0</v>
      </c>
      <c r="Y390" s="31">
        <v>0</v>
      </c>
      <c r="Z390" s="31">
        <v>0</v>
      </c>
      <c r="AA390" s="31">
        <v>0</v>
      </c>
      <c r="AB390" s="31">
        <v>0</v>
      </c>
      <c r="AC390" s="31">
        <f>ROUND(U390*1.5%,2)</f>
        <v>0</v>
      </c>
      <c r="AD390" s="179">
        <v>104027.61</v>
      </c>
      <c r="AE390" s="31">
        <v>0</v>
      </c>
      <c r="AF390" s="34">
        <v>2020</v>
      </c>
      <c r="AG390" s="34" t="s">
        <v>270</v>
      </c>
      <c r="AH390" s="34" t="s">
        <v>270</v>
      </c>
      <c r="AT390" s="20" t="e">
        <f t="shared" si="75"/>
        <v>#N/A</v>
      </c>
      <c r="BZ390" s="71"/>
      <c r="CD390" s="20" t="e">
        <f t="shared" si="59"/>
        <v>#N/A</v>
      </c>
    </row>
    <row r="391" spans="1:82" ht="61.5" x14ac:dyDescent="0.85">
      <c r="A391" s="20">
        <v>1</v>
      </c>
      <c r="B391" s="66">
        <f>SUBTOTAL(103,$A$22:A391)</f>
        <v>344</v>
      </c>
      <c r="C391" s="24" t="s">
        <v>1583</v>
      </c>
      <c r="D391" s="31">
        <f>E391+F391+G391+H391+I391+J391+L391+N391+P391+R391+T391+U391+V391+W391+X391+Y391+Z391+AA391+AB391+AC391+AD391+AE391</f>
        <v>48639.519999999997</v>
      </c>
      <c r="E391" s="31">
        <v>0</v>
      </c>
      <c r="F391" s="31">
        <v>0</v>
      </c>
      <c r="G391" s="31">
        <v>0</v>
      </c>
      <c r="H391" s="31">
        <v>0</v>
      </c>
      <c r="I391" s="31">
        <v>0</v>
      </c>
      <c r="J391" s="31">
        <v>0</v>
      </c>
      <c r="K391" s="33">
        <v>0</v>
      </c>
      <c r="L391" s="31">
        <v>0</v>
      </c>
      <c r="M391" s="31">
        <v>0</v>
      </c>
      <c r="N391" s="31">
        <v>0</v>
      </c>
      <c r="O391" s="31">
        <v>0</v>
      </c>
      <c r="P391" s="31">
        <v>0</v>
      </c>
      <c r="Q391" s="31">
        <v>0</v>
      </c>
      <c r="R391" s="31">
        <v>0</v>
      </c>
      <c r="S391" s="31">
        <v>0</v>
      </c>
      <c r="T391" s="31">
        <v>0</v>
      </c>
      <c r="U391" s="31">
        <v>0</v>
      </c>
      <c r="V391" s="31">
        <v>0</v>
      </c>
      <c r="W391" s="31">
        <v>0</v>
      </c>
      <c r="X391" s="31">
        <v>0</v>
      </c>
      <c r="Y391" s="31">
        <v>0</v>
      </c>
      <c r="Z391" s="31">
        <v>0</v>
      </c>
      <c r="AA391" s="31">
        <v>0</v>
      </c>
      <c r="AB391" s="31">
        <v>0</v>
      </c>
      <c r="AC391" s="31">
        <f>ROUND(N391*1.5%,2)</f>
        <v>0</v>
      </c>
      <c r="AD391" s="39">
        <v>48639.519999999997</v>
      </c>
      <c r="AE391" s="31">
        <v>0</v>
      </c>
      <c r="AF391" s="34">
        <v>2020</v>
      </c>
      <c r="AG391" s="34" t="s">
        <v>270</v>
      </c>
      <c r="AH391" s="34" t="s">
        <v>270</v>
      </c>
      <c r="BZ391" s="71"/>
      <c r="CD391" s="20" t="e">
        <f t="shared" si="59"/>
        <v>#N/A</v>
      </c>
    </row>
    <row r="392" spans="1:82" ht="61.5" x14ac:dyDescent="0.85">
      <c r="B392" s="24" t="s">
        <v>841</v>
      </c>
      <c r="C392" s="24"/>
      <c r="D392" s="195">
        <f>SUM(D393:D394)</f>
        <v>3635408.5599999996</v>
      </c>
      <c r="E392" s="31">
        <f t="shared" ref="E392:AE392" si="78">SUM(E393:E394)</f>
        <v>269822.40000000002</v>
      </c>
      <c r="F392" s="31">
        <f t="shared" si="78"/>
        <v>0</v>
      </c>
      <c r="G392" s="31">
        <f t="shared" si="78"/>
        <v>1785712.81</v>
      </c>
      <c r="H392" s="31">
        <f t="shared" si="78"/>
        <v>0</v>
      </c>
      <c r="I392" s="31">
        <f t="shared" si="78"/>
        <v>215247</v>
      </c>
      <c r="J392" s="31">
        <f t="shared" si="78"/>
        <v>0</v>
      </c>
      <c r="K392" s="33">
        <f t="shared" si="78"/>
        <v>0</v>
      </c>
      <c r="L392" s="31">
        <f t="shared" si="78"/>
        <v>0</v>
      </c>
      <c r="M392" s="31">
        <f t="shared" si="78"/>
        <v>401.44</v>
      </c>
      <c r="N392" s="31">
        <f t="shared" si="78"/>
        <v>1267442.73</v>
      </c>
      <c r="O392" s="31">
        <f t="shared" si="78"/>
        <v>0</v>
      </c>
      <c r="P392" s="31">
        <f t="shared" si="78"/>
        <v>0</v>
      </c>
      <c r="Q392" s="31">
        <f t="shared" si="78"/>
        <v>0</v>
      </c>
      <c r="R392" s="31">
        <f t="shared" si="78"/>
        <v>0</v>
      </c>
      <c r="S392" s="31">
        <f t="shared" si="78"/>
        <v>0</v>
      </c>
      <c r="T392" s="31">
        <f t="shared" si="78"/>
        <v>0</v>
      </c>
      <c r="U392" s="31">
        <f t="shared" si="78"/>
        <v>0</v>
      </c>
      <c r="V392" s="31">
        <f t="shared" si="78"/>
        <v>0</v>
      </c>
      <c r="W392" s="31">
        <f t="shared" si="78"/>
        <v>0</v>
      </c>
      <c r="X392" s="31">
        <f t="shared" si="78"/>
        <v>0</v>
      </c>
      <c r="Y392" s="31">
        <f t="shared" si="78"/>
        <v>0</v>
      </c>
      <c r="Z392" s="31">
        <f t="shared" si="78"/>
        <v>0</v>
      </c>
      <c r="AA392" s="31">
        <f t="shared" si="78"/>
        <v>0</v>
      </c>
      <c r="AB392" s="31">
        <f t="shared" si="78"/>
        <v>0</v>
      </c>
      <c r="AC392" s="31">
        <f t="shared" si="78"/>
        <v>53073.37</v>
      </c>
      <c r="AD392" s="31">
        <f t="shared" si="78"/>
        <v>44110.25</v>
      </c>
      <c r="AE392" s="31">
        <f t="shared" si="78"/>
        <v>0</v>
      </c>
      <c r="AF392" s="72" t="s">
        <v>757</v>
      </c>
      <c r="AG392" s="72" t="s">
        <v>757</v>
      </c>
      <c r="AH392" s="87" t="s">
        <v>757</v>
      </c>
      <c r="AT392" s="20" t="e">
        <f>VLOOKUP(C392,AW:AX,2,FALSE)</f>
        <v>#N/A</v>
      </c>
      <c r="BZ392" s="71">
        <v>4635021.79</v>
      </c>
      <c r="CC392" s="31">
        <v>3960937.4299999997</v>
      </c>
      <c r="CD392" s="20" t="e">
        <f t="shared" si="59"/>
        <v>#N/A</v>
      </c>
    </row>
    <row r="393" spans="1:82" ht="61.5" x14ac:dyDescent="0.85">
      <c r="A393" s="20">
        <v>1</v>
      </c>
      <c r="B393" s="66">
        <f>SUBTOTAL(103,$A$22:A393)</f>
        <v>345</v>
      </c>
      <c r="C393" s="24" t="s">
        <v>169</v>
      </c>
      <c r="D393" s="31">
        <f>E393+F393+G393+H393+I393+J393+L393+N393+P393+R393+T393+U393+V393+W393+X393+Y393+Z393+AA393+AB393+AC393+AD393+AE393</f>
        <v>1330564.6199999999</v>
      </c>
      <c r="E393" s="31">
        <v>0</v>
      </c>
      <c r="F393" s="31">
        <v>0</v>
      </c>
      <c r="G393" s="31">
        <v>0</v>
      </c>
      <c r="H393" s="31">
        <v>0</v>
      </c>
      <c r="I393" s="31">
        <v>0</v>
      </c>
      <c r="J393" s="31">
        <v>0</v>
      </c>
      <c r="K393" s="33">
        <v>0</v>
      </c>
      <c r="L393" s="31">
        <v>0</v>
      </c>
      <c r="M393" s="39">
        <v>401.44</v>
      </c>
      <c r="N393" s="179">
        <v>1267442.73</v>
      </c>
      <c r="O393" s="31">
        <v>0</v>
      </c>
      <c r="P393" s="31">
        <v>0</v>
      </c>
      <c r="Q393" s="31">
        <v>0</v>
      </c>
      <c r="R393" s="31">
        <v>0</v>
      </c>
      <c r="S393" s="31">
        <v>0</v>
      </c>
      <c r="T393" s="31">
        <v>0</v>
      </c>
      <c r="U393" s="31">
        <v>0</v>
      </c>
      <c r="V393" s="31">
        <v>0</v>
      </c>
      <c r="W393" s="31">
        <v>0</v>
      </c>
      <c r="X393" s="31">
        <v>0</v>
      </c>
      <c r="Y393" s="31">
        <v>0</v>
      </c>
      <c r="Z393" s="31">
        <v>0</v>
      </c>
      <c r="AA393" s="31">
        <v>0</v>
      </c>
      <c r="AB393" s="31">
        <v>0</v>
      </c>
      <c r="AC393" s="31">
        <f>ROUND(N393*1.5%,2)</f>
        <v>19011.64</v>
      </c>
      <c r="AD393" s="39">
        <v>44110.25</v>
      </c>
      <c r="AE393" s="31">
        <v>0</v>
      </c>
      <c r="AF393" s="34">
        <v>2020</v>
      </c>
      <c r="AG393" s="34">
        <v>2020</v>
      </c>
      <c r="AH393" s="35">
        <v>2020</v>
      </c>
      <c r="AT393" s="20" t="e">
        <f>VLOOKUP(C393,AW:AX,2,FALSE)</f>
        <v>#N/A</v>
      </c>
      <c r="BZ393" s="71"/>
      <c r="CD393" s="20">
        <f t="shared" si="59"/>
        <v>412.82</v>
      </c>
    </row>
    <row r="394" spans="1:82" ht="61.5" x14ac:dyDescent="0.85">
      <c r="A394" s="20">
        <v>1</v>
      </c>
      <c r="B394" s="66">
        <f>SUBTOTAL(103,$A$22:A394)</f>
        <v>346</v>
      </c>
      <c r="C394" s="24" t="s">
        <v>1236</v>
      </c>
      <c r="D394" s="31">
        <f>E394+F394+G394+H394+I394+J394+L394+N394+P394+R394+T394+U394+V394+W394+X394+Y394+Z394+AA394+AB394+AC394+AD394+AE394</f>
        <v>2304843.94</v>
      </c>
      <c r="E394" s="31">
        <v>269822.40000000002</v>
      </c>
      <c r="F394" s="31">
        <v>0</v>
      </c>
      <c r="G394" s="31">
        <f>1632000+153712.81</f>
        <v>1785712.81</v>
      </c>
      <c r="H394" s="31">
        <v>0</v>
      </c>
      <c r="I394" s="242">
        <v>215247</v>
      </c>
      <c r="J394" s="31">
        <v>0</v>
      </c>
      <c r="K394" s="33">
        <v>0</v>
      </c>
      <c r="L394" s="31">
        <v>0</v>
      </c>
      <c r="M394" s="31">
        <v>0</v>
      </c>
      <c r="N394" s="31">
        <v>0</v>
      </c>
      <c r="O394" s="31">
        <v>0</v>
      </c>
      <c r="P394" s="31">
        <v>0</v>
      </c>
      <c r="Q394" s="31">
        <v>0</v>
      </c>
      <c r="R394" s="31">
        <v>0</v>
      </c>
      <c r="S394" s="31">
        <v>0</v>
      </c>
      <c r="T394" s="31">
        <v>0</v>
      </c>
      <c r="U394" s="31">
        <v>0</v>
      </c>
      <c r="V394" s="31">
        <v>0</v>
      </c>
      <c r="W394" s="31">
        <v>0</v>
      </c>
      <c r="X394" s="31">
        <v>0</v>
      </c>
      <c r="Y394" s="31">
        <v>0</v>
      </c>
      <c r="Z394" s="31">
        <v>0</v>
      </c>
      <c r="AA394" s="31">
        <v>0</v>
      </c>
      <c r="AB394" s="31">
        <v>0</v>
      </c>
      <c r="AC394" s="31">
        <f>ROUND((E394+F394+G394+H394+I394+J394)*1.5%,2)</f>
        <v>34061.730000000003</v>
      </c>
      <c r="AD394" s="31">
        <v>0</v>
      </c>
      <c r="AE394" s="31">
        <v>0</v>
      </c>
      <c r="AF394" s="34" t="s">
        <v>270</v>
      </c>
      <c r="AG394" s="34">
        <v>2020</v>
      </c>
      <c r="AH394" s="35">
        <v>2020</v>
      </c>
      <c r="BZ394" s="71"/>
      <c r="CD394" s="20" t="e">
        <f t="shared" si="59"/>
        <v>#N/A</v>
      </c>
    </row>
    <row r="395" spans="1:82" ht="61.5" x14ac:dyDescent="0.85">
      <c r="B395" s="24" t="s">
        <v>843</v>
      </c>
      <c r="C395" s="24"/>
      <c r="D395" s="195">
        <f>D396</f>
        <v>43566.44</v>
      </c>
      <c r="E395" s="31">
        <f t="shared" ref="E395:AE395" si="79">E396</f>
        <v>0</v>
      </c>
      <c r="F395" s="31">
        <f t="shared" si="79"/>
        <v>0</v>
      </c>
      <c r="G395" s="31">
        <f t="shared" si="79"/>
        <v>0</v>
      </c>
      <c r="H395" s="31">
        <f t="shared" si="79"/>
        <v>0</v>
      </c>
      <c r="I395" s="31">
        <f t="shared" si="79"/>
        <v>0</v>
      </c>
      <c r="J395" s="31">
        <f t="shared" si="79"/>
        <v>0</v>
      </c>
      <c r="K395" s="33">
        <f t="shared" si="79"/>
        <v>0</v>
      </c>
      <c r="L395" s="31">
        <f t="shared" si="79"/>
        <v>0</v>
      </c>
      <c r="M395" s="31">
        <f t="shared" si="79"/>
        <v>0</v>
      </c>
      <c r="N395" s="31">
        <f t="shared" si="79"/>
        <v>0</v>
      </c>
      <c r="O395" s="31">
        <f t="shared" si="79"/>
        <v>0</v>
      </c>
      <c r="P395" s="31">
        <f t="shared" si="79"/>
        <v>0</v>
      </c>
      <c r="Q395" s="31">
        <f t="shared" si="79"/>
        <v>0</v>
      </c>
      <c r="R395" s="31">
        <f t="shared" si="79"/>
        <v>0</v>
      </c>
      <c r="S395" s="31">
        <f t="shared" si="79"/>
        <v>0</v>
      </c>
      <c r="T395" s="31">
        <f t="shared" si="79"/>
        <v>0</v>
      </c>
      <c r="U395" s="31">
        <f t="shared" si="79"/>
        <v>0</v>
      </c>
      <c r="V395" s="31">
        <f t="shared" si="79"/>
        <v>0</v>
      </c>
      <c r="W395" s="31">
        <f t="shared" si="79"/>
        <v>0</v>
      </c>
      <c r="X395" s="31">
        <f t="shared" si="79"/>
        <v>0</v>
      </c>
      <c r="Y395" s="31">
        <f t="shared" si="79"/>
        <v>0</v>
      </c>
      <c r="Z395" s="31">
        <f t="shared" si="79"/>
        <v>0</v>
      </c>
      <c r="AA395" s="31">
        <f t="shared" si="79"/>
        <v>0</v>
      </c>
      <c r="AB395" s="31">
        <f t="shared" si="79"/>
        <v>0</v>
      </c>
      <c r="AC395" s="31">
        <f t="shared" si="79"/>
        <v>0</v>
      </c>
      <c r="AD395" s="31">
        <f t="shared" si="79"/>
        <v>43566.44</v>
      </c>
      <c r="AE395" s="31">
        <f t="shared" si="79"/>
        <v>0</v>
      </c>
      <c r="AF395" s="72" t="s">
        <v>757</v>
      </c>
      <c r="AG395" s="72" t="s">
        <v>757</v>
      </c>
      <c r="AH395" s="87" t="s">
        <v>757</v>
      </c>
      <c r="AT395" s="20" t="e">
        <f>VLOOKUP(C395,AW:AX,2,FALSE)</f>
        <v>#N/A</v>
      </c>
      <c r="BZ395" s="71">
        <v>1547699.36</v>
      </c>
      <c r="CD395" s="20" t="e">
        <f t="shared" ref="CD395:CD408" si="80">VLOOKUP(C395,CE:CF,2,FALSE)</f>
        <v>#N/A</v>
      </c>
    </row>
    <row r="396" spans="1:82" s="196" customFormat="1" ht="123" x14ac:dyDescent="0.85">
      <c r="A396" s="196">
        <v>1</v>
      </c>
      <c r="B396" s="66">
        <f>SUBTOTAL(103,$A$22:A396)</f>
        <v>347</v>
      </c>
      <c r="C396" s="197" t="s">
        <v>168</v>
      </c>
      <c r="D396" s="151">
        <f>E396+F396+G396+H396+I396+J396+L396+N396+P396+R396+T396+U396+V396+W396+X396+Y396+Z396+AA396+AB396+AC396+AD396+AE396</f>
        <v>43566.44</v>
      </c>
      <c r="E396" s="151">
        <v>0</v>
      </c>
      <c r="F396" s="151">
        <v>0</v>
      </c>
      <c r="G396" s="151">
        <v>0</v>
      </c>
      <c r="H396" s="151">
        <v>0</v>
      </c>
      <c r="I396" s="151">
        <v>0</v>
      </c>
      <c r="J396" s="151">
        <v>0</v>
      </c>
      <c r="K396" s="198">
        <v>0</v>
      </c>
      <c r="L396" s="151">
        <v>0</v>
      </c>
      <c r="M396" s="151">
        <v>0</v>
      </c>
      <c r="N396" s="151">
        <v>0</v>
      </c>
      <c r="O396" s="151">
        <v>0</v>
      </c>
      <c r="P396" s="151">
        <v>0</v>
      </c>
      <c r="Q396" s="151">
        <v>0</v>
      </c>
      <c r="R396" s="151">
        <v>0</v>
      </c>
      <c r="S396" s="151">
        <v>0</v>
      </c>
      <c r="T396" s="151">
        <v>0</v>
      </c>
      <c r="U396" s="151">
        <v>0</v>
      </c>
      <c r="V396" s="151">
        <v>0</v>
      </c>
      <c r="W396" s="151">
        <v>0</v>
      </c>
      <c r="X396" s="151">
        <v>0</v>
      </c>
      <c r="Y396" s="151">
        <v>0</v>
      </c>
      <c r="Z396" s="151">
        <v>0</v>
      </c>
      <c r="AA396" s="151">
        <v>0</v>
      </c>
      <c r="AB396" s="151">
        <v>0</v>
      </c>
      <c r="AC396" s="151">
        <f>ROUND(N396*1.5%,2)</f>
        <v>0</v>
      </c>
      <c r="AD396" s="151">
        <v>43566.44</v>
      </c>
      <c r="AE396" s="151">
        <v>0</v>
      </c>
      <c r="AF396" s="199">
        <v>2020</v>
      </c>
      <c r="AG396" s="199" t="s">
        <v>270</v>
      </c>
      <c r="AH396" s="199" t="s">
        <v>270</v>
      </c>
      <c r="AT396" s="196" t="e">
        <f>VLOOKUP(C396,AW:AX,2,FALSE)</f>
        <v>#N/A</v>
      </c>
      <c r="BZ396" s="201"/>
      <c r="CD396" s="196">
        <f t="shared" si="80"/>
        <v>336.14</v>
      </c>
    </row>
    <row r="397" spans="1:82" ht="61.5" x14ac:dyDescent="0.85">
      <c r="B397" s="24" t="s">
        <v>842</v>
      </c>
      <c r="C397" s="24"/>
      <c r="D397" s="195">
        <f>SUM(D398:D401)</f>
        <v>4166442.5</v>
      </c>
      <c r="E397" s="31">
        <f t="shared" ref="E397:AE397" si="81">SUM(E398:E401)</f>
        <v>0</v>
      </c>
      <c r="F397" s="31">
        <f t="shared" si="81"/>
        <v>0</v>
      </c>
      <c r="G397" s="31">
        <f t="shared" si="81"/>
        <v>0</v>
      </c>
      <c r="H397" s="31">
        <f t="shared" si="81"/>
        <v>0</v>
      </c>
      <c r="I397" s="31">
        <f t="shared" si="81"/>
        <v>0</v>
      </c>
      <c r="J397" s="31">
        <f t="shared" si="81"/>
        <v>0</v>
      </c>
      <c r="K397" s="33">
        <f t="shared" si="81"/>
        <v>0</v>
      </c>
      <c r="L397" s="31">
        <f t="shared" si="81"/>
        <v>0</v>
      </c>
      <c r="M397" s="31">
        <f t="shared" si="81"/>
        <v>542.66</v>
      </c>
      <c r="N397" s="31">
        <f t="shared" si="81"/>
        <v>2207932.36</v>
      </c>
      <c r="O397" s="31">
        <f t="shared" si="81"/>
        <v>0</v>
      </c>
      <c r="P397" s="31">
        <f t="shared" si="81"/>
        <v>0</v>
      </c>
      <c r="Q397" s="31">
        <f t="shared" si="81"/>
        <v>437.5</v>
      </c>
      <c r="R397" s="31">
        <f t="shared" si="81"/>
        <v>1813992.23</v>
      </c>
      <c r="S397" s="31">
        <f t="shared" si="81"/>
        <v>0</v>
      </c>
      <c r="T397" s="31">
        <f t="shared" si="81"/>
        <v>0</v>
      </c>
      <c r="U397" s="31">
        <f t="shared" si="81"/>
        <v>0</v>
      </c>
      <c r="V397" s="31">
        <f t="shared" si="81"/>
        <v>0</v>
      </c>
      <c r="W397" s="31">
        <f t="shared" si="81"/>
        <v>0</v>
      </c>
      <c r="X397" s="31">
        <f t="shared" si="81"/>
        <v>0</v>
      </c>
      <c r="Y397" s="31">
        <f t="shared" si="81"/>
        <v>0</v>
      </c>
      <c r="Z397" s="31">
        <f t="shared" si="81"/>
        <v>0</v>
      </c>
      <c r="AA397" s="31">
        <f t="shared" si="81"/>
        <v>0</v>
      </c>
      <c r="AB397" s="31">
        <f t="shared" si="81"/>
        <v>0</v>
      </c>
      <c r="AC397" s="31">
        <f t="shared" si="81"/>
        <v>17958.52</v>
      </c>
      <c r="AD397" s="31">
        <f t="shared" si="81"/>
        <v>126559.39</v>
      </c>
      <c r="AE397" s="31">
        <f t="shared" si="81"/>
        <v>0</v>
      </c>
      <c r="AF397" s="72" t="s">
        <v>757</v>
      </c>
      <c r="AG397" s="72" t="s">
        <v>757</v>
      </c>
      <c r="AH397" s="87" t="s">
        <v>757</v>
      </c>
      <c r="AT397" s="20" t="e">
        <f>VLOOKUP(C397,AW:AX,2,FALSE)</f>
        <v>#N/A</v>
      </c>
      <c r="BZ397" s="71">
        <v>7290181.6600000001</v>
      </c>
      <c r="CC397" s="31">
        <v>6271514.3100000005</v>
      </c>
      <c r="CD397" s="20" t="e">
        <f t="shared" si="80"/>
        <v>#N/A</v>
      </c>
    </row>
    <row r="398" spans="1:82" ht="61.5" x14ac:dyDescent="0.85">
      <c r="A398" s="20">
        <v>1</v>
      </c>
      <c r="B398" s="66">
        <f>SUBTOTAL(103,$A$22:A398)</f>
        <v>348</v>
      </c>
      <c r="C398" s="24" t="s">
        <v>182</v>
      </c>
      <c r="D398" s="31">
        <f>E398+F398+G398+H398+I398+J398+L398+N398+P398+R398+T398+U398+V398+W398+X398+Y398+Z398+AA398+AB398+AC398+AD398+AE398</f>
        <v>71741.72</v>
      </c>
      <c r="E398" s="31">
        <v>0</v>
      </c>
      <c r="F398" s="31">
        <v>0</v>
      </c>
      <c r="G398" s="31">
        <v>0</v>
      </c>
      <c r="H398" s="31">
        <v>0</v>
      </c>
      <c r="I398" s="31">
        <v>0</v>
      </c>
      <c r="J398" s="31">
        <v>0</v>
      </c>
      <c r="K398" s="33">
        <v>0</v>
      </c>
      <c r="L398" s="31">
        <v>0</v>
      </c>
      <c r="M398" s="31">
        <v>0</v>
      </c>
      <c r="N398" s="31">
        <v>0</v>
      </c>
      <c r="O398" s="31">
        <v>0</v>
      </c>
      <c r="P398" s="31">
        <v>0</v>
      </c>
      <c r="Q398" s="31">
        <v>0</v>
      </c>
      <c r="R398" s="31">
        <v>0</v>
      </c>
      <c r="S398" s="31">
        <v>0</v>
      </c>
      <c r="T398" s="31">
        <v>0</v>
      </c>
      <c r="U398" s="31">
        <v>0</v>
      </c>
      <c r="V398" s="31">
        <v>0</v>
      </c>
      <c r="W398" s="31">
        <v>0</v>
      </c>
      <c r="X398" s="31">
        <v>0</v>
      </c>
      <c r="Y398" s="31">
        <v>0</v>
      </c>
      <c r="Z398" s="31">
        <v>0</v>
      </c>
      <c r="AA398" s="31">
        <v>0</v>
      </c>
      <c r="AB398" s="31">
        <v>0</v>
      </c>
      <c r="AC398" s="31">
        <f>ROUND(R398*1.5%,2)</f>
        <v>0</v>
      </c>
      <c r="AD398" s="39">
        <v>71741.72</v>
      </c>
      <c r="AE398" s="31">
        <v>0</v>
      </c>
      <c r="AF398" s="34">
        <v>2020</v>
      </c>
      <c r="AG398" s="34" t="s">
        <v>270</v>
      </c>
      <c r="AH398" s="34" t="s">
        <v>270</v>
      </c>
      <c r="AT398" s="20" t="e">
        <f>VLOOKUP(C398,AW:AX,2,FALSE)</f>
        <v>#N/A</v>
      </c>
      <c r="BZ398" s="71"/>
      <c r="CD398" s="20" t="e">
        <f t="shared" si="80"/>
        <v>#N/A</v>
      </c>
    </row>
    <row r="399" spans="1:82" ht="61.5" x14ac:dyDescent="0.85">
      <c r="A399" s="20">
        <v>1</v>
      </c>
      <c r="B399" s="66">
        <f>SUBTOTAL(103,$A$22:A399)</f>
        <v>349</v>
      </c>
      <c r="C399" s="24" t="s">
        <v>1234</v>
      </c>
      <c r="D399" s="31">
        <f>E399+F399+G399+H399+I399+J399+L399+N399+P399+R399+T399+U399+V399+W399+X399+Y399+Z399+AA399+AB399+AC399+AD399+AE399</f>
        <v>1831950.75</v>
      </c>
      <c r="E399" s="31">
        <v>0</v>
      </c>
      <c r="F399" s="31">
        <v>0</v>
      </c>
      <c r="G399" s="31">
        <v>0</v>
      </c>
      <c r="H399" s="31">
        <v>0</v>
      </c>
      <c r="I399" s="31">
        <v>0</v>
      </c>
      <c r="J399" s="31">
        <v>0</v>
      </c>
      <c r="K399" s="33">
        <v>0</v>
      </c>
      <c r="L399" s="31">
        <v>0</v>
      </c>
      <c r="M399" s="31">
        <v>0</v>
      </c>
      <c r="N399" s="31">
        <v>0</v>
      </c>
      <c r="O399" s="31">
        <v>0</v>
      </c>
      <c r="P399" s="31">
        <v>0</v>
      </c>
      <c r="Q399" s="39">
        <v>437.5</v>
      </c>
      <c r="R399" s="39">
        <v>1813992.23</v>
      </c>
      <c r="S399" s="31">
        <v>0</v>
      </c>
      <c r="T399" s="31">
        <v>0</v>
      </c>
      <c r="U399" s="31">
        <v>0</v>
      </c>
      <c r="V399" s="31">
        <v>0</v>
      </c>
      <c r="W399" s="31">
        <v>0</v>
      </c>
      <c r="X399" s="31">
        <v>0</v>
      </c>
      <c r="Y399" s="31">
        <v>0</v>
      </c>
      <c r="Z399" s="31">
        <v>0</v>
      </c>
      <c r="AA399" s="31">
        <v>0</v>
      </c>
      <c r="AB399" s="31">
        <v>0</v>
      </c>
      <c r="AC399" s="39">
        <v>17958.52</v>
      </c>
      <c r="AD399" s="31">
        <v>0</v>
      </c>
      <c r="AE399" s="31">
        <v>0</v>
      </c>
      <c r="AF399" s="34" t="s">
        <v>270</v>
      </c>
      <c r="AG399" s="34">
        <v>2020</v>
      </c>
      <c r="AH399" s="35">
        <v>2020</v>
      </c>
      <c r="BZ399" s="71"/>
      <c r="CD399" s="20" t="e">
        <f t="shared" si="80"/>
        <v>#N/A</v>
      </c>
    </row>
    <row r="400" spans="1:82" ht="61.5" x14ac:dyDescent="0.85">
      <c r="A400" s="20">
        <v>1</v>
      </c>
      <c r="B400" s="66">
        <f>SUBTOTAL(103,$A$22:A400)</f>
        <v>350</v>
      </c>
      <c r="C400" s="24" t="s">
        <v>1235</v>
      </c>
      <c r="D400" s="31">
        <f>E400+F400+G400+H400+I400+J400+L400+N400+P400+R400+T400+U400+V400+W400+X400+Y400+Z400+AA400+AB400+AC400+AD400+AE400</f>
        <v>2207932.36</v>
      </c>
      <c r="E400" s="31">
        <v>0</v>
      </c>
      <c r="F400" s="31">
        <v>0</v>
      </c>
      <c r="G400" s="31">
        <v>0</v>
      </c>
      <c r="H400" s="31">
        <v>0</v>
      </c>
      <c r="I400" s="31">
        <v>0</v>
      </c>
      <c r="J400" s="31">
        <v>0</v>
      </c>
      <c r="K400" s="33">
        <v>0</v>
      </c>
      <c r="L400" s="31">
        <v>0</v>
      </c>
      <c r="M400" s="39">
        <v>542.66</v>
      </c>
      <c r="N400" s="39">
        <v>2207932.36</v>
      </c>
      <c r="O400" s="31">
        <v>0</v>
      </c>
      <c r="P400" s="31">
        <v>0</v>
      </c>
      <c r="Q400" s="31">
        <v>0</v>
      </c>
      <c r="R400" s="31">
        <v>0</v>
      </c>
      <c r="S400" s="31">
        <v>0</v>
      </c>
      <c r="T400" s="31">
        <v>0</v>
      </c>
      <c r="U400" s="31">
        <v>0</v>
      </c>
      <c r="V400" s="31">
        <v>0</v>
      </c>
      <c r="W400" s="31">
        <v>0</v>
      </c>
      <c r="X400" s="31">
        <v>0</v>
      </c>
      <c r="Y400" s="31">
        <v>0</v>
      </c>
      <c r="Z400" s="31">
        <v>0</v>
      </c>
      <c r="AA400" s="31">
        <v>0</v>
      </c>
      <c r="AB400" s="31">
        <v>0</v>
      </c>
      <c r="AC400" s="31">
        <v>0</v>
      </c>
      <c r="AD400" s="31">
        <v>0</v>
      </c>
      <c r="AE400" s="31">
        <v>0</v>
      </c>
      <c r="AF400" s="34" t="s">
        <v>270</v>
      </c>
      <c r="AG400" s="34">
        <v>2020</v>
      </c>
      <c r="AH400" s="35" t="s">
        <v>270</v>
      </c>
      <c r="BZ400" s="71"/>
      <c r="CD400" s="20">
        <f t="shared" si="80"/>
        <v>542.66</v>
      </c>
    </row>
    <row r="401" spans="1:82" ht="61.5" x14ac:dyDescent="0.85">
      <c r="A401" s="20">
        <v>1</v>
      </c>
      <c r="B401" s="66">
        <f>SUBTOTAL(103,$A$22:A401)</f>
        <v>351</v>
      </c>
      <c r="C401" s="24" t="s">
        <v>1582</v>
      </c>
      <c r="D401" s="31">
        <f>E401+F401+G401+H401+I401+J401+L401+N401+P401+R401+T401+U401+V401+W401+X401+Y401+Z401+AA401+AB401+AC401+AD401+AE401</f>
        <v>54817.67</v>
      </c>
      <c r="E401" s="31">
        <v>0</v>
      </c>
      <c r="F401" s="31">
        <v>0</v>
      </c>
      <c r="G401" s="31">
        <v>0</v>
      </c>
      <c r="H401" s="31">
        <v>0</v>
      </c>
      <c r="I401" s="31">
        <v>0</v>
      </c>
      <c r="J401" s="31">
        <v>0</v>
      </c>
      <c r="K401" s="33">
        <v>0</v>
      </c>
      <c r="L401" s="31">
        <v>0</v>
      </c>
      <c r="M401" s="31">
        <v>0</v>
      </c>
      <c r="N401" s="31">
        <v>0</v>
      </c>
      <c r="O401" s="31">
        <v>0</v>
      </c>
      <c r="P401" s="31">
        <v>0</v>
      </c>
      <c r="Q401" s="31">
        <v>0</v>
      </c>
      <c r="R401" s="31">
        <v>0</v>
      </c>
      <c r="S401" s="31">
        <v>0</v>
      </c>
      <c r="T401" s="31">
        <v>0</v>
      </c>
      <c r="U401" s="31">
        <v>0</v>
      </c>
      <c r="V401" s="31">
        <v>0</v>
      </c>
      <c r="W401" s="31">
        <v>0</v>
      </c>
      <c r="X401" s="31">
        <v>0</v>
      </c>
      <c r="Y401" s="31">
        <v>0</v>
      </c>
      <c r="Z401" s="31">
        <v>0</v>
      </c>
      <c r="AA401" s="31">
        <v>0</v>
      </c>
      <c r="AB401" s="31">
        <v>0</v>
      </c>
      <c r="AC401" s="31">
        <f>ROUND(U401*1.5%,2)</f>
        <v>0</v>
      </c>
      <c r="AD401" s="39">
        <v>54817.67</v>
      </c>
      <c r="AE401" s="31">
        <v>0</v>
      </c>
      <c r="AF401" s="34">
        <v>2020</v>
      </c>
      <c r="AG401" s="34" t="s">
        <v>270</v>
      </c>
      <c r="AH401" s="34" t="s">
        <v>270</v>
      </c>
      <c r="BZ401" s="71"/>
      <c r="CD401" s="20" t="e">
        <f t="shared" si="80"/>
        <v>#N/A</v>
      </c>
    </row>
    <row r="402" spans="1:82" ht="61.5" x14ac:dyDescent="0.85">
      <c r="B402" s="24" t="s">
        <v>877</v>
      </c>
      <c r="C402" s="24"/>
      <c r="D402" s="195">
        <f>D403</f>
        <v>2786770.47</v>
      </c>
      <c r="E402" s="31">
        <f t="shared" ref="E402:AE402" si="82">E403</f>
        <v>0</v>
      </c>
      <c r="F402" s="31">
        <f t="shared" si="82"/>
        <v>0</v>
      </c>
      <c r="G402" s="31">
        <f t="shared" si="82"/>
        <v>0</v>
      </c>
      <c r="H402" s="31">
        <f t="shared" si="82"/>
        <v>0</v>
      </c>
      <c r="I402" s="31">
        <f t="shared" si="82"/>
        <v>0</v>
      </c>
      <c r="J402" s="31">
        <f t="shared" si="82"/>
        <v>0</v>
      </c>
      <c r="K402" s="33">
        <f t="shared" si="82"/>
        <v>0</v>
      </c>
      <c r="L402" s="31">
        <f t="shared" si="82"/>
        <v>0</v>
      </c>
      <c r="M402" s="31">
        <f t="shared" si="82"/>
        <v>0</v>
      </c>
      <c r="N402" s="31">
        <f t="shared" si="82"/>
        <v>0</v>
      </c>
      <c r="O402" s="31">
        <f t="shared" si="82"/>
        <v>0</v>
      </c>
      <c r="P402" s="31">
        <f t="shared" si="82"/>
        <v>0</v>
      </c>
      <c r="Q402" s="31">
        <f t="shared" si="82"/>
        <v>818.41</v>
      </c>
      <c r="R402" s="31">
        <f t="shared" si="82"/>
        <v>2759451.89</v>
      </c>
      <c r="S402" s="31">
        <f t="shared" si="82"/>
        <v>0</v>
      </c>
      <c r="T402" s="31">
        <f t="shared" si="82"/>
        <v>0</v>
      </c>
      <c r="U402" s="31">
        <f t="shared" si="82"/>
        <v>0</v>
      </c>
      <c r="V402" s="31">
        <f t="shared" si="82"/>
        <v>0</v>
      </c>
      <c r="W402" s="31">
        <f t="shared" si="82"/>
        <v>0</v>
      </c>
      <c r="X402" s="31">
        <f t="shared" si="82"/>
        <v>0</v>
      </c>
      <c r="Y402" s="31">
        <f t="shared" si="82"/>
        <v>0</v>
      </c>
      <c r="Z402" s="31">
        <f t="shared" si="82"/>
        <v>0</v>
      </c>
      <c r="AA402" s="31">
        <f t="shared" si="82"/>
        <v>0</v>
      </c>
      <c r="AB402" s="31">
        <f t="shared" si="82"/>
        <v>0</v>
      </c>
      <c r="AC402" s="31">
        <f t="shared" si="82"/>
        <v>27318.58</v>
      </c>
      <c r="AD402" s="31">
        <f t="shared" si="82"/>
        <v>0</v>
      </c>
      <c r="AE402" s="31">
        <f t="shared" si="82"/>
        <v>0</v>
      </c>
      <c r="AF402" s="72" t="s">
        <v>757</v>
      </c>
      <c r="AG402" s="72" t="s">
        <v>757</v>
      </c>
      <c r="AH402" s="87" t="s">
        <v>757</v>
      </c>
      <c r="BZ402" s="71">
        <v>3230853.85</v>
      </c>
      <c r="CC402" s="31">
        <v>3334643.9899999998</v>
      </c>
      <c r="CD402" s="20" t="e">
        <f t="shared" si="80"/>
        <v>#N/A</v>
      </c>
    </row>
    <row r="403" spans="1:82" ht="61.5" x14ac:dyDescent="0.85">
      <c r="A403" s="20">
        <v>1</v>
      </c>
      <c r="B403" s="66">
        <f>SUBTOTAL(103,$A$22:A403)</f>
        <v>352</v>
      </c>
      <c r="C403" s="24" t="s">
        <v>1237</v>
      </c>
      <c r="D403" s="31">
        <f>E403+F403+G403+H403+I403+J403+L403+N403+P403+R403+T403+U403+V403+W403+X403+Y403+Z403+AA403+AB403+AC403+AD403+AE403</f>
        <v>2786770.47</v>
      </c>
      <c r="E403" s="31">
        <v>0</v>
      </c>
      <c r="F403" s="31">
        <v>0</v>
      </c>
      <c r="G403" s="31">
        <v>0</v>
      </c>
      <c r="H403" s="31">
        <v>0</v>
      </c>
      <c r="I403" s="31">
        <v>0</v>
      </c>
      <c r="J403" s="31">
        <v>0</v>
      </c>
      <c r="K403" s="33">
        <v>0</v>
      </c>
      <c r="L403" s="31">
        <v>0</v>
      </c>
      <c r="M403" s="31">
        <v>0</v>
      </c>
      <c r="N403" s="31">
        <v>0</v>
      </c>
      <c r="O403" s="31">
        <v>0</v>
      </c>
      <c r="P403" s="31">
        <v>0</v>
      </c>
      <c r="Q403" s="39">
        <v>818.41</v>
      </c>
      <c r="R403" s="39">
        <v>2759451.89</v>
      </c>
      <c r="S403" s="31">
        <v>0</v>
      </c>
      <c r="T403" s="31">
        <v>0</v>
      </c>
      <c r="U403" s="31">
        <v>0</v>
      </c>
      <c r="V403" s="31">
        <v>0</v>
      </c>
      <c r="W403" s="31">
        <v>0</v>
      </c>
      <c r="X403" s="31">
        <v>0</v>
      </c>
      <c r="Y403" s="31">
        <v>0</v>
      </c>
      <c r="Z403" s="31">
        <v>0</v>
      </c>
      <c r="AA403" s="31">
        <v>0</v>
      </c>
      <c r="AB403" s="31">
        <v>0</v>
      </c>
      <c r="AC403" s="39">
        <v>27318.58</v>
      </c>
      <c r="AD403" s="31">
        <v>0</v>
      </c>
      <c r="AE403" s="31">
        <v>0</v>
      </c>
      <c r="AF403" s="34" t="s">
        <v>270</v>
      </c>
      <c r="AG403" s="34">
        <v>2020</v>
      </c>
      <c r="AH403" s="35">
        <v>2020</v>
      </c>
      <c r="BZ403" s="71"/>
      <c r="CD403" s="20" t="e">
        <f t="shared" si="80"/>
        <v>#N/A</v>
      </c>
    </row>
    <row r="404" spans="1:82" ht="61.5" x14ac:dyDescent="0.85">
      <c r="B404" s="24" t="s">
        <v>844</v>
      </c>
      <c r="C404" s="108"/>
      <c r="D404" s="195">
        <f t="shared" ref="D404:AE404" si="83">SUM(D405:D411)</f>
        <v>8509415.7999999989</v>
      </c>
      <c r="E404" s="31">
        <f t="shared" si="83"/>
        <v>0</v>
      </c>
      <c r="F404" s="31">
        <f t="shared" si="83"/>
        <v>0</v>
      </c>
      <c r="G404" s="31">
        <f t="shared" si="83"/>
        <v>0</v>
      </c>
      <c r="H404" s="31">
        <f t="shared" si="83"/>
        <v>0</v>
      </c>
      <c r="I404" s="31">
        <f t="shared" si="83"/>
        <v>0</v>
      </c>
      <c r="J404" s="31">
        <f t="shared" si="83"/>
        <v>0</v>
      </c>
      <c r="K404" s="33">
        <f t="shared" si="83"/>
        <v>0</v>
      </c>
      <c r="L404" s="31">
        <f t="shared" si="83"/>
        <v>0</v>
      </c>
      <c r="M404" s="31">
        <f t="shared" si="83"/>
        <v>2092.46</v>
      </c>
      <c r="N404" s="31">
        <f t="shared" si="83"/>
        <v>7827572.0800000001</v>
      </c>
      <c r="O404" s="31">
        <f t="shared" si="83"/>
        <v>0</v>
      </c>
      <c r="P404" s="31">
        <f t="shared" si="83"/>
        <v>0</v>
      </c>
      <c r="Q404" s="31">
        <f t="shared" si="83"/>
        <v>0</v>
      </c>
      <c r="R404" s="31">
        <f t="shared" si="83"/>
        <v>0</v>
      </c>
      <c r="S404" s="31">
        <f t="shared" si="83"/>
        <v>0</v>
      </c>
      <c r="T404" s="31">
        <f t="shared" si="83"/>
        <v>0</v>
      </c>
      <c r="U404" s="31">
        <f t="shared" si="83"/>
        <v>0</v>
      </c>
      <c r="V404" s="31">
        <f t="shared" si="83"/>
        <v>0</v>
      </c>
      <c r="W404" s="31">
        <f t="shared" si="83"/>
        <v>0</v>
      </c>
      <c r="X404" s="31">
        <f t="shared" si="83"/>
        <v>0</v>
      </c>
      <c r="Y404" s="31">
        <f t="shared" si="83"/>
        <v>0</v>
      </c>
      <c r="Z404" s="31">
        <f t="shared" si="83"/>
        <v>0</v>
      </c>
      <c r="AA404" s="31">
        <f t="shared" si="83"/>
        <v>0</v>
      </c>
      <c r="AB404" s="31">
        <f t="shared" si="83"/>
        <v>0</v>
      </c>
      <c r="AC404" s="31">
        <f t="shared" si="83"/>
        <v>76225.37</v>
      </c>
      <c r="AD404" s="31">
        <f t="shared" si="83"/>
        <v>605618.35</v>
      </c>
      <c r="AE404" s="31">
        <f t="shared" si="83"/>
        <v>0</v>
      </c>
      <c r="AF404" s="72" t="s">
        <v>757</v>
      </c>
      <c r="AG404" s="72" t="s">
        <v>757</v>
      </c>
      <c r="AH404" s="87" t="s">
        <v>757</v>
      </c>
      <c r="AT404" s="20" t="e">
        <f>VLOOKUP(C404,AW:AX,2,FALSE)</f>
        <v>#N/A</v>
      </c>
      <c r="BZ404" s="71">
        <v>22440468.149999999</v>
      </c>
      <c r="CD404" s="20" t="e">
        <f t="shared" si="80"/>
        <v>#N/A</v>
      </c>
    </row>
    <row r="405" spans="1:82" ht="61.5" x14ac:dyDescent="0.85">
      <c r="A405" s="20">
        <v>1</v>
      </c>
      <c r="B405" s="66">
        <f>SUBTOTAL(103,$A$22:A405)</f>
        <v>353</v>
      </c>
      <c r="C405" s="24" t="s">
        <v>75</v>
      </c>
      <c r="D405" s="31">
        <f>E405+F405+G405+H405+I405+J405+L405+N405+P405+R405+T405+U405+V405+W405+X405+Y405+Z405+AA405+AB405+AC405+AD405+AE405</f>
        <v>2519278.3999999994</v>
      </c>
      <c r="E405" s="31">
        <v>0</v>
      </c>
      <c r="F405" s="31">
        <v>0</v>
      </c>
      <c r="G405" s="31">
        <v>0</v>
      </c>
      <c r="H405" s="31">
        <v>0</v>
      </c>
      <c r="I405" s="31">
        <v>0</v>
      </c>
      <c r="J405" s="31">
        <v>0</v>
      </c>
      <c r="K405" s="33">
        <v>0</v>
      </c>
      <c r="L405" s="31">
        <v>0</v>
      </c>
      <c r="M405" s="39">
        <v>625</v>
      </c>
      <c r="N405" s="39">
        <v>2404974.7999999998</v>
      </c>
      <c r="O405" s="31">
        <v>0</v>
      </c>
      <c r="P405" s="31">
        <v>0</v>
      </c>
      <c r="Q405" s="31">
        <v>0</v>
      </c>
      <c r="R405" s="31">
        <v>0</v>
      </c>
      <c r="S405" s="31">
        <v>0</v>
      </c>
      <c r="T405" s="31">
        <v>0</v>
      </c>
      <c r="U405" s="31">
        <v>0</v>
      </c>
      <c r="V405" s="31">
        <v>0</v>
      </c>
      <c r="W405" s="31">
        <v>0</v>
      </c>
      <c r="X405" s="31">
        <v>0</v>
      </c>
      <c r="Y405" s="31">
        <v>0</v>
      </c>
      <c r="Z405" s="31">
        <v>0</v>
      </c>
      <c r="AA405" s="31">
        <v>0</v>
      </c>
      <c r="AB405" s="31">
        <v>0</v>
      </c>
      <c r="AC405" s="39">
        <v>14429.84</v>
      </c>
      <c r="AD405" s="39">
        <v>99873.76</v>
      </c>
      <c r="AE405" s="31">
        <v>0</v>
      </c>
      <c r="AF405" s="34">
        <v>2020</v>
      </c>
      <c r="AG405" s="34">
        <v>2020</v>
      </c>
      <c r="AH405" s="35">
        <v>2020</v>
      </c>
      <c r="AT405" s="20" t="e">
        <f>VLOOKUP(C405,AW:AX,2,FALSE)</f>
        <v>#N/A</v>
      </c>
      <c r="BZ405" s="71"/>
      <c r="CD405" s="20" t="e">
        <f t="shared" si="80"/>
        <v>#N/A</v>
      </c>
    </row>
    <row r="406" spans="1:82" ht="61.5" x14ac:dyDescent="0.85">
      <c r="A406" s="20">
        <v>1</v>
      </c>
      <c r="B406" s="66">
        <f>SUBTOTAL(103,$A$22:A406)</f>
        <v>354</v>
      </c>
      <c r="C406" s="24" t="s">
        <v>74</v>
      </c>
      <c r="D406" s="31">
        <f>E406+F406+G406+H406+I406+J406+L406+N406+P406+R406+T406+U406+V406+W406+X406+Y406+Z406+AA406+AB406+AC406+AD406+AE406</f>
        <v>2316768.9099999997</v>
      </c>
      <c r="E406" s="31">
        <v>0</v>
      </c>
      <c r="F406" s="31">
        <v>0</v>
      </c>
      <c r="G406" s="31">
        <v>0</v>
      </c>
      <c r="H406" s="31">
        <v>0</v>
      </c>
      <c r="I406" s="31">
        <v>0</v>
      </c>
      <c r="J406" s="31">
        <v>0</v>
      </c>
      <c r="K406" s="33">
        <v>0</v>
      </c>
      <c r="L406" s="31">
        <v>0</v>
      </c>
      <c r="M406" s="39">
        <v>492.3</v>
      </c>
      <c r="N406" s="179">
        <v>2171491.13</v>
      </c>
      <c r="O406" s="31">
        <v>0</v>
      </c>
      <c r="P406" s="31">
        <v>0</v>
      </c>
      <c r="Q406" s="31">
        <v>0</v>
      </c>
      <c r="R406" s="31">
        <v>0</v>
      </c>
      <c r="S406" s="31">
        <v>0</v>
      </c>
      <c r="T406" s="31">
        <v>0</v>
      </c>
      <c r="U406" s="31">
        <v>0</v>
      </c>
      <c r="V406" s="31">
        <v>0</v>
      </c>
      <c r="W406" s="31">
        <v>0</v>
      </c>
      <c r="X406" s="31">
        <v>0</v>
      </c>
      <c r="Y406" s="31">
        <v>0</v>
      </c>
      <c r="Z406" s="31">
        <v>0</v>
      </c>
      <c r="AA406" s="31">
        <v>0</v>
      </c>
      <c r="AB406" s="31">
        <v>0</v>
      </c>
      <c r="AC406" s="39">
        <v>13028.94</v>
      </c>
      <c r="AD406" s="39">
        <v>132248.84</v>
      </c>
      <c r="AE406" s="31">
        <v>0</v>
      </c>
      <c r="AF406" s="34">
        <v>2020</v>
      </c>
      <c r="AG406" s="34">
        <v>2020</v>
      </c>
      <c r="AH406" s="35">
        <v>2020</v>
      </c>
      <c r="AT406" s="20" t="e">
        <f>VLOOKUP(C406,AW:AX,2,FALSE)</f>
        <v>#N/A</v>
      </c>
      <c r="BZ406" s="71"/>
      <c r="CD406" s="20" t="e">
        <f t="shared" si="80"/>
        <v>#N/A</v>
      </c>
    </row>
    <row r="407" spans="1:82" ht="61.5" x14ac:dyDescent="0.85">
      <c r="A407" s="20">
        <v>1</v>
      </c>
      <c r="B407" s="66">
        <f>SUBTOTAL(103,$A$22:A407)</f>
        <v>355</v>
      </c>
      <c r="C407" s="24" t="s">
        <v>76</v>
      </c>
      <c r="D407" s="31">
        <f>E407+F407+G407+H407+I407+J407+L407+N407+P407+R407+T407+U407+V407+W407+X407+Y407+Z407+AA407+AB407+AC407+AD407+AE407</f>
        <v>132502.74</v>
      </c>
      <c r="E407" s="31">
        <v>0</v>
      </c>
      <c r="F407" s="31">
        <v>0</v>
      </c>
      <c r="G407" s="31">
        <v>0</v>
      </c>
      <c r="H407" s="31">
        <v>0</v>
      </c>
      <c r="I407" s="31">
        <v>0</v>
      </c>
      <c r="J407" s="31">
        <v>0</v>
      </c>
      <c r="K407" s="33">
        <v>0</v>
      </c>
      <c r="L407" s="31">
        <v>0</v>
      </c>
      <c r="M407" s="31">
        <v>0</v>
      </c>
      <c r="N407" s="31">
        <v>0</v>
      </c>
      <c r="O407" s="31">
        <v>0</v>
      </c>
      <c r="P407" s="31">
        <v>0</v>
      </c>
      <c r="Q407" s="31">
        <v>0</v>
      </c>
      <c r="R407" s="31">
        <v>0</v>
      </c>
      <c r="S407" s="31">
        <v>0</v>
      </c>
      <c r="T407" s="31">
        <v>0</v>
      </c>
      <c r="U407" s="31">
        <v>0</v>
      </c>
      <c r="V407" s="31">
        <v>0</v>
      </c>
      <c r="W407" s="31">
        <v>0</v>
      </c>
      <c r="X407" s="31">
        <v>0</v>
      </c>
      <c r="Y407" s="31">
        <v>0</v>
      </c>
      <c r="Z407" s="31">
        <v>0</v>
      </c>
      <c r="AA407" s="31">
        <v>0</v>
      </c>
      <c r="AB407" s="31">
        <v>0</v>
      </c>
      <c r="AC407" s="31">
        <f>ROUND(N407*1.5%,2)</f>
        <v>0</v>
      </c>
      <c r="AD407" s="39">
        <v>132502.74</v>
      </c>
      <c r="AE407" s="31">
        <v>0</v>
      </c>
      <c r="AF407" s="34">
        <v>2020</v>
      </c>
      <c r="AG407" s="34" t="s">
        <v>270</v>
      </c>
      <c r="AH407" s="34" t="s">
        <v>270</v>
      </c>
      <c r="AT407" s="20" t="e">
        <f>VLOOKUP(C407,AW:AX,2,FALSE)</f>
        <v>#N/A</v>
      </c>
      <c r="BZ407" s="71"/>
      <c r="CD407" s="20" t="e">
        <f t="shared" si="80"/>
        <v>#N/A</v>
      </c>
    </row>
    <row r="408" spans="1:82" ht="61.5" x14ac:dyDescent="0.85">
      <c r="A408" s="20">
        <v>1</v>
      </c>
      <c r="B408" s="66">
        <f>SUBTOTAL(103,$A$22:A408)</f>
        <v>356</v>
      </c>
      <c r="C408" s="24" t="s">
        <v>1238</v>
      </c>
      <c r="D408" s="31">
        <f>E408+F408+G408+H408+I408+J408+L408+N408+P408+R408+T408+U408+V408+W408+X408+Y408+Z408+AA408+AB408+AC408+AD408+AE408</f>
        <v>3299872.7399999998</v>
      </c>
      <c r="E408" s="31">
        <v>0</v>
      </c>
      <c r="F408" s="31">
        <v>0</v>
      </c>
      <c r="G408" s="31">
        <v>0</v>
      </c>
      <c r="H408" s="31">
        <v>0</v>
      </c>
      <c r="I408" s="31">
        <v>0</v>
      </c>
      <c r="J408" s="31">
        <v>0</v>
      </c>
      <c r="K408" s="33">
        <v>0</v>
      </c>
      <c r="L408" s="31">
        <v>0</v>
      </c>
      <c r="M408" s="39">
        <v>975.16</v>
      </c>
      <c r="N408" s="39">
        <v>3251106.15</v>
      </c>
      <c r="O408" s="31">
        <v>0</v>
      </c>
      <c r="P408" s="31">
        <v>0</v>
      </c>
      <c r="Q408" s="31">
        <v>0</v>
      </c>
      <c r="R408" s="31">
        <v>0</v>
      </c>
      <c r="S408" s="31">
        <v>0</v>
      </c>
      <c r="T408" s="31">
        <v>0</v>
      </c>
      <c r="U408" s="31">
        <v>0</v>
      </c>
      <c r="V408" s="31">
        <v>0</v>
      </c>
      <c r="W408" s="31">
        <v>0</v>
      </c>
      <c r="X408" s="31">
        <v>0</v>
      </c>
      <c r="Y408" s="31">
        <v>0</v>
      </c>
      <c r="Z408" s="31">
        <v>0</v>
      </c>
      <c r="AA408" s="31">
        <v>0</v>
      </c>
      <c r="AB408" s="31">
        <v>0</v>
      </c>
      <c r="AC408" s="31">
        <f>ROUND(N408*1.5%,2)</f>
        <v>48766.59</v>
      </c>
      <c r="AD408" s="31">
        <v>0</v>
      </c>
      <c r="AE408" s="31">
        <v>0</v>
      </c>
      <c r="AF408" s="34" t="s">
        <v>270</v>
      </c>
      <c r="AG408" s="34">
        <v>2020</v>
      </c>
      <c r="AH408" s="35">
        <v>2020</v>
      </c>
      <c r="BZ408" s="71"/>
      <c r="CD408" s="20">
        <f t="shared" si="80"/>
        <v>975.2</v>
      </c>
    </row>
    <row r="409" spans="1:82" ht="61.5" x14ac:dyDescent="0.85">
      <c r="A409" s="20">
        <v>1</v>
      </c>
      <c r="B409" s="66">
        <f>SUBTOTAL(103,$A$22:A409)</f>
        <v>357</v>
      </c>
      <c r="C409" s="24" t="s">
        <v>79</v>
      </c>
      <c r="D409" s="31">
        <f t="shared" ref="D409:D411" si="84">E409+F409+G409+H409+I409+J409+L409+N409+P409+R409+T409+U409+V409+W409+X409+Y409+Z409+AA409+AB409+AC409+AD409+AE409</f>
        <v>68786.83</v>
      </c>
      <c r="E409" s="31">
        <v>0</v>
      </c>
      <c r="F409" s="31">
        <v>0</v>
      </c>
      <c r="G409" s="31">
        <v>0</v>
      </c>
      <c r="H409" s="31">
        <v>0</v>
      </c>
      <c r="I409" s="31">
        <v>0</v>
      </c>
      <c r="J409" s="31">
        <v>0</v>
      </c>
      <c r="K409" s="74">
        <v>0</v>
      </c>
      <c r="L409" s="31">
        <v>0</v>
      </c>
      <c r="M409" s="31">
        <v>0</v>
      </c>
      <c r="N409" s="31">
        <v>0</v>
      </c>
      <c r="O409" s="31">
        <v>0</v>
      </c>
      <c r="P409" s="31">
        <v>0</v>
      </c>
      <c r="Q409" s="31">
        <v>0</v>
      </c>
      <c r="R409" s="31">
        <v>0</v>
      </c>
      <c r="S409" s="31">
        <v>0</v>
      </c>
      <c r="T409" s="31">
        <v>0</v>
      </c>
      <c r="U409" s="31">
        <v>0</v>
      </c>
      <c r="V409" s="31">
        <v>0</v>
      </c>
      <c r="W409" s="31">
        <v>0</v>
      </c>
      <c r="X409" s="31">
        <v>0</v>
      </c>
      <c r="Y409" s="31">
        <v>0</v>
      </c>
      <c r="Z409" s="31">
        <v>0</v>
      </c>
      <c r="AA409" s="31">
        <v>0</v>
      </c>
      <c r="AB409" s="31">
        <v>0</v>
      </c>
      <c r="AC409" s="31">
        <f t="shared" ref="AC409:AC411" si="85">ROUND(N409*1.5%,2)</f>
        <v>0</v>
      </c>
      <c r="AD409" s="31">
        <v>68786.83</v>
      </c>
      <c r="AE409" s="31">
        <v>0</v>
      </c>
      <c r="AF409" s="34">
        <v>2020</v>
      </c>
      <c r="AG409" s="34" t="s">
        <v>270</v>
      </c>
      <c r="AH409" s="34" t="s">
        <v>270</v>
      </c>
      <c r="AT409" s="20" t="e">
        <v>#N/A</v>
      </c>
      <c r="BZ409" s="71"/>
      <c r="CD409" s="20" t="e">
        <v>#N/A</v>
      </c>
    </row>
    <row r="410" spans="1:82" ht="61.5" x14ac:dyDescent="0.85">
      <c r="A410" s="20">
        <v>1</v>
      </c>
      <c r="B410" s="66">
        <f>SUBTOTAL(103,$A$22:A410)</f>
        <v>358</v>
      </c>
      <c r="C410" s="24" t="s">
        <v>80</v>
      </c>
      <c r="D410" s="31">
        <f t="shared" si="84"/>
        <v>68786.83</v>
      </c>
      <c r="E410" s="31">
        <v>0</v>
      </c>
      <c r="F410" s="31">
        <v>0</v>
      </c>
      <c r="G410" s="31">
        <v>0</v>
      </c>
      <c r="H410" s="31">
        <v>0</v>
      </c>
      <c r="I410" s="31">
        <v>0</v>
      </c>
      <c r="J410" s="31">
        <v>0</v>
      </c>
      <c r="K410" s="74">
        <v>0</v>
      </c>
      <c r="L410" s="31">
        <v>0</v>
      </c>
      <c r="M410" s="31">
        <v>0</v>
      </c>
      <c r="N410" s="31">
        <v>0</v>
      </c>
      <c r="O410" s="31">
        <v>0</v>
      </c>
      <c r="P410" s="31">
        <v>0</v>
      </c>
      <c r="Q410" s="31">
        <v>0</v>
      </c>
      <c r="R410" s="31">
        <v>0</v>
      </c>
      <c r="S410" s="31">
        <v>0</v>
      </c>
      <c r="T410" s="31">
        <v>0</v>
      </c>
      <c r="U410" s="31">
        <v>0</v>
      </c>
      <c r="V410" s="31">
        <v>0</v>
      </c>
      <c r="W410" s="31">
        <v>0</v>
      </c>
      <c r="X410" s="31">
        <v>0</v>
      </c>
      <c r="Y410" s="31">
        <v>0</v>
      </c>
      <c r="Z410" s="31">
        <v>0</v>
      </c>
      <c r="AA410" s="31">
        <v>0</v>
      </c>
      <c r="AB410" s="31">
        <v>0</v>
      </c>
      <c r="AC410" s="31">
        <f t="shared" si="85"/>
        <v>0</v>
      </c>
      <c r="AD410" s="31">
        <v>68786.83</v>
      </c>
      <c r="AE410" s="31">
        <v>0</v>
      </c>
      <c r="AF410" s="34">
        <v>2020</v>
      </c>
      <c r="AG410" s="34" t="s">
        <v>270</v>
      </c>
      <c r="AH410" s="34" t="s">
        <v>270</v>
      </c>
      <c r="AT410" s="20" t="e">
        <v>#N/A</v>
      </c>
      <c r="BZ410" s="71"/>
      <c r="CD410" s="20" t="e">
        <v>#N/A</v>
      </c>
    </row>
    <row r="411" spans="1:82" ht="61.5" x14ac:dyDescent="0.85">
      <c r="A411" s="20">
        <v>1</v>
      </c>
      <c r="B411" s="66">
        <f>SUBTOTAL(103,$A$22:A411)</f>
        <v>359</v>
      </c>
      <c r="C411" s="24" t="s">
        <v>1690</v>
      </c>
      <c r="D411" s="31">
        <f t="shared" si="84"/>
        <v>103419.35</v>
      </c>
      <c r="E411" s="31">
        <v>0</v>
      </c>
      <c r="F411" s="31">
        <v>0</v>
      </c>
      <c r="G411" s="31">
        <v>0</v>
      </c>
      <c r="H411" s="31">
        <v>0</v>
      </c>
      <c r="I411" s="31">
        <v>0</v>
      </c>
      <c r="J411" s="31">
        <v>0</v>
      </c>
      <c r="K411" s="74">
        <v>0</v>
      </c>
      <c r="L411" s="31">
        <v>0</v>
      </c>
      <c r="M411" s="31">
        <v>0</v>
      </c>
      <c r="N411" s="31">
        <v>0</v>
      </c>
      <c r="O411" s="31">
        <v>0</v>
      </c>
      <c r="P411" s="31">
        <v>0</v>
      </c>
      <c r="Q411" s="31">
        <v>0</v>
      </c>
      <c r="R411" s="31">
        <v>0</v>
      </c>
      <c r="S411" s="31">
        <v>0</v>
      </c>
      <c r="T411" s="31">
        <v>0</v>
      </c>
      <c r="U411" s="31">
        <v>0</v>
      </c>
      <c r="V411" s="31">
        <v>0</v>
      </c>
      <c r="W411" s="31">
        <v>0</v>
      </c>
      <c r="X411" s="31">
        <v>0</v>
      </c>
      <c r="Y411" s="31">
        <v>0</v>
      </c>
      <c r="Z411" s="31">
        <v>0</v>
      </c>
      <c r="AA411" s="31">
        <v>0</v>
      </c>
      <c r="AB411" s="31">
        <v>0</v>
      </c>
      <c r="AC411" s="31">
        <f t="shared" si="85"/>
        <v>0</v>
      </c>
      <c r="AD411" s="31">
        <v>103419.35</v>
      </c>
      <c r="AE411" s="31">
        <v>0</v>
      </c>
      <c r="AF411" s="34">
        <v>2020</v>
      </c>
      <c r="AG411" s="34" t="s">
        <v>270</v>
      </c>
      <c r="AH411" s="34" t="s">
        <v>270</v>
      </c>
      <c r="BZ411" s="71"/>
      <c r="CD411" s="20" t="e">
        <v>#N/A</v>
      </c>
    </row>
    <row r="412" spans="1:82" ht="61.5" x14ac:dyDescent="0.85">
      <c r="B412" s="24" t="s">
        <v>845</v>
      </c>
      <c r="C412" s="24"/>
      <c r="D412" s="195">
        <f>D413</f>
        <v>2358530.46</v>
      </c>
      <c r="E412" s="31">
        <f t="shared" ref="E412:AE412" si="86">E413</f>
        <v>0</v>
      </c>
      <c r="F412" s="31">
        <f t="shared" si="86"/>
        <v>0</v>
      </c>
      <c r="G412" s="31">
        <f t="shared" si="86"/>
        <v>0</v>
      </c>
      <c r="H412" s="31">
        <f t="shared" si="86"/>
        <v>0</v>
      </c>
      <c r="I412" s="31">
        <f t="shared" si="86"/>
        <v>0</v>
      </c>
      <c r="J412" s="31">
        <f t="shared" si="86"/>
        <v>0</v>
      </c>
      <c r="K412" s="33">
        <f t="shared" si="86"/>
        <v>0</v>
      </c>
      <c r="L412" s="31">
        <f t="shared" si="86"/>
        <v>0</v>
      </c>
      <c r="M412" s="31">
        <f t="shared" si="86"/>
        <v>540.25</v>
      </c>
      <c r="N412" s="31">
        <f t="shared" si="86"/>
        <v>2261640.71</v>
      </c>
      <c r="O412" s="31">
        <f t="shared" si="86"/>
        <v>0</v>
      </c>
      <c r="P412" s="31">
        <f t="shared" si="86"/>
        <v>0</v>
      </c>
      <c r="Q412" s="31">
        <f t="shared" si="86"/>
        <v>0</v>
      </c>
      <c r="R412" s="31">
        <f t="shared" si="86"/>
        <v>0</v>
      </c>
      <c r="S412" s="31">
        <f t="shared" si="86"/>
        <v>0</v>
      </c>
      <c r="T412" s="31">
        <f t="shared" si="86"/>
        <v>0</v>
      </c>
      <c r="U412" s="31">
        <f t="shared" si="86"/>
        <v>0</v>
      </c>
      <c r="V412" s="31">
        <f t="shared" si="86"/>
        <v>0</v>
      </c>
      <c r="W412" s="31">
        <f t="shared" si="86"/>
        <v>0</v>
      </c>
      <c r="X412" s="31">
        <f t="shared" si="86"/>
        <v>0</v>
      </c>
      <c r="Y412" s="31">
        <f t="shared" si="86"/>
        <v>0</v>
      </c>
      <c r="Z412" s="31">
        <f t="shared" si="86"/>
        <v>0</v>
      </c>
      <c r="AA412" s="31">
        <f t="shared" si="86"/>
        <v>0</v>
      </c>
      <c r="AB412" s="31">
        <f t="shared" si="86"/>
        <v>0</v>
      </c>
      <c r="AC412" s="31">
        <f t="shared" si="86"/>
        <v>13569.84</v>
      </c>
      <c r="AD412" s="31">
        <f t="shared" si="86"/>
        <v>83319.91</v>
      </c>
      <c r="AE412" s="31">
        <f t="shared" si="86"/>
        <v>0</v>
      </c>
      <c r="AF412" s="72" t="s">
        <v>757</v>
      </c>
      <c r="AG412" s="72" t="s">
        <v>757</v>
      </c>
      <c r="AH412" s="87" t="s">
        <v>757</v>
      </c>
      <c r="AT412" s="20" t="e">
        <f>VLOOKUP(C412,AW:AX,2,FALSE)</f>
        <v>#N/A</v>
      </c>
      <c r="BZ412" s="71">
        <v>3182125.2199999997</v>
      </c>
      <c r="CD412" s="20" t="e">
        <f t="shared" ref="CD412:CD444" si="87">VLOOKUP(C412,CE:CF,2,FALSE)</f>
        <v>#N/A</v>
      </c>
    </row>
    <row r="413" spans="1:82" ht="61.5" x14ac:dyDescent="0.85">
      <c r="A413" s="20">
        <v>1</v>
      </c>
      <c r="B413" s="66">
        <f>SUBTOTAL(103,$A$22:A413)</f>
        <v>360</v>
      </c>
      <c r="C413" s="24" t="s">
        <v>77</v>
      </c>
      <c r="D413" s="31">
        <f>E413+F413+G413+H413+I413+J413+L413+N413+P413+R413+T413+U413+V413+W413+X413+Y413+Z413+AA413+AB413+AC413+AD413+AE413</f>
        <v>2358530.46</v>
      </c>
      <c r="E413" s="31">
        <v>0</v>
      </c>
      <c r="F413" s="31">
        <v>0</v>
      </c>
      <c r="G413" s="31">
        <v>0</v>
      </c>
      <c r="H413" s="31">
        <v>0</v>
      </c>
      <c r="I413" s="31">
        <v>0</v>
      </c>
      <c r="J413" s="31">
        <v>0</v>
      </c>
      <c r="K413" s="33">
        <v>0</v>
      </c>
      <c r="L413" s="31">
        <v>0</v>
      </c>
      <c r="M413" s="39">
        <v>540.25</v>
      </c>
      <c r="N413" s="39">
        <v>2261640.71</v>
      </c>
      <c r="O413" s="31">
        <v>0</v>
      </c>
      <c r="P413" s="31">
        <v>0</v>
      </c>
      <c r="Q413" s="31">
        <v>0</v>
      </c>
      <c r="R413" s="31">
        <v>0</v>
      </c>
      <c r="S413" s="31">
        <v>0</v>
      </c>
      <c r="T413" s="31">
        <v>0</v>
      </c>
      <c r="U413" s="31">
        <v>0</v>
      </c>
      <c r="V413" s="31">
        <v>0</v>
      </c>
      <c r="W413" s="31">
        <v>0</v>
      </c>
      <c r="X413" s="31">
        <v>0</v>
      </c>
      <c r="Y413" s="31">
        <v>0</v>
      </c>
      <c r="Z413" s="31">
        <v>0</v>
      </c>
      <c r="AA413" s="31">
        <v>0</v>
      </c>
      <c r="AB413" s="31">
        <v>0</v>
      </c>
      <c r="AC413" s="39">
        <v>13569.84</v>
      </c>
      <c r="AD413" s="39">
        <v>83319.91</v>
      </c>
      <c r="AE413" s="31">
        <v>0</v>
      </c>
      <c r="AF413" s="34">
        <v>2020</v>
      </c>
      <c r="AG413" s="34">
        <v>2020</v>
      </c>
      <c r="AH413" s="35">
        <v>2020</v>
      </c>
      <c r="AT413" s="20" t="e">
        <f>VLOOKUP(C413,AW:AX,2,FALSE)</f>
        <v>#N/A</v>
      </c>
      <c r="BZ413" s="71"/>
      <c r="CD413" s="20" t="e">
        <f t="shared" si="87"/>
        <v>#N/A</v>
      </c>
    </row>
    <row r="414" spans="1:82" ht="61.5" x14ac:dyDescent="0.85">
      <c r="B414" s="24" t="s">
        <v>878</v>
      </c>
      <c r="C414" s="24"/>
      <c r="D414" s="195">
        <f>SUM(D415:D417)</f>
        <v>190521.97</v>
      </c>
      <c r="E414" s="31">
        <f t="shared" ref="E414:AE414" si="88">SUM(E415:E417)</f>
        <v>0</v>
      </c>
      <c r="F414" s="31">
        <f t="shared" si="88"/>
        <v>0</v>
      </c>
      <c r="G414" s="31">
        <f t="shared" si="88"/>
        <v>0</v>
      </c>
      <c r="H414" s="31">
        <f t="shared" si="88"/>
        <v>86514.08</v>
      </c>
      <c r="I414" s="31">
        <f t="shared" si="88"/>
        <v>0</v>
      </c>
      <c r="J414" s="31">
        <f t="shared" si="88"/>
        <v>0</v>
      </c>
      <c r="K414" s="33">
        <f t="shared" si="88"/>
        <v>0</v>
      </c>
      <c r="L414" s="31">
        <f t="shared" si="88"/>
        <v>0</v>
      </c>
      <c r="M414" s="31">
        <f t="shared" si="88"/>
        <v>0</v>
      </c>
      <c r="N414" s="31">
        <f t="shared" si="88"/>
        <v>0</v>
      </c>
      <c r="O414" s="31">
        <f t="shared" si="88"/>
        <v>0</v>
      </c>
      <c r="P414" s="31">
        <f t="shared" si="88"/>
        <v>0</v>
      </c>
      <c r="Q414" s="31">
        <f t="shared" si="88"/>
        <v>0</v>
      </c>
      <c r="R414" s="31">
        <f t="shared" si="88"/>
        <v>0</v>
      </c>
      <c r="S414" s="31">
        <f t="shared" si="88"/>
        <v>0</v>
      </c>
      <c r="T414" s="31">
        <f t="shared" si="88"/>
        <v>0</v>
      </c>
      <c r="U414" s="31">
        <f t="shared" si="88"/>
        <v>0</v>
      </c>
      <c r="V414" s="31">
        <f t="shared" si="88"/>
        <v>0</v>
      </c>
      <c r="W414" s="31">
        <f t="shared" si="88"/>
        <v>0</v>
      </c>
      <c r="X414" s="31">
        <f t="shared" si="88"/>
        <v>0</v>
      </c>
      <c r="Y414" s="31">
        <f t="shared" si="88"/>
        <v>0</v>
      </c>
      <c r="Z414" s="31">
        <f t="shared" si="88"/>
        <v>0</v>
      </c>
      <c r="AA414" s="31">
        <f t="shared" si="88"/>
        <v>0</v>
      </c>
      <c r="AB414" s="31">
        <f t="shared" si="88"/>
        <v>0</v>
      </c>
      <c r="AC414" s="31">
        <f t="shared" si="88"/>
        <v>1297.71</v>
      </c>
      <c r="AD414" s="31">
        <f t="shared" si="88"/>
        <v>102710.18</v>
      </c>
      <c r="AE414" s="31">
        <f t="shared" si="88"/>
        <v>0</v>
      </c>
      <c r="AF414" s="72" t="s">
        <v>757</v>
      </c>
      <c r="AG414" s="72" t="s">
        <v>757</v>
      </c>
      <c r="AH414" s="87" t="s">
        <v>757</v>
      </c>
      <c r="BZ414" s="71">
        <v>522383.64</v>
      </c>
      <c r="CD414" s="20" t="e">
        <f t="shared" si="87"/>
        <v>#N/A</v>
      </c>
    </row>
    <row r="415" spans="1:82" ht="61.5" x14ac:dyDescent="0.85">
      <c r="A415" s="20">
        <v>1</v>
      </c>
      <c r="B415" s="66">
        <f>SUBTOTAL(103,$A$22:A415)</f>
        <v>361</v>
      </c>
      <c r="C415" s="24" t="s">
        <v>1240</v>
      </c>
      <c r="D415" s="31">
        <f>E415+F415+G415+H415+I415+J415+L415+N415+P415+R415+T415+U415+V415+W415+X415+Y415+Z415+AA415+AB415+AC415+AD415+AE415</f>
        <v>87811.790000000008</v>
      </c>
      <c r="E415" s="31">
        <v>0</v>
      </c>
      <c r="F415" s="31">
        <v>0</v>
      </c>
      <c r="G415" s="31">
        <v>0</v>
      </c>
      <c r="H415" s="39">
        <v>86514.08</v>
      </c>
      <c r="I415" s="31">
        <v>0</v>
      </c>
      <c r="J415" s="31">
        <v>0</v>
      </c>
      <c r="K415" s="33">
        <v>0</v>
      </c>
      <c r="L415" s="31">
        <v>0</v>
      </c>
      <c r="M415" s="31">
        <v>0</v>
      </c>
      <c r="N415" s="31">
        <v>0</v>
      </c>
      <c r="O415" s="31">
        <v>0</v>
      </c>
      <c r="P415" s="31">
        <v>0</v>
      </c>
      <c r="Q415" s="31">
        <v>0</v>
      </c>
      <c r="R415" s="31">
        <v>0</v>
      </c>
      <c r="S415" s="31">
        <v>0</v>
      </c>
      <c r="T415" s="31">
        <v>0</v>
      </c>
      <c r="U415" s="31">
        <v>0</v>
      </c>
      <c r="V415" s="31">
        <v>0</v>
      </c>
      <c r="W415" s="31">
        <v>0</v>
      </c>
      <c r="X415" s="31">
        <v>0</v>
      </c>
      <c r="Y415" s="31">
        <v>0</v>
      </c>
      <c r="Z415" s="31">
        <v>0</v>
      </c>
      <c r="AA415" s="31">
        <v>0</v>
      </c>
      <c r="AB415" s="31">
        <v>0</v>
      </c>
      <c r="AC415" s="31">
        <f>ROUND((E415+F415+G415+H415+I415+J415)*1.5%,2)</f>
        <v>1297.71</v>
      </c>
      <c r="AD415" s="31">
        <v>0</v>
      </c>
      <c r="AE415" s="31">
        <v>0</v>
      </c>
      <c r="AF415" s="34" t="s">
        <v>270</v>
      </c>
      <c r="AG415" s="34">
        <v>2020</v>
      </c>
      <c r="AH415" s="35">
        <v>2020</v>
      </c>
      <c r="BZ415" s="71"/>
      <c r="CD415" s="20" t="e">
        <f t="shared" si="87"/>
        <v>#N/A</v>
      </c>
    </row>
    <row r="416" spans="1:82" ht="61.5" x14ac:dyDescent="0.85">
      <c r="A416" s="20">
        <v>1</v>
      </c>
      <c r="B416" s="66">
        <f>SUBTOTAL(103,$A$22:A416)</f>
        <v>362</v>
      </c>
      <c r="C416" s="24" t="s">
        <v>81</v>
      </c>
      <c r="D416" s="31">
        <f>E416+F416+G416+H416+I416+J416+L416+N416+P416+R416+T416+U416+V416+W416+X416+Y416+Z416+AA416+AB416+AC416+AD416+AE416</f>
        <v>56687.56</v>
      </c>
      <c r="E416" s="31">
        <v>0</v>
      </c>
      <c r="F416" s="31">
        <v>0</v>
      </c>
      <c r="G416" s="31">
        <v>0</v>
      </c>
      <c r="H416" s="31">
        <v>0</v>
      </c>
      <c r="I416" s="31">
        <v>0</v>
      </c>
      <c r="J416" s="31">
        <v>0</v>
      </c>
      <c r="K416" s="74">
        <v>0</v>
      </c>
      <c r="L416" s="31">
        <v>0</v>
      </c>
      <c r="M416" s="31">
        <v>0</v>
      </c>
      <c r="N416" s="31">
        <v>0</v>
      </c>
      <c r="O416" s="31">
        <v>0</v>
      </c>
      <c r="P416" s="31">
        <v>0</v>
      </c>
      <c r="Q416" s="31">
        <v>0</v>
      </c>
      <c r="R416" s="31">
        <v>0</v>
      </c>
      <c r="S416" s="31">
        <v>0</v>
      </c>
      <c r="T416" s="31">
        <v>0</v>
      </c>
      <c r="U416" s="31">
        <v>0</v>
      </c>
      <c r="V416" s="31">
        <v>0</v>
      </c>
      <c r="W416" s="31">
        <v>0</v>
      </c>
      <c r="X416" s="31">
        <v>0</v>
      </c>
      <c r="Y416" s="31">
        <v>0</v>
      </c>
      <c r="Z416" s="31">
        <v>0</v>
      </c>
      <c r="AA416" s="31">
        <v>0</v>
      </c>
      <c r="AB416" s="31">
        <v>0</v>
      </c>
      <c r="AC416" s="31">
        <f>ROUND(N416*1.5%,2)</f>
        <v>0</v>
      </c>
      <c r="AD416" s="31">
        <v>56687.56</v>
      </c>
      <c r="AE416" s="31">
        <v>0</v>
      </c>
      <c r="AF416" s="34">
        <v>2020</v>
      </c>
      <c r="AG416" s="34" t="s">
        <v>270</v>
      </c>
      <c r="AH416" s="34" t="s">
        <v>270</v>
      </c>
      <c r="AT416" s="20" t="e">
        <f>VLOOKUP(C416,AW:AX,2,FALSE)</f>
        <v>#N/A</v>
      </c>
      <c r="BZ416" s="71"/>
      <c r="CD416" s="20" t="e">
        <f t="shared" si="87"/>
        <v>#N/A</v>
      </c>
    </row>
    <row r="417" spans="1:82" ht="61.5" x14ac:dyDescent="0.85">
      <c r="A417" s="20">
        <v>1</v>
      </c>
      <c r="B417" s="66">
        <f>SUBTOTAL(103,$A$22:A417)</f>
        <v>363</v>
      </c>
      <c r="C417" s="24" t="s">
        <v>82</v>
      </c>
      <c r="D417" s="31">
        <f>E417+F417+G417+H417+I417+J417+L417+N417+P417+R417+T417+U417+V417+W417+X417+Y417+Z417+AA417+AB417+AC417+AD417+AE417</f>
        <v>46022.62</v>
      </c>
      <c r="E417" s="31">
        <v>0</v>
      </c>
      <c r="F417" s="31">
        <v>0</v>
      </c>
      <c r="G417" s="31">
        <v>0</v>
      </c>
      <c r="H417" s="31">
        <v>0</v>
      </c>
      <c r="I417" s="31">
        <v>0</v>
      </c>
      <c r="J417" s="31">
        <v>0</v>
      </c>
      <c r="K417" s="74">
        <v>0</v>
      </c>
      <c r="L417" s="31">
        <v>0</v>
      </c>
      <c r="M417" s="31">
        <v>0</v>
      </c>
      <c r="N417" s="31">
        <v>0</v>
      </c>
      <c r="O417" s="31">
        <v>0</v>
      </c>
      <c r="P417" s="31">
        <v>0</v>
      </c>
      <c r="Q417" s="31">
        <v>0</v>
      </c>
      <c r="R417" s="31">
        <v>0</v>
      </c>
      <c r="S417" s="31">
        <v>0</v>
      </c>
      <c r="T417" s="31">
        <v>0</v>
      </c>
      <c r="U417" s="31">
        <v>0</v>
      </c>
      <c r="V417" s="31">
        <v>0</v>
      </c>
      <c r="W417" s="31">
        <v>0</v>
      </c>
      <c r="X417" s="31">
        <v>0</v>
      </c>
      <c r="Y417" s="31">
        <v>0</v>
      </c>
      <c r="Z417" s="31">
        <v>0</v>
      </c>
      <c r="AA417" s="31">
        <v>0</v>
      </c>
      <c r="AB417" s="31">
        <v>0</v>
      </c>
      <c r="AC417" s="31">
        <f>ROUND(N417*1.5%,2)</f>
        <v>0</v>
      </c>
      <c r="AD417" s="31">
        <v>46022.62</v>
      </c>
      <c r="AE417" s="31">
        <v>0</v>
      </c>
      <c r="AF417" s="34">
        <v>2020</v>
      </c>
      <c r="AG417" s="34" t="s">
        <v>270</v>
      </c>
      <c r="AH417" s="34" t="s">
        <v>270</v>
      </c>
      <c r="AT417" s="20" t="e">
        <f>VLOOKUP(C417,AW:AX,2,FALSE)</f>
        <v>#N/A</v>
      </c>
      <c r="BZ417" s="71"/>
      <c r="CD417" s="20" t="e">
        <f t="shared" si="87"/>
        <v>#N/A</v>
      </c>
    </row>
    <row r="418" spans="1:82" ht="61.5" x14ac:dyDescent="0.85">
      <c r="B418" s="24" t="s">
        <v>846</v>
      </c>
      <c r="C418" s="108"/>
      <c r="D418" s="195">
        <f t="shared" ref="D418:AE418" si="89">SUM(D419:D421)</f>
        <v>8700170.3300000001</v>
      </c>
      <c r="E418" s="31">
        <f t="shared" si="89"/>
        <v>0</v>
      </c>
      <c r="F418" s="31">
        <f t="shared" si="89"/>
        <v>0</v>
      </c>
      <c r="G418" s="31">
        <f t="shared" si="89"/>
        <v>0</v>
      </c>
      <c r="H418" s="31">
        <f t="shared" si="89"/>
        <v>0</v>
      </c>
      <c r="I418" s="31">
        <f t="shared" si="89"/>
        <v>0</v>
      </c>
      <c r="J418" s="31">
        <f t="shared" si="89"/>
        <v>0</v>
      </c>
      <c r="K418" s="33">
        <f t="shared" si="89"/>
        <v>0</v>
      </c>
      <c r="L418" s="31">
        <f t="shared" si="89"/>
        <v>0</v>
      </c>
      <c r="M418" s="31">
        <f t="shared" si="89"/>
        <v>2296.96</v>
      </c>
      <c r="N418" s="31">
        <f t="shared" si="89"/>
        <v>8569425.0999999996</v>
      </c>
      <c r="O418" s="31">
        <f t="shared" si="89"/>
        <v>0</v>
      </c>
      <c r="P418" s="31">
        <f t="shared" si="89"/>
        <v>0</v>
      </c>
      <c r="Q418" s="31">
        <f t="shared" si="89"/>
        <v>0</v>
      </c>
      <c r="R418" s="31">
        <f t="shared" si="89"/>
        <v>0</v>
      </c>
      <c r="S418" s="31">
        <f t="shared" si="89"/>
        <v>0</v>
      </c>
      <c r="T418" s="31">
        <f t="shared" si="89"/>
        <v>0</v>
      </c>
      <c r="U418" s="31">
        <f t="shared" si="89"/>
        <v>0</v>
      </c>
      <c r="V418" s="31">
        <f t="shared" si="89"/>
        <v>0</v>
      </c>
      <c r="W418" s="31">
        <f t="shared" si="89"/>
        <v>0</v>
      </c>
      <c r="X418" s="31">
        <f t="shared" si="89"/>
        <v>0</v>
      </c>
      <c r="Y418" s="31">
        <f t="shared" si="89"/>
        <v>0</v>
      </c>
      <c r="Z418" s="31">
        <f t="shared" si="89"/>
        <v>0</v>
      </c>
      <c r="AA418" s="31">
        <f t="shared" si="89"/>
        <v>0</v>
      </c>
      <c r="AB418" s="31">
        <f t="shared" si="89"/>
        <v>0</v>
      </c>
      <c r="AC418" s="31">
        <f t="shared" si="89"/>
        <v>46312.56</v>
      </c>
      <c r="AD418" s="31">
        <f t="shared" si="89"/>
        <v>84432.67</v>
      </c>
      <c r="AE418" s="31">
        <f t="shared" si="89"/>
        <v>0</v>
      </c>
      <c r="AF418" s="72" t="s">
        <v>757</v>
      </c>
      <c r="AG418" s="72" t="s">
        <v>757</v>
      </c>
      <c r="AH418" s="87" t="s">
        <v>757</v>
      </c>
      <c r="AT418" s="20" t="e">
        <f>VLOOKUP(C418,AW:AX,2,FALSE)</f>
        <v>#N/A</v>
      </c>
      <c r="BZ418" s="71">
        <v>18514841.960000001</v>
      </c>
      <c r="CD418" s="20" t="e">
        <f t="shared" si="87"/>
        <v>#N/A</v>
      </c>
    </row>
    <row r="419" spans="1:82" ht="61.5" x14ac:dyDescent="0.85">
      <c r="A419" s="20">
        <v>1</v>
      </c>
      <c r="B419" s="66">
        <f>SUBTOTAL(103,$A$22:A419)</f>
        <v>364</v>
      </c>
      <c r="C419" s="24" t="s">
        <v>107</v>
      </c>
      <c r="D419" s="31">
        <f>E419+F419+G419+H419+I419+J419+L419+N419+P419+R419+T419+U419+V419+W419+X419+Y419+Z419+AA419+AB419+AC419+AD419+AE419</f>
        <v>1877560.0999999999</v>
      </c>
      <c r="E419" s="31">
        <v>0</v>
      </c>
      <c r="F419" s="31">
        <v>0</v>
      </c>
      <c r="G419" s="31">
        <v>0</v>
      </c>
      <c r="H419" s="31">
        <v>0</v>
      </c>
      <c r="I419" s="31">
        <v>0</v>
      </c>
      <c r="J419" s="31">
        <v>0</v>
      </c>
      <c r="K419" s="33">
        <v>0</v>
      </c>
      <c r="L419" s="31">
        <v>0</v>
      </c>
      <c r="M419" s="39">
        <v>549.33000000000004</v>
      </c>
      <c r="N419" s="179">
        <v>1871524.43</v>
      </c>
      <c r="O419" s="31">
        <v>0</v>
      </c>
      <c r="P419" s="31">
        <v>0</v>
      </c>
      <c r="Q419" s="31">
        <v>0</v>
      </c>
      <c r="R419" s="31">
        <v>0</v>
      </c>
      <c r="S419" s="31">
        <v>0</v>
      </c>
      <c r="T419" s="31">
        <v>0</v>
      </c>
      <c r="U419" s="31">
        <v>0</v>
      </c>
      <c r="V419" s="31">
        <v>0</v>
      </c>
      <c r="W419" s="31">
        <v>0</v>
      </c>
      <c r="X419" s="31">
        <v>0</v>
      </c>
      <c r="Y419" s="31">
        <v>0</v>
      </c>
      <c r="Z419" s="31">
        <v>0</v>
      </c>
      <c r="AA419" s="31">
        <v>0</v>
      </c>
      <c r="AB419" s="31">
        <v>0</v>
      </c>
      <c r="AC419" s="39">
        <v>6035.67</v>
      </c>
      <c r="AD419" s="31">
        <v>0</v>
      </c>
      <c r="AE419" s="31">
        <v>0</v>
      </c>
      <c r="AF419" s="34" t="s">
        <v>270</v>
      </c>
      <c r="AG419" s="34">
        <v>2020</v>
      </c>
      <c r="AH419" s="35">
        <v>2020</v>
      </c>
      <c r="AT419" s="20" t="e">
        <f>VLOOKUP(C419,AW:AX,2,FALSE)</f>
        <v>#N/A</v>
      </c>
      <c r="BZ419" s="71"/>
      <c r="CD419" s="20">
        <f t="shared" si="87"/>
        <v>596.4</v>
      </c>
    </row>
    <row r="420" spans="1:82" ht="61.5" x14ac:dyDescent="0.85">
      <c r="A420" s="20">
        <v>1</v>
      </c>
      <c r="B420" s="66">
        <f>SUBTOTAL(103,$A$22:A420)</f>
        <v>365</v>
      </c>
      <c r="C420" s="24" t="s">
        <v>109</v>
      </c>
      <c r="D420" s="31">
        <f>E420+F420+G420+H420+I420+J420+L420+N420+P420+R420+T420+U420+V420+W420+X420+Y420+Z420+AA420+AB420+AC420+AD420+AE420</f>
        <v>3555061.2899999996</v>
      </c>
      <c r="E420" s="31">
        <v>0</v>
      </c>
      <c r="F420" s="31">
        <v>0</v>
      </c>
      <c r="G420" s="31">
        <v>0</v>
      </c>
      <c r="H420" s="31">
        <v>0</v>
      </c>
      <c r="I420" s="31">
        <v>0</v>
      </c>
      <c r="J420" s="31">
        <v>0</v>
      </c>
      <c r="K420" s="33">
        <v>0</v>
      </c>
      <c r="L420" s="31">
        <v>0</v>
      </c>
      <c r="M420" s="39">
        <v>940.23</v>
      </c>
      <c r="N420" s="39">
        <v>3448386.53</v>
      </c>
      <c r="O420" s="31">
        <v>0</v>
      </c>
      <c r="P420" s="31">
        <v>0</v>
      </c>
      <c r="Q420" s="31">
        <v>0</v>
      </c>
      <c r="R420" s="31">
        <v>0</v>
      </c>
      <c r="S420" s="31">
        <v>0</v>
      </c>
      <c r="T420" s="31">
        <v>0</v>
      </c>
      <c r="U420" s="31">
        <v>0</v>
      </c>
      <c r="V420" s="31">
        <v>0</v>
      </c>
      <c r="W420" s="31">
        <v>0</v>
      </c>
      <c r="X420" s="31">
        <v>0</v>
      </c>
      <c r="Y420" s="31">
        <v>0</v>
      </c>
      <c r="Z420" s="31">
        <v>0</v>
      </c>
      <c r="AA420" s="31">
        <v>0</v>
      </c>
      <c r="AB420" s="31">
        <v>0</v>
      </c>
      <c r="AC420" s="39">
        <v>22242.09</v>
      </c>
      <c r="AD420" s="39">
        <v>84432.67</v>
      </c>
      <c r="AE420" s="31">
        <v>0</v>
      </c>
      <c r="AF420" s="34">
        <v>2020</v>
      </c>
      <c r="AG420" s="34">
        <v>2020</v>
      </c>
      <c r="AH420" s="35">
        <v>2020</v>
      </c>
      <c r="AT420" s="20" t="e">
        <f>VLOOKUP(C420,AW:AX,2,FALSE)</f>
        <v>#N/A</v>
      </c>
      <c r="BZ420" s="71"/>
      <c r="CD420" s="20">
        <f t="shared" si="87"/>
        <v>936.1</v>
      </c>
    </row>
    <row r="421" spans="1:82" ht="61.5" x14ac:dyDescent="0.85">
      <c r="A421" s="20">
        <v>1</v>
      </c>
      <c r="B421" s="66">
        <f>SUBTOTAL(103,$A$22:A421)</f>
        <v>366</v>
      </c>
      <c r="C421" s="24" t="s">
        <v>1241</v>
      </c>
      <c r="D421" s="31">
        <f>E421+F421+G421+H421+I421+J421+L421+N421+P421+R421+T421+U421+V421+W421+X421+Y421+Z421+AA421+AB421+AC421+AD421+AE421</f>
        <v>3267548.94</v>
      </c>
      <c r="E421" s="31">
        <v>0</v>
      </c>
      <c r="F421" s="31">
        <v>0</v>
      </c>
      <c r="G421" s="31">
        <v>0</v>
      </c>
      <c r="H421" s="31">
        <v>0</v>
      </c>
      <c r="I421" s="31">
        <v>0</v>
      </c>
      <c r="J421" s="31">
        <v>0</v>
      </c>
      <c r="K421" s="33">
        <v>0</v>
      </c>
      <c r="L421" s="31">
        <v>0</v>
      </c>
      <c r="M421" s="39">
        <v>807.4</v>
      </c>
      <c r="N421" s="39">
        <v>3249514.14</v>
      </c>
      <c r="O421" s="31">
        <v>0</v>
      </c>
      <c r="P421" s="31">
        <v>0</v>
      </c>
      <c r="Q421" s="31">
        <v>0</v>
      </c>
      <c r="R421" s="31">
        <v>0</v>
      </c>
      <c r="S421" s="31">
        <v>0</v>
      </c>
      <c r="T421" s="31">
        <v>0</v>
      </c>
      <c r="U421" s="31">
        <v>0</v>
      </c>
      <c r="V421" s="31">
        <v>0</v>
      </c>
      <c r="W421" s="31">
        <v>0</v>
      </c>
      <c r="X421" s="31">
        <v>0</v>
      </c>
      <c r="Y421" s="31">
        <v>0</v>
      </c>
      <c r="Z421" s="31">
        <v>0</v>
      </c>
      <c r="AA421" s="31">
        <v>0</v>
      </c>
      <c r="AB421" s="31">
        <v>0</v>
      </c>
      <c r="AC421" s="39">
        <v>18034.8</v>
      </c>
      <c r="AD421" s="31">
        <v>0</v>
      </c>
      <c r="AE421" s="31">
        <v>0</v>
      </c>
      <c r="AF421" s="34" t="s">
        <v>270</v>
      </c>
      <c r="AG421" s="34">
        <v>2020</v>
      </c>
      <c r="AH421" s="35">
        <v>2020</v>
      </c>
      <c r="BZ421" s="71"/>
      <c r="CD421" s="20">
        <f t="shared" si="87"/>
        <v>807.4</v>
      </c>
    </row>
    <row r="422" spans="1:82" ht="61.5" x14ac:dyDescent="0.85">
      <c r="B422" s="24" t="s">
        <v>847</v>
      </c>
      <c r="C422" s="108"/>
      <c r="D422" s="195">
        <f>D423</f>
        <v>4281723.32</v>
      </c>
      <c r="E422" s="31">
        <f t="shared" ref="E422:AE422" si="90">E423</f>
        <v>0</v>
      </c>
      <c r="F422" s="31">
        <f t="shared" si="90"/>
        <v>0</v>
      </c>
      <c r="G422" s="31">
        <f t="shared" si="90"/>
        <v>0</v>
      </c>
      <c r="H422" s="31">
        <f t="shared" si="90"/>
        <v>0</v>
      </c>
      <c r="I422" s="31">
        <f t="shared" si="90"/>
        <v>0</v>
      </c>
      <c r="J422" s="31">
        <f t="shared" si="90"/>
        <v>0</v>
      </c>
      <c r="K422" s="33">
        <f t="shared" si="90"/>
        <v>0</v>
      </c>
      <c r="L422" s="31">
        <f t="shared" si="90"/>
        <v>0</v>
      </c>
      <c r="M422" s="31">
        <f t="shared" si="90"/>
        <v>965.75</v>
      </c>
      <c r="N422" s="31">
        <f t="shared" si="90"/>
        <v>4066944.18</v>
      </c>
      <c r="O422" s="31">
        <f t="shared" si="90"/>
        <v>0</v>
      </c>
      <c r="P422" s="31">
        <f t="shared" si="90"/>
        <v>0</v>
      </c>
      <c r="Q422" s="31">
        <f t="shared" si="90"/>
        <v>0</v>
      </c>
      <c r="R422" s="31">
        <f t="shared" si="90"/>
        <v>0</v>
      </c>
      <c r="S422" s="31">
        <f t="shared" si="90"/>
        <v>0</v>
      </c>
      <c r="T422" s="31">
        <f t="shared" si="90"/>
        <v>0</v>
      </c>
      <c r="U422" s="31">
        <f t="shared" si="90"/>
        <v>0</v>
      </c>
      <c r="V422" s="31">
        <f t="shared" si="90"/>
        <v>0</v>
      </c>
      <c r="W422" s="31">
        <f t="shared" si="90"/>
        <v>0</v>
      </c>
      <c r="X422" s="31">
        <f t="shared" si="90"/>
        <v>0</v>
      </c>
      <c r="Y422" s="31">
        <f t="shared" si="90"/>
        <v>0</v>
      </c>
      <c r="Z422" s="31">
        <f t="shared" si="90"/>
        <v>0</v>
      </c>
      <c r="AA422" s="31">
        <f t="shared" si="90"/>
        <v>0</v>
      </c>
      <c r="AB422" s="31">
        <f t="shared" si="90"/>
        <v>0</v>
      </c>
      <c r="AC422" s="31">
        <f t="shared" si="90"/>
        <v>57038.89</v>
      </c>
      <c r="AD422" s="31">
        <f t="shared" si="90"/>
        <v>157740.25</v>
      </c>
      <c r="AE422" s="31">
        <f t="shared" si="90"/>
        <v>0</v>
      </c>
      <c r="AF422" s="72" t="s">
        <v>757</v>
      </c>
      <c r="AG422" s="72" t="s">
        <v>757</v>
      </c>
      <c r="AH422" s="87" t="s">
        <v>757</v>
      </c>
      <c r="AT422" s="20" t="e">
        <f>VLOOKUP(C422,AW:AX,2,FALSE)</f>
        <v>#N/A</v>
      </c>
      <c r="BZ422" s="71">
        <v>5141890.2</v>
      </c>
      <c r="CD422" s="20" t="e">
        <f t="shared" si="87"/>
        <v>#N/A</v>
      </c>
    </row>
    <row r="423" spans="1:82" ht="61.5" x14ac:dyDescent="0.85">
      <c r="A423" s="20">
        <v>1</v>
      </c>
      <c r="B423" s="66">
        <f>SUBTOTAL(103,$A$22:A423)</f>
        <v>367</v>
      </c>
      <c r="C423" s="24" t="s">
        <v>40</v>
      </c>
      <c r="D423" s="31">
        <f>E423+F423+G423+H423+I423+J423+L423+N423+P423+R423+T423+U423+V423+W423+X423+Y423+Z423+AA423+AB423+AC423+AD423+AE423</f>
        <v>4281723.32</v>
      </c>
      <c r="E423" s="31">
        <v>0</v>
      </c>
      <c r="F423" s="31">
        <v>0</v>
      </c>
      <c r="G423" s="31">
        <v>0</v>
      </c>
      <c r="H423" s="31">
        <v>0</v>
      </c>
      <c r="I423" s="31">
        <v>0</v>
      </c>
      <c r="J423" s="31">
        <v>0</v>
      </c>
      <c r="K423" s="33">
        <v>0</v>
      </c>
      <c r="L423" s="31">
        <v>0</v>
      </c>
      <c r="M423" s="39">
        <v>965.75</v>
      </c>
      <c r="N423" s="39">
        <v>4066944.18</v>
      </c>
      <c r="O423" s="31">
        <v>0</v>
      </c>
      <c r="P423" s="31">
        <v>0</v>
      </c>
      <c r="Q423" s="31">
        <v>0</v>
      </c>
      <c r="R423" s="31">
        <v>0</v>
      </c>
      <c r="S423" s="31">
        <v>0</v>
      </c>
      <c r="T423" s="31">
        <v>0</v>
      </c>
      <c r="U423" s="31">
        <v>0</v>
      </c>
      <c r="V423" s="31">
        <v>0</v>
      </c>
      <c r="W423" s="31">
        <v>0</v>
      </c>
      <c r="X423" s="31">
        <v>0</v>
      </c>
      <c r="Y423" s="31">
        <v>0</v>
      </c>
      <c r="Z423" s="31">
        <v>0</v>
      </c>
      <c r="AA423" s="31">
        <v>0</v>
      </c>
      <c r="AB423" s="31">
        <v>0</v>
      </c>
      <c r="AC423" s="39">
        <v>57038.89</v>
      </c>
      <c r="AD423" s="39">
        <v>157740.25</v>
      </c>
      <c r="AE423" s="31">
        <v>0</v>
      </c>
      <c r="AF423" s="34">
        <v>2020</v>
      </c>
      <c r="AG423" s="34">
        <v>2020</v>
      </c>
      <c r="AH423" s="35">
        <v>2020</v>
      </c>
      <c r="AT423" s="20" t="e">
        <f>VLOOKUP(C423,AW:AX,2,FALSE)</f>
        <v>#N/A</v>
      </c>
      <c r="BZ423" s="71"/>
      <c r="CD423" s="20" t="e">
        <f t="shared" si="87"/>
        <v>#N/A</v>
      </c>
    </row>
    <row r="424" spans="1:82" ht="61.5" x14ac:dyDescent="0.85">
      <c r="B424" s="24" t="s">
        <v>848</v>
      </c>
      <c r="C424" s="24"/>
      <c r="D424" s="195">
        <f>SUM(D425:D427)</f>
        <v>2517552.7799999993</v>
      </c>
      <c r="E424" s="31">
        <f t="shared" ref="E424:AE424" si="91">SUM(E425:E427)</f>
        <v>269270.51</v>
      </c>
      <c r="F424" s="31">
        <f t="shared" si="91"/>
        <v>204291.73</v>
      </c>
      <c r="G424" s="31">
        <f t="shared" si="91"/>
        <v>1350679.88</v>
      </c>
      <c r="H424" s="31">
        <f t="shared" si="91"/>
        <v>377296.73</v>
      </c>
      <c r="I424" s="31">
        <f t="shared" si="91"/>
        <v>0</v>
      </c>
      <c r="J424" s="31">
        <f t="shared" si="91"/>
        <v>0</v>
      </c>
      <c r="K424" s="33">
        <f t="shared" si="91"/>
        <v>0</v>
      </c>
      <c r="L424" s="31">
        <f t="shared" si="91"/>
        <v>0</v>
      </c>
      <c r="M424" s="31">
        <f t="shared" si="91"/>
        <v>0</v>
      </c>
      <c r="N424" s="31">
        <f t="shared" si="91"/>
        <v>0</v>
      </c>
      <c r="O424" s="31">
        <f t="shared" si="91"/>
        <v>0</v>
      </c>
      <c r="P424" s="31">
        <f t="shared" si="91"/>
        <v>0</v>
      </c>
      <c r="Q424" s="31">
        <f t="shared" si="91"/>
        <v>0</v>
      </c>
      <c r="R424" s="31">
        <f t="shared" si="91"/>
        <v>0</v>
      </c>
      <c r="S424" s="31">
        <f t="shared" si="91"/>
        <v>0</v>
      </c>
      <c r="T424" s="31">
        <f t="shared" si="91"/>
        <v>0</v>
      </c>
      <c r="U424" s="31">
        <f t="shared" si="91"/>
        <v>0</v>
      </c>
      <c r="V424" s="31">
        <f t="shared" si="91"/>
        <v>0</v>
      </c>
      <c r="W424" s="31">
        <f t="shared" si="91"/>
        <v>0</v>
      </c>
      <c r="X424" s="31">
        <f t="shared" si="91"/>
        <v>0</v>
      </c>
      <c r="Y424" s="31">
        <f t="shared" si="91"/>
        <v>0</v>
      </c>
      <c r="Z424" s="31">
        <f t="shared" si="91"/>
        <v>0</v>
      </c>
      <c r="AA424" s="31">
        <f t="shared" si="91"/>
        <v>0</v>
      </c>
      <c r="AB424" s="31">
        <f t="shared" si="91"/>
        <v>0</v>
      </c>
      <c r="AC424" s="31">
        <f t="shared" si="91"/>
        <v>33023.08</v>
      </c>
      <c r="AD424" s="31">
        <f t="shared" si="91"/>
        <v>282990.84999999998</v>
      </c>
      <c r="AE424" s="31">
        <f t="shared" si="91"/>
        <v>0</v>
      </c>
      <c r="AF424" s="72" t="s">
        <v>757</v>
      </c>
      <c r="AG424" s="72" t="s">
        <v>757</v>
      </c>
      <c r="AH424" s="87" t="s">
        <v>757</v>
      </c>
      <c r="AT424" s="20" t="e">
        <f>VLOOKUP(C424,AW:AX,2,FALSE)</f>
        <v>#N/A</v>
      </c>
      <c r="BZ424" s="71">
        <v>21864677.539999999</v>
      </c>
      <c r="CD424" s="20" t="e">
        <f t="shared" si="87"/>
        <v>#N/A</v>
      </c>
    </row>
    <row r="425" spans="1:82" ht="61.5" x14ac:dyDescent="0.85">
      <c r="A425" s="20">
        <v>1</v>
      </c>
      <c r="B425" s="66">
        <f>SUBTOTAL(103,$A$22:A425)</f>
        <v>368</v>
      </c>
      <c r="C425" s="24" t="s">
        <v>63</v>
      </c>
      <c r="D425" s="31">
        <f>E425+F425+G425+H425+I425+J425+L425+N425+P425+R425+T425+U425+V425+W425+X425+Y425+Z425+AA425+AB425+AC425+AD425+AE425</f>
        <v>158769.03</v>
      </c>
      <c r="E425" s="31">
        <v>0</v>
      </c>
      <c r="F425" s="31">
        <v>0</v>
      </c>
      <c r="G425" s="31">
        <v>0</v>
      </c>
      <c r="H425" s="31">
        <v>0</v>
      </c>
      <c r="I425" s="31">
        <v>0</v>
      </c>
      <c r="J425" s="31">
        <v>0</v>
      </c>
      <c r="K425" s="33">
        <v>0</v>
      </c>
      <c r="L425" s="31">
        <v>0</v>
      </c>
      <c r="M425" s="31">
        <v>0</v>
      </c>
      <c r="N425" s="31">
        <v>0</v>
      </c>
      <c r="O425" s="31">
        <v>0</v>
      </c>
      <c r="P425" s="31">
        <v>0</v>
      </c>
      <c r="Q425" s="31">
        <v>0</v>
      </c>
      <c r="R425" s="31">
        <v>0</v>
      </c>
      <c r="S425" s="31">
        <v>0</v>
      </c>
      <c r="T425" s="31">
        <v>0</v>
      </c>
      <c r="U425" s="31">
        <v>0</v>
      </c>
      <c r="V425" s="31">
        <v>0</v>
      </c>
      <c r="W425" s="31">
        <v>0</v>
      </c>
      <c r="X425" s="31">
        <v>0</v>
      </c>
      <c r="Y425" s="31">
        <v>0</v>
      </c>
      <c r="Z425" s="31">
        <v>0</v>
      </c>
      <c r="AA425" s="31">
        <v>0</v>
      </c>
      <c r="AB425" s="31">
        <v>0</v>
      </c>
      <c r="AC425" s="31">
        <f>ROUND(N425*1.5%,2)</f>
        <v>0</v>
      </c>
      <c r="AD425" s="39">
        <v>158769.03</v>
      </c>
      <c r="AE425" s="31">
        <v>0</v>
      </c>
      <c r="AF425" s="34">
        <v>2020</v>
      </c>
      <c r="AG425" s="34" t="s">
        <v>270</v>
      </c>
      <c r="AH425" s="34" t="s">
        <v>270</v>
      </c>
      <c r="AT425" s="20" t="e">
        <f>VLOOKUP(C425,AW:AX,2,FALSE)</f>
        <v>#N/A</v>
      </c>
      <c r="BZ425" s="71"/>
      <c r="CD425" s="20" t="e">
        <f t="shared" si="87"/>
        <v>#N/A</v>
      </c>
    </row>
    <row r="426" spans="1:82" ht="61.5" x14ac:dyDescent="0.85">
      <c r="A426" s="20">
        <v>1</v>
      </c>
      <c r="B426" s="66">
        <f>SUBTOTAL(103,$A$22:A426)</f>
        <v>369</v>
      </c>
      <c r="C426" s="24" t="s">
        <v>1256</v>
      </c>
      <c r="D426" s="31">
        <f>E426+F426+G426+H426+I426+J426+L426+N426+P426+R426+T426+U426+V426+W426+X426+Y426+Z426+AA426+AB426+AC426+AD426+AE426</f>
        <v>2234561.9299999997</v>
      </c>
      <c r="E426" s="39">
        <v>269270.51</v>
      </c>
      <c r="F426" s="39">
        <v>204291.73</v>
      </c>
      <c r="G426" s="39">
        <v>1350679.88</v>
      </c>
      <c r="H426" s="39">
        <v>377296.73</v>
      </c>
      <c r="I426" s="31">
        <v>0</v>
      </c>
      <c r="J426" s="31">
        <v>0</v>
      </c>
      <c r="K426" s="33">
        <v>0</v>
      </c>
      <c r="L426" s="31">
        <v>0</v>
      </c>
      <c r="M426" s="31">
        <v>0</v>
      </c>
      <c r="N426" s="31">
        <v>0</v>
      </c>
      <c r="O426" s="31">
        <v>0</v>
      </c>
      <c r="P426" s="31">
        <v>0</v>
      </c>
      <c r="Q426" s="31">
        <v>0</v>
      </c>
      <c r="R426" s="31">
        <v>0</v>
      </c>
      <c r="S426" s="31">
        <v>0</v>
      </c>
      <c r="T426" s="31">
        <v>0</v>
      </c>
      <c r="U426" s="31">
        <v>0</v>
      </c>
      <c r="V426" s="31">
        <v>0</v>
      </c>
      <c r="W426" s="31">
        <v>0</v>
      </c>
      <c r="X426" s="31">
        <v>0</v>
      </c>
      <c r="Y426" s="31">
        <v>0</v>
      </c>
      <c r="Z426" s="31">
        <v>0</v>
      </c>
      <c r="AA426" s="31">
        <v>0</v>
      </c>
      <c r="AB426" s="31">
        <v>0</v>
      </c>
      <c r="AC426" s="31">
        <f>ROUND((E426+F426+G426+H426+I426+J426)*1.5%,2)</f>
        <v>33023.08</v>
      </c>
      <c r="AD426" s="31">
        <v>0</v>
      </c>
      <c r="AE426" s="31">
        <v>0</v>
      </c>
      <c r="AF426" s="34" t="s">
        <v>270</v>
      </c>
      <c r="AG426" s="34">
        <v>2020</v>
      </c>
      <c r="AH426" s="35">
        <v>2020</v>
      </c>
      <c r="BZ426" s="71"/>
      <c r="CD426" s="20" t="e">
        <f t="shared" si="87"/>
        <v>#N/A</v>
      </c>
    </row>
    <row r="427" spans="1:82" ht="61.5" x14ac:dyDescent="0.85">
      <c r="A427" s="20">
        <v>1</v>
      </c>
      <c r="B427" s="66">
        <f>SUBTOTAL(103,$A$22:A427)</f>
        <v>370</v>
      </c>
      <c r="C427" s="24" t="s">
        <v>52</v>
      </c>
      <c r="D427" s="31">
        <f>E427+F427+G427+H427+I427+J427+L427+N427+P427+R427+T427+U427+V427+W427+X427+Y427+Z427+AA427+AB427+AC427+AD427+AE427</f>
        <v>124221.82</v>
      </c>
      <c r="E427" s="31">
        <v>0</v>
      </c>
      <c r="F427" s="31">
        <v>0</v>
      </c>
      <c r="G427" s="31">
        <v>0</v>
      </c>
      <c r="H427" s="31">
        <v>0</v>
      </c>
      <c r="I427" s="31">
        <v>0</v>
      </c>
      <c r="J427" s="31">
        <v>0</v>
      </c>
      <c r="K427" s="33">
        <v>0</v>
      </c>
      <c r="L427" s="31">
        <v>0</v>
      </c>
      <c r="M427" s="31">
        <v>0</v>
      </c>
      <c r="N427" s="31">
        <v>0</v>
      </c>
      <c r="O427" s="31">
        <v>0</v>
      </c>
      <c r="P427" s="31">
        <v>0</v>
      </c>
      <c r="Q427" s="31">
        <v>0</v>
      </c>
      <c r="R427" s="31">
        <v>0</v>
      </c>
      <c r="S427" s="31">
        <v>0</v>
      </c>
      <c r="T427" s="31">
        <v>0</v>
      </c>
      <c r="U427" s="31">
        <v>0</v>
      </c>
      <c r="V427" s="31">
        <v>0</v>
      </c>
      <c r="W427" s="31">
        <v>0</v>
      </c>
      <c r="X427" s="31">
        <v>0</v>
      </c>
      <c r="Y427" s="31">
        <v>0</v>
      </c>
      <c r="Z427" s="31">
        <v>0</v>
      </c>
      <c r="AA427" s="31">
        <v>0</v>
      </c>
      <c r="AB427" s="31">
        <v>0</v>
      </c>
      <c r="AC427" s="31">
        <f>ROUND(N427*1.5%,2)</f>
        <v>0</v>
      </c>
      <c r="AD427" s="39">
        <v>124221.82</v>
      </c>
      <c r="AE427" s="31">
        <v>0</v>
      </c>
      <c r="AF427" s="34">
        <v>2020</v>
      </c>
      <c r="AG427" s="34" t="s">
        <v>270</v>
      </c>
      <c r="AH427" s="34" t="s">
        <v>270</v>
      </c>
      <c r="AT427" s="20" t="e">
        <f>VLOOKUP(C427,AW:AX,2,FALSE)</f>
        <v>#N/A</v>
      </c>
      <c r="BZ427" s="71"/>
      <c r="CD427" s="20" t="e">
        <f t="shared" si="87"/>
        <v>#N/A</v>
      </c>
    </row>
    <row r="428" spans="1:82" ht="61.5" x14ac:dyDescent="0.85">
      <c r="B428" s="24" t="s">
        <v>849</v>
      </c>
      <c r="C428" s="24"/>
      <c r="D428" s="195">
        <f t="shared" ref="D428:AE428" si="92">SUM(D429:D434)</f>
        <v>19738892.760000002</v>
      </c>
      <c r="E428" s="31">
        <f t="shared" si="92"/>
        <v>1000351.54</v>
      </c>
      <c r="F428" s="31">
        <f t="shared" si="92"/>
        <v>1810542.37</v>
      </c>
      <c r="G428" s="31">
        <f t="shared" si="92"/>
        <v>9395223.0500000007</v>
      </c>
      <c r="H428" s="31">
        <f t="shared" si="92"/>
        <v>986303.66</v>
      </c>
      <c r="I428" s="31">
        <f t="shared" si="92"/>
        <v>0</v>
      </c>
      <c r="J428" s="31">
        <f t="shared" si="92"/>
        <v>0</v>
      </c>
      <c r="K428" s="33">
        <f t="shared" si="92"/>
        <v>0</v>
      </c>
      <c r="L428" s="31">
        <f t="shared" si="92"/>
        <v>0</v>
      </c>
      <c r="M428" s="31">
        <f t="shared" si="92"/>
        <v>619</v>
      </c>
      <c r="N428" s="31">
        <f t="shared" si="92"/>
        <v>2465528.8199999998</v>
      </c>
      <c r="O428" s="31">
        <f t="shared" si="92"/>
        <v>0</v>
      </c>
      <c r="P428" s="31">
        <f t="shared" si="92"/>
        <v>0</v>
      </c>
      <c r="Q428" s="31">
        <f t="shared" si="92"/>
        <v>858.98</v>
      </c>
      <c r="R428" s="31">
        <f t="shared" si="92"/>
        <v>3617645.64</v>
      </c>
      <c r="S428" s="31">
        <f t="shared" si="92"/>
        <v>0</v>
      </c>
      <c r="T428" s="31">
        <f t="shared" si="92"/>
        <v>0</v>
      </c>
      <c r="U428" s="31">
        <f t="shared" si="92"/>
        <v>0</v>
      </c>
      <c r="V428" s="31">
        <f t="shared" si="92"/>
        <v>0</v>
      </c>
      <c r="W428" s="31">
        <f t="shared" si="92"/>
        <v>0</v>
      </c>
      <c r="X428" s="31">
        <f t="shared" si="92"/>
        <v>0</v>
      </c>
      <c r="Y428" s="31">
        <f t="shared" si="92"/>
        <v>0</v>
      </c>
      <c r="Z428" s="31">
        <f t="shared" si="92"/>
        <v>0</v>
      </c>
      <c r="AA428" s="31">
        <f t="shared" si="92"/>
        <v>0</v>
      </c>
      <c r="AB428" s="31">
        <f t="shared" si="92"/>
        <v>0</v>
      </c>
      <c r="AC428" s="31">
        <f t="shared" si="92"/>
        <v>250119.41999999998</v>
      </c>
      <c r="AD428" s="31">
        <f t="shared" si="92"/>
        <v>213178.26</v>
      </c>
      <c r="AE428" s="31">
        <f t="shared" si="92"/>
        <v>0</v>
      </c>
      <c r="AF428" s="72" t="s">
        <v>757</v>
      </c>
      <c r="AG428" s="72" t="s">
        <v>757</v>
      </c>
      <c r="AH428" s="87" t="s">
        <v>757</v>
      </c>
      <c r="AT428" s="20" t="e">
        <f>VLOOKUP(C428,AW:AX,2,FALSE)</f>
        <v>#N/A</v>
      </c>
      <c r="BZ428" s="71">
        <v>34570625.039999999</v>
      </c>
      <c r="CD428" s="20" t="e">
        <f t="shared" si="87"/>
        <v>#N/A</v>
      </c>
    </row>
    <row r="429" spans="1:82" ht="61.5" x14ac:dyDescent="0.85">
      <c r="A429" s="20">
        <v>1</v>
      </c>
      <c r="B429" s="66">
        <f>SUBTOTAL(103,$A$22:A429)</f>
        <v>371</v>
      </c>
      <c r="C429" s="24" t="s">
        <v>47</v>
      </c>
      <c r="D429" s="31">
        <f t="shared" ref="D429:D434" si="93">E429+F429+G429+H429+I429+J429+L429+N429+P429+R429+T429+U429+V429+W429+X429+Y429+Z429+AA429+AB429+AC429+AD429+AE429</f>
        <v>106790.64</v>
      </c>
      <c r="E429" s="31">
        <v>0</v>
      </c>
      <c r="F429" s="31">
        <v>0</v>
      </c>
      <c r="G429" s="31">
        <v>0</v>
      </c>
      <c r="H429" s="31">
        <v>0</v>
      </c>
      <c r="I429" s="31">
        <v>0</v>
      </c>
      <c r="J429" s="31">
        <v>0</v>
      </c>
      <c r="K429" s="33">
        <v>0</v>
      </c>
      <c r="L429" s="31">
        <v>0</v>
      </c>
      <c r="M429" s="31">
        <v>0</v>
      </c>
      <c r="N429" s="31">
        <v>0</v>
      </c>
      <c r="O429" s="31">
        <v>0</v>
      </c>
      <c r="P429" s="31">
        <v>0</v>
      </c>
      <c r="Q429" s="31">
        <v>0</v>
      </c>
      <c r="R429" s="31">
        <v>0</v>
      </c>
      <c r="S429" s="31">
        <v>0</v>
      </c>
      <c r="T429" s="31">
        <v>0</v>
      </c>
      <c r="U429" s="31">
        <v>0</v>
      </c>
      <c r="V429" s="31">
        <v>0</v>
      </c>
      <c r="W429" s="31">
        <v>0</v>
      </c>
      <c r="X429" s="31">
        <v>0</v>
      </c>
      <c r="Y429" s="31">
        <v>0</v>
      </c>
      <c r="Z429" s="31">
        <v>0</v>
      </c>
      <c r="AA429" s="31">
        <v>0</v>
      </c>
      <c r="AB429" s="31">
        <v>0</v>
      </c>
      <c r="AC429" s="31">
        <f>ROUND(N429*1.5%,2)</f>
        <v>0</v>
      </c>
      <c r="AD429" s="39">
        <v>106790.64</v>
      </c>
      <c r="AE429" s="31">
        <v>0</v>
      </c>
      <c r="AF429" s="34">
        <v>2020</v>
      </c>
      <c r="AG429" s="34" t="s">
        <v>270</v>
      </c>
      <c r="AH429" s="34" t="s">
        <v>270</v>
      </c>
      <c r="AT429" s="20" t="e">
        <f>VLOOKUP(C429,AW:AX,2,FALSE)</f>
        <v>#N/A</v>
      </c>
      <c r="BZ429" s="71"/>
      <c r="CD429" s="20" t="e">
        <f t="shared" si="87"/>
        <v>#N/A</v>
      </c>
    </row>
    <row r="430" spans="1:82" ht="61.5" x14ac:dyDescent="0.85">
      <c r="A430" s="20">
        <v>1</v>
      </c>
      <c r="B430" s="66">
        <f>SUBTOTAL(103,$A$22:A430)</f>
        <v>372</v>
      </c>
      <c r="C430" s="24" t="s">
        <v>802</v>
      </c>
      <c r="D430" s="31">
        <f t="shared" si="93"/>
        <v>2608899.37</v>
      </c>
      <c r="E430" s="31">
        <v>0</v>
      </c>
      <c r="F430" s="31">
        <v>0</v>
      </c>
      <c r="G430" s="31">
        <v>0</v>
      </c>
      <c r="H430" s="31">
        <v>0</v>
      </c>
      <c r="I430" s="31">
        <v>0</v>
      </c>
      <c r="J430" s="31">
        <v>0</v>
      </c>
      <c r="K430" s="33">
        <v>0</v>
      </c>
      <c r="L430" s="31">
        <v>0</v>
      </c>
      <c r="M430" s="39">
        <v>619</v>
      </c>
      <c r="N430" s="39">
        <v>2465528.8199999998</v>
      </c>
      <c r="O430" s="31">
        <v>0</v>
      </c>
      <c r="P430" s="31">
        <v>0</v>
      </c>
      <c r="Q430" s="31">
        <v>0</v>
      </c>
      <c r="R430" s="31">
        <v>0</v>
      </c>
      <c r="S430" s="31">
        <v>0</v>
      </c>
      <c r="T430" s="31">
        <v>0</v>
      </c>
      <c r="U430" s="31">
        <v>0</v>
      </c>
      <c r="V430" s="31">
        <v>0</v>
      </c>
      <c r="W430" s="31">
        <v>0</v>
      </c>
      <c r="X430" s="31">
        <v>0</v>
      </c>
      <c r="Y430" s="31">
        <v>0</v>
      </c>
      <c r="Z430" s="31">
        <v>0</v>
      </c>
      <c r="AA430" s="31">
        <v>0</v>
      </c>
      <c r="AB430" s="31">
        <v>0</v>
      </c>
      <c r="AC430" s="31">
        <f>ROUND(N430*1.5%,2)</f>
        <v>36982.93</v>
      </c>
      <c r="AD430" s="39">
        <v>106387.62</v>
      </c>
      <c r="AE430" s="31">
        <v>0</v>
      </c>
      <c r="AF430" s="34">
        <v>2020</v>
      </c>
      <c r="AG430" s="34">
        <v>2020</v>
      </c>
      <c r="AH430" s="35">
        <v>2020</v>
      </c>
      <c r="AT430" s="20" t="e">
        <f>VLOOKUP(C430,AW:AX,2,FALSE)</f>
        <v>#N/A</v>
      </c>
      <c r="BZ430" s="71"/>
      <c r="CD430" s="20" t="e">
        <f t="shared" si="87"/>
        <v>#N/A</v>
      </c>
    </row>
    <row r="431" spans="1:82" ht="61.5" x14ac:dyDescent="0.85">
      <c r="A431" s="20">
        <v>1</v>
      </c>
      <c r="B431" s="66">
        <f>SUBTOTAL(103,$A$22:A431)</f>
        <v>373</v>
      </c>
      <c r="C431" s="24" t="s">
        <v>1244</v>
      </c>
      <c r="D431" s="31">
        <f t="shared" si="93"/>
        <v>5055398.59</v>
      </c>
      <c r="E431" s="39">
        <v>420192.57</v>
      </c>
      <c r="F431" s="39">
        <v>698894.43</v>
      </c>
      <c r="G431" s="39">
        <v>3335941.54</v>
      </c>
      <c r="H431" s="39">
        <v>526027.78</v>
      </c>
      <c r="I431" s="31">
        <v>0</v>
      </c>
      <c r="J431" s="31">
        <v>0</v>
      </c>
      <c r="K431" s="33">
        <v>0</v>
      </c>
      <c r="L431" s="31">
        <v>0</v>
      </c>
      <c r="M431" s="31">
        <v>0</v>
      </c>
      <c r="N431" s="31">
        <v>0</v>
      </c>
      <c r="O431" s="31">
        <v>0</v>
      </c>
      <c r="P431" s="31">
        <v>0</v>
      </c>
      <c r="Q431" s="31">
        <v>0</v>
      </c>
      <c r="R431" s="31">
        <v>0</v>
      </c>
      <c r="S431" s="31">
        <v>0</v>
      </c>
      <c r="T431" s="31">
        <v>0</v>
      </c>
      <c r="U431" s="31">
        <v>0</v>
      </c>
      <c r="V431" s="31">
        <v>0</v>
      </c>
      <c r="W431" s="31">
        <v>0</v>
      </c>
      <c r="X431" s="31">
        <v>0</v>
      </c>
      <c r="Y431" s="31">
        <v>0</v>
      </c>
      <c r="Z431" s="31">
        <v>0</v>
      </c>
      <c r="AA431" s="31">
        <v>0</v>
      </c>
      <c r="AB431" s="31">
        <v>0</v>
      </c>
      <c r="AC431" s="31">
        <f>ROUND((E431+F431+G431+H431+I431+J431)*1.4925%,2)</f>
        <v>74342.27</v>
      </c>
      <c r="AD431" s="31">
        <v>0</v>
      </c>
      <c r="AE431" s="31">
        <v>0</v>
      </c>
      <c r="AF431" s="34" t="s">
        <v>270</v>
      </c>
      <c r="AG431" s="34">
        <v>2020</v>
      </c>
      <c r="AH431" s="35">
        <v>2020</v>
      </c>
      <c r="BZ431" s="71"/>
      <c r="CD431" s="20" t="e">
        <f t="shared" si="87"/>
        <v>#N/A</v>
      </c>
    </row>
    <row r="432" spans="1:82" ht="61.5" x14ac:dyDescent="0.85">
      <c r="A432" s="20">
        <v>1</v>
      </c>
      <c r="B432" s="66">
        <f>SUBTOTAL(103,$A$22:A432)</f>
        <v>374</v>
      </c>
      <c r="C432" s="24" t="s">
        <v>1245</v>
      </c>
      <c r="D432" s="31">
        <f t="shared" si="93"/>
        <v>5685725.29</v>
      </c>
      <c r="E432" s="39">
        <v>580158.97</v>
      </c>
      <c r="F432" s="39">
        <v>1111647.94</v>
      </c>
      <c r="G432" s="39">
        <v>3450030.95</v>
      </c>
      <c r="H432" s="39">
        <v>460275.88</v>
      </c>
      <c r="I432" s="31">
        <v>0</v>
      </c>
      <c r="J432" s="31">
        <v>0</v>
      </c>
      <c r="K432" s="33">
        <v>0</v>
      </c>
      <c r="L432" s="31">
        <v>0</v>
      </c>
      <c r="M432" s="31">
        <v>0</v>
      </c>
      <c r="N432" s="31">
        <v>0</v>
      </c>
      <c r="O432" s="31">
        <v>0</v>
      </c>
      <c r="P432" s="31">
        <v>0</v>
      </c>
      <c r="Q432" s="31">
        <v>0</v>
      </c>
      <c r="R432" s="31">
        <v>0</v>
      </c>
      <c r="S432" s="31">
        <v>0</v>
      </c>
      <c r="T432" s="31">
        <v>0</v>
      </c>
      <c r="U432" s="31">
        <v>0</v>
      </c>
      <c r="V432" s="31">
        <v>0</v>
      </c>
      <c r="W432" s="31">
        <v>0</v>
      </c>
      <c r="X432" s="31">
        <v>0</v>
      </c>
      <c r="Y432" s="31">
        <v>0</v>
      </c>
      <c r="Z432" s="31">
        <v>0</v>
      </c>
      <c r="AA432" s="31">
        <v>0</v>
      </c>
      <c r="AB432" s="31">
        <v>0</v>
      </c>
      <c r="AC432" s="31">
        <f>ROUND((E432+F432+G432+H432+I432+J432)*1.4925%,2)</f>
        <v>83611.55</v>
      </c>
      <c r="AD432" s="31">
        <v>0</v>
      </c>
      <c r="AE432" s="31">
        <v>0</v>
      </c>
      <c r="AF432" s="34" t="s">
        <v>270</v>
      </c>
      <c r="AG432" s="34">
        <v>2020</v>
      </c>
      <c r="AH432" s="35">
        <v>2020</v>
      </c>
      <c r="BZ432" s="71"/>
      <c r="CD432" s="20" t="e">
        <f t="shared" si="87"/>
        <v>#N/A</v>
      </c>
    </row>
    <row r="433" spans="1:82" ht="61.5" x14ac:dyDescent="0.85">
      <c r="A433" s="20">
        <v>1</v>
      </c>
      <c r="B433" s="66">
        <f>SUBTOTAL(103,$A$22:A433)</f>
        <v>375</v>
      </c>
      <c r="C433" s="24" t="s">
        <v>1246</v>
      </c>
      <c r="D433" s="31">
        <f t="shared" si="93"/>
        <v>2648193.62</v>
      </c>
      <c r="E433" s="31">
        <v>0</v>
      </c>
      <c r="F433" s="31">
        <v>0</v>
      </c>
      <c r="G433" s="179">
        <v>2609250.56</v>
      </c>
      <c r="H433" s="31">
        <v>0</v>
      </c>
      <c r="I433" s="31">
        <v>0</v>
      </c>
      <c r="J433" s="31">
        <v>0</v>
      </c>
      <c r="K433" s="33">
        <v>0</v>
      </c>
      <c r="L433" s="31">
        <v>0</v>
      </c>
      <c r="M433" s="31">
        <v>0</v>
      </c>
      <c r="N433" s="31">
        <v>0</v>
      </c>
      <c r="O433" s="31">
        <v>0</v>
      </c>
      <c r="P433" s="31">
        <v>0</v>
      </c>
      <c r="Q433" s="31">
        <v>0</v>
      </c>
      <c r="R433" s="31">
        <v>0</v>
      </c>
      <c r="S433" s="31">
        <v>0</v>
      </c>
      <c r="T433" s="31">
        <v>0</v>
      </c>
      <c r="U433" s="31">
        <v>0</v>
      </c>
      <c r="V433" s="31">
        <v>0</v>
      </c>
      <c r="W433" s="31">
        <v>0</v>
      </c>
      <c r="X433" s="31">
        <v>0</v>
      </c>
      <c r="Y433" s="31">
        <v>0</v>
      </c>
      <c r="Z433" s="31">
        <v>0</v>
      </c>
      <c r="AA433" s="31">
        <v>0</v>
      </c>
      <c r="AB433" s="31">
        <v>0</v>
      </c>
      <c r="AC433" s="31">
        <f>ROUND((E433+F433+G433+H433+I433+J433)*1.4925%,2)</f>
        <v>38943.06</v>
      </c>
      <c r="AD433" s="31">
        <v>0</v>
      </c>
      <c r="AE433" s="31">
        <v>0</v>
      </c>
      <c r="AF433" s="34" t="s">
        <v>270</v>
      </c>
      <c r="AG433" s="34">
        <v>2020</v>
      </c>
      <c r="AH433" s="35">
        <v>2020</v>
      </c>
      <c r="BZ433" s="71"/>
      <c r="CD433" s="20" t="e">
        <f t="shared" si="87"/>
        <v>#N/A</v>
      </c>
    </row>
    <row r="434" spans="1:82" ht="61.5" x14ac:dyDescent="0.85">
      <c r="A434" s="20">
        <v>1</v>
      </c>
      <c r="B434" s="66">
        <f>SUBTOTAL(103,$A$22:A434)</f>
        <v>376</v>
      </c>
      <c r="C434" s="24" t="s">
        <v>1248</v>
      </c>
      <c r="D434" s="31">
        <f t="shared" si="93"/>
        <v>3633885.25</v>
      </c>
      <c r="E434" s="31">
        <v>0</v>
      </c>
      <c r="F434" s="31">
        <v>0</v>
      </c>
      <c r="G434" s="31">
        <v>0</v>
      </c>
      <c r="H434" s="31">
        <v>0</v>
      </c>
      <c r="I434" s="31">
        <v>0</v>
      </c>
      <c r="J434" s="31">
        <v>0</v>
      </c>
      <c r="K434" s="33">
        <v>0</v>
      </c>
      <c r="L434" s="31">
        <v>0</v>
      </c>
      <c r="M434" s="31">
        <v>0</v>
      </c>
      <c r="N434" s="31">
        <v>0</v>
      </c>
      <c r="O434" s="31">
        <v>0</v>
      </c>
      <c r="P434" s="31">
        <v>0</v>
      </c>
      <c r="Q434" s="39">
        <v>858.98</v>
      </c>
      <c r="R434" s="39">
        <v>3617645.64</v>
      </c>
      <c r="S434" s="31">
        <v>0</v>
      </c>
      <c r="T434" s="31">
        <v>0</v>
      </c>
      <c r="U434" s="31">
        <v>0</v>
      </c>
      <c r="V434" s="31">
        <v>0</v>
      </c>
      <c r="W434" s="31">
        <v>0</v>
      </c>
      <c r="X434" s="31">
        <v>0</v>
      </c>
      <c r="Y434" s="31">
        <v>0</v>
      </c>
      <c r="Z434" s="31">
        <v>0</v>
      </c>
      <c r="AA434" s="31">
        <v>0</v>
      </c>
      <c r="AB434" s="31">
        <v>0</v>
      </c>
      <c r="AC434" s="31">
        <f>ROUND(R434*0.4489%,2)</f>
        <v>16239.61</v>
      </c>
      <c r="AD434" s="31">
        <v>0</v>
      </c>
      <c r="AE434" s="31">
        <v>0</v>
      </c>
      <c r="AF434" s="34" t="s">
        <v>270</v>
      </c>
      <c r="AG434" s="34">
        <v>2020</v>
      </c>
      <c r="AH434" s="35">
        <v>2020</v>
      </c>
      <c r="BZ434" s="71"/>
      <c r="CD434" s="20" t="e">
        <f t="shared" si="87"/>
        <v>#N/A</v>
      </c>
    </row>
    <row r="435" spans="1:82" ht="61.5" x14ac:dyDescent="0.85">
      <c r="B435" s="24" t="s">
        <v>850</v>
      </c>
      <c r="C435" s="24"/>
      <c r="D435" s="195">
        <f>SUM(D436:D440)</f>
        <v>9403284.9900000002</v>
      </c>
      <c r="E435" s="31">
        <f t="shared" ref="E435:AE435" si="94">SUM(E436:E440)</f>
        <v>167835.45</v>
      </c>
      <c r="F435" s="31">
        <f t="shared" si="94"/>
        <v>0</v>
      </c>
      <c r="G435" s="31">
        <f t="shared" si="94"/>
        <v>658789.53</v>
      </c>
      <c r="H435" s="31">
        <f t="shared" si="94"/>
        <v>0</v>
      </c>
      <c r="I435" s="31">
        <f t="shared" si="94"/>
        <v>618954.18000000005</v>
      </c>
      <c r="J435" s="31">
        <f t="shared" si="94"/>
        <v>0</v>
      </c>
      <c r="K435" s="33">
        <f t="shared" si="94"/>
        <v>0</v>
      </c>
      <c r="L435" s="31">
        <f t="shared" si="94"/>
        <v>0</v>
      </c>
      <c r="M435" s="31">
        <f t="shared" si="94"/>
        <v>2201.9</v>
      </c>
      <c r="N435" s="31">
        <f t="shared" si="94"/>
        <v>7825011.9399999995</v>
      </c>
      <c r="O435" s="31">
        <f t="shared" si="94"/>
        <v>0</v>
      </c>
      <c r="P435" s="31">
        <f t="shared" si="94"/>
        <v>0</v>
      </c>
      <c r="Q435" s="31">
        <f t="shared" si="94"/>
        <v>0</v>
      </c>
      <c r="R435" s="31">
        <f t="shared" si="94"/>
        <v>0</v>
      </c>
      <c r="S435" s="31">
        <f t="shared" si="94"/>
        <v>0</v>
      </c>
      <c r="T435" s="31">
        <f t="shared" si="94"/>
        <v>0</v>
      </c>
      <c r="U435" s="31">
        <f t="shared" si="94"/>
        <v>0</v>
      </c>
      <c r="V435" s="31">
        <f t="shared" si="94"/>
        <v>0</v>
      </c>
      <c r="W435" s="31">
        <f t="shared" si="94"/>
        <v>0</v>
      </c>
      <c r="X435" s="31">
        <f t="shared" si="94"/>
        <v>0</v>
      </c>
      <c r="Y435" s="31">
        <f t="shared" si="94"/>
        <v>0</v>
      </c>
      <c r="Z435" s="31">
        <f t="shared" si="94"/>
        <v>0</v>
      </c>
      <c r="AA435" s="31">
        <f t="shared" si="94"/>
        <v>0</v>
      </c>
      <c r="AB435" s="31">
        <f t="shared" si="94"/>
        <v>0</v>
      </c>
      <c r="AC435" s="31">
        <f t="shared" si="94"/>
        <v>132693.88999999998</v>
      </c>
      <c r="AD435" s="31">
        <f t="shared" si="94"/>
        <v>0</v>
      </c>
      <c r="AE435" s="31">
        <f t="shared" si="94"/>
        <v>0</v>
      </c>
      <c r="AF435" s="72" t="s">
        <v>757</v>
      </c>
      <c r="AG435" s="72" t="s">
        <v>757</v>
      </c>
      <c r="AH435" s="87" t="s">
        <v>757</v>
      </c>
      <c r="AT435" s="20" t="e">
        <f>VLOOKUP(C435,AW:AX,2,FALSE)</f>
        <v>#N/A</v>
      </c>
      <c r="BZ435" s="71">
        <v>12742956.99</v>
      </c>
      <c r="CB435" s="71">
        <f>BZ435-D435</f>
        <v>3339672</v>
      </c>
      <c r="CD435" s="20" t="e">
        <f t="shared" si="87"/>
        <v>#N/A</v>
      </c>
    </row>
    <row r="436" spans="1:82" ht="61.5" x14ac:dyDescent="0.85">
      <c r="A436" s="20">
        <v>1</v>
      </c>
      <c r="B436" s="66">
        <f>SUBTOTAL(103,$A$22:A436)</f>
        <v>377</v>
      </c>
      <c r="C436" s="24" t="s">
        <v>44</v>
      </c>
      <c r="D436" s="31">
        <f>E436+F436+G436+H436+I436+J436+L436+N436+P436+R436+T436+U436+V436+W436+X436+Y436+Z436+AA436+AB436+AC436+AD436+AE436</f>
        <v>2250143.48</v>
      </c>
      <c r="E436" s="31">
        <v>0</v>
      </c>
      <c r="F436" s="31">
        <v>0</v>
      </c>
      <c r="G436" s="31">
        <v>0</v>
      </c>
      <c r="H436" s="31">
        <v>0</v>
      </c>
      <c r="I436" s="31">
        <v>0</v>
      </c>
      <c r="J436" s="31">
        <v>0</v>
      </c>
      <c r="K436" s="33">
        <v>0</v>
      </c>
      <c r="L436" s="31">
        <v>0</v>
      </c>
      <c r="M436" s="39">
        <v>631</v>
      </c>
      <c r="N436" s="39">
        <v>2219021.7000000002</v>
      </c>
      <c r="O436" s="31">
        <v>0</v>
      </c>
      <c r="P436" s="31">
        <v>0</v>
      </c>
      <c r="Q436" s="31">
        <v>0</v>
      </c>
      <c r="R436" s="31">
        <v>0</v>
      </c>
      <c r="S436" s="31">
        <v>0</v>
      </c>
      <c r="T436" s="31">
        <v>0</v>
      </c>
      <c r="U436" s="31">
        <v>0</v>
      </c>
      <c r="V436" s="31">
        <v>0</v>
      </c>
      <c r="W436" s="31">
        <v>0</v>
      </c>
      <c r="X436" s="31">
        <v>0</v>
      </c>
      <c r="Y436" s="31">
        <v>0</v>
      </c>
      <c r="Z436" s="31">
        <v>0</v>
      </c>
      <c r="AA436" s="31">
        <v>0</v>
      </c>
      <c r="AB436" s="31">
        <v>0</v>
      </c>
      <c r="AC436" s="39">
        <v>31121.78</v>
      </c>
      <c r="AD436" s="31">
        <v>0</v>
      </c>
      <c r="AE436" s="31">
        <v>0</v>
      </c>
      <c r="AF436" s="34" t="s">
        <v>270</v>
      </c>
      <c r="AG436" s="34">
        <v>2020</v>
      </c>
      <c r="AH436" s="35">
        <v>2020</v>
      </c>
      <c r="AT436" s="20" t="e">
        <f>VLOOKUP(C436,AW:AX,2,FALSE)</f>
        <v>#N/A</v>
      </c>
      <c r="BZ436" s="71"/>
      <c r="CD436" s="20">
        <f t="shared" si="87"/>
        <v>631</v>
      </c>
    </row>
    <row r="437" spans="1:82" ht="61.5" x14ac:dyDescent="0.85">
      <c r="A437" s="20">
        <v>1</v>
      </c>
      <c r="B437" s="66">
        <f>SUBTOTAL(103,$A$22:A437)</f>
        <v>378</v>
      </c>
      <c r="C437" s="24" t="s">
        <v>43</v>
      </c>
      <c r="D437" s="31">
        <f>E437+F437+G437+H437+I437+J437+L437+N437+P437+R437+T437+U437+V437+W437+X437+Y437+Z437+AA437+AB437+AC437+AD437+AE437</f>
        <v>2167263.7000000002</v>
      </c>
      <c r="E437" s="31">
        <v>0</v>
      </c>
      <c r="F437" s="31">
        <v>0</v>
      </c>
      <c r="G437" s="31">
        <v>0</v>
      </c>
      <c r="H437" s="31">
        <v>0</v>
      </c>
      <c r="I437" s="31">
        <v>0</v>
      </c>
      <c r="J437" s="31">
        <v>0</v>
      </c>
      <c r="K437" s="33">
        <v>0</v>
      </c>
      <c r="L437" s="31">
        <v>0</v>
      </c>
      <c r="M437" s="39">
        <v>554.9</v>
      </c>
      <c r="N437" s="39">
        <v>2137288.23</v>
      </c>
      <c r="O437" s="31">
        <v>0</v>
      </c>
      <c r="P437" s="31">
        <v>0</v>
      </c>
      <c r="Q437" s="31">
        <v>0</v>
      </c>
      <c r="R437" s="31">
        <v>0</v>
      </c>
      <c r="S437" s="31">
        <v>0</v>
      </c>
      <c r="T437" s="31">
        <v>0</v>
      </c>
      <c r="U437" s="31">
        <v>0</v>
      </c>
      <c r="V437" s="31">
        <v>0</v>
      </c>
      <c r="W437" s="31">
        <v>0</v>
      </c>
      <c r="X437" s="31">
        <v>0</v>
      </c>
      <c r="Y437" s="31">
        <v>0</v>
      </c>
      <c r="Z437" s="31">
        <v>0</v>
      </c>
      <c r="AA437" s="31">
        <v>0</v>
      </c>
      <c r="AB437" s="31">
        <v>0</v>
      </c>
      <c r="AC437" s="39">
        <v>29975.47</v>
      </c>
      <c r="AD437" s="31">
        <v>0</v>
      </c>
      <c r="AE437" s="31">
        <v>0</v>
      </c>
      <c r="AF437" s="34" t="s">
        <v>270</v>
      </c>
      <c r="AG437" s="34">
        <v>2020</v>
      </c>
      <c r="AH437" s="35">
        <v>2020</v>
      </c>
      <c r="AT437" s="20" t="e">
        <f>VLOOKUP(C437,AW:AX,2,FALSE)</f>
        <v>#N/A</v>
      </c>
      <c r="BZ437" s="71"/>
      <c r="CD437" s="20">
        <f t="shared" si="87"/>
        <v>566</v>
      </c>
    </row>
    <row r="438" spans="1:82" ht="61.5" x14ac:dyDescent="0.85">
      <c r="A438" s="20">
        <v>1</v>
      </c>
      <c r="B438" s="66">
        <f>SUBTOTAL(103,$A$22:A438)</f>
        <v>379</v>
      </c>
      <c r="C438" s="24" t="s">
        <v>45</v>
      </c>
      <c r="D438" s="31">
        <f>E438+F438+G438+H438+I438+J438+L438+N438+P438+R438+T438+U438+V438+W438+X438+Y438+Z438+AA438+AB438+AC438+AD438+AE438</f>
        <v>2202329.54</v>
      </c>
      <c r="E438" s="31">
        <v>0</v>
      </c>
      <c r="F438" s="31">
        <v>0</v>
      </c>
      <c r="G438" s="31">
        <v>0</v>
      </c>
      <c r="H438" s="31">
        <v>0</v>
      </c>
      <c r="I438" s="31">
        <v>0</v>
      </c>
      <c r="J438" s="31">
        <v>0</v>
      </c>
      <c r="K438" s="33">
        <v>0</v>
      </c>
      <c r="L438" s="31">
        <v>0</v>
      </c>
      <c r="M438" s="39">
        <v>562</v>
      </c>
      <c r="N438" s="39">
        <v>2171869.08</v>
      </c>
      <c r="O438" s="31">
        <v>0</v>
      </c>
      <c r="P438" s="31">
        <v>0</v>
      </c>
      <c r="Q438" s="31">
        <v>0</v>
      </c>
      <c r="R438" s="31">
        <v>0</v>
      </c>
      <c r="S438" s="31">
        <v>0</v>
      </c>
      <c r="T438" s="31">
        <v>0</v>
      </c>
      <c r="U438" s="31">
        <v>0</v>
      </c>
      <c r="V438" s="31">
        <v>0</v>
      </c>
      <c r="W438" s="31">
        <v>0</v>
      </c>
      <c r="X438" s="31">
        <v>0</v>
      </c>
      <c r="Y438" s="31">
        <v>0</v>
      </c>
      <c r="Z438" s="31">
        <v>0</v>
      </c>
      <c r="AA438" s="31">
        <v>0</v>
      </c>
      <c r="AB438" s="31">
        <v>0</v>
      </c>
      <c r="AC438" s="39">
        <v>30460.46</v>
      </c>
      <c r="AD438" s="31">
        <v>0</v>
      </c>
      <c r="AE438" s="31">
        <v>0</v>
      </c>
      <c r="AF438" s="34" t="s">
        <v>270</v>
      </c>
      <c r="AG438" s="34">
        <v>2020</v>
      </c>
      <c r="AH438" s="35">
        <v>2020</v>
      </c>
      <c r="AT438" s="20" t="e">
        <f>VLOOKUP(C438,AW:AX,2,FALSE)</f>
        <v>#N/A</v>
      </c>
      <c r="BZ438" s="71"/>
      <c r="CD438" s="20">
        <f t="shared" si="87"/>
        <v>562</v>
      </c>
    </row>
    <row r="439" spans="1:82" ht="61.5" x14ac:dyDescent="0.85">
      <c r="A439" s="20">
        <v>1</v>
      </c>
      <c r="B439" s="66">
        <f>SUBTOTAL(103,$A$22:A439)</f>
        <v>380</v>
      </c>
      <c r="C439" s="24" t="s">
        <v>1254</v>
      </c>
      <c r="D439" s="31">
        <f>E439+F439+G439+H439+I439+J439+L439+N439+P439+R439+T439+U439+V439+W439+X439+Y439+Z439+AA439+AB439+AC439+AD439+AE439</f>
        <v>1467262.85</v>
      </c>
      <c r="E439" s="39">
        <v>167835.45</v>
      </c>
      <c r="F439" s="31">
        <v>0</v>
      </c>
      <c r="G439" s="39">
        <v>658789.53</v>
      </c>
      <c r="H439" s="31">
        <v>0</v>
      </c>
      <c r="I439" s="39">
        <v>618954.18000000005</v>
      </c>
      <c r="J439" s="31">
        <v>0</v>
      </c>
      <c r="K439" s="33">
        <v>0</v>
      </c>
      <c r="L439" s="31">
        <v>0</v>
      </c>
      <c r="M439" s="39">
        <v>0</v>
      </c>
      <c r="N439" s="39">
        <v>0</v>
      </c>
      <c r="O439" s="31">
        <v>0</v>
      </c>
      <c r="P439" s="31">
        <v>0</v>
      </c>
      <c r="Q439" s="31">
        <v>0</v>
      </c>
      <c r="R439" s="31">
        <v>0</v>
      </c>
      <c r="S439" s="31">
        <v>0</v>
      </c>
      <c r="T439" s="31">
        <v>0</v>
      </c>
      <c r="U439" s="31">
        <v>0</v>
      </c>
      <c r="V439" s="31">
        <v>0</v>
      </c>
      <c r="W439" s="31">
        <v>0</v>
      </c>
      <c r="X439" s="31">
        <v>0</v>
      </c>
      <c r="Y439" s="31">
        <v>0</v>
      </c>
      <c r="Z439" s="31">
        <v>0</v>
      </c>
      <c r="AA439" s="31">
        <v>0</v>
      </c>
      <c r="AB439" s="31">
        <v>0</v>
      </c>
      <c r="AC439" s="31">
        <f>ROUND((E439+F439+G439+H439+I439+J439)*1.5%,2)</f>
        <v>21683.69</v>
      </c>
      <c r="AD439" s="31">
        <v>0</v>
      </c>
      <c r="AE439" s="31">
        <v>0</v>
      </c>
      <c r="AF439" s="34" t="s">
        <v>270</v>
      </c>
      <c r="AG439" s="34">
        <v>2020</v>
      </c>
      <c r="AH439" s="35">
        <v>2020</v>
      </c>
      <c r="BZ439" s="71"/>
      <c r="CD439" s="20" t="e">
        <f t="shared" si="87"/>
        <v>#N/A</v>
      </c>
    </row>
    <row r="440" spans="1:82" ht="61.5" x14ac:dyDescent="0.85">
      <c r="A440" s="20">
        <v>1</v>
      </c>
      <c r="B440" s="66">
        <f>SUBTOTAL(103,$A$22:A440)</f>
        <v>381</v>
      </c>
      <c r="C440" s="24" t="s">
        <v>1255</v>
      </c>
      <c r="D440" s="31">
        <f>E440+F440+G440+H440+I440+J440+L440+N440+P440+R440+T440+U440+V440+W440+X440+Y440+Z440+AA440+AB440+AC440+AD440+AE440</f>
        <v>1316285.42</v>
      </c>
      <c r="E440" s="31">
        <v>0</v>
      </c>
      <c r="F440" s="31">
        <v>0</v>
      </c>
      <c r="G440" s="31">
        <v>0</v>
      </c>
      <c r="H440" s="31">
        <v>0</v>
      </c>
      <c r="I440" s="31">
        <v>0</v>
      </c>
      <c r="J440" s="31">
        <v>0</v>
      </c>
      <c r="K440" s="33">
        <v>0</v>
      </c>
      <c r="L440" s="31">
        <v>0</v>
      </c>
      <c r="M440" s="39">
        <v>454</v>
      </c>
      <c r="N440" s="39">
        <v>1296832.93</v>
      </c>
      <c r="O440" s="31">
        <v>0</v>
      </c>
      <c r="P440" s="31">
        <v>0</v>
      </c>
      <c r="Q440" s="31">
        <v>0</v>
      </c>
      <c r="R440" s="31">
        <v>0</v>
      </c>
      <c r="S440" s="31">
        <v>0</v>
      </c>
      <c r="T440" s="31">
        <v>0</v>
      </c>
      <c r="U440" s="31">
        <v>0</v>
      </c>
      <c r="V440" s="31">
        <v>0</v>
      </c>
      <c r="W440" s="31">
        <v>0</v>
      </c>
      <c r="X440" s="31">
        <v>0</v>
      </c>
      <c r="Y440" s="31">
        <v>0</v>
      </c>
      <c r="Z440" s="31">
        <v>0</v>
      </c>
      <c r="AA440" s="31">
        <v>0</v>
      </c>
      <c r="AB440" s="31">
        <v>0</v>
      </c>
      <c r="AC440" s="31">
        <f>ROUND(N440*1.5%,2)</f>
        <v>19452.490000000002</v>
      </c>
      <c r="AD440" s="31">
        <v>0</v>
      </c>
      <c r="AE440" s="31">
        <v>0</v>
      </c>
      <c r="AF440" s="34" t="s">
        <v>270</v>
      </c>
      <c r="AG440" s="34">
        <v>2020</v>
      </c>
      <c r="AH440" s="35">
        <v>2020</v>
      </c>
      <c r="BZ440" s="71"/>
      <c r="CD440" s="20">
        <f t="shared" si="87"/>
        <v>454</v>
      </c>
    </row>
    <row r="441" spans="1:82" ht="61.5" x14ac:dyDescent="0.85">
      <c r="B441" s="24" t="s">
        <v>851</v>
      </c>
      <c r="C441" s="24"/>
      <c r="D441" s="195">
        <f>D442+D443</f>
        <v>5174634.9800000004</v>
      </c>
      <c r="E441" s="31">
        <f t="shared" ref="E441:AE441" si="95">E442+E443</f>
        <v>0</v>
      </c>
      <c r="F441" s="31">
        <f t="shared" si="95"/>
        <v>0</v>
      </c>
      <c r="G441" s="31">
        <f t="shared" si="95"/>
        <v>0</v>
      </c>
      <c r="H441" s="31">
        <f t="shared" si="95"/>
        <v>0</v>
      </c>
      <c r="I441" s="31">
        <f t="shared" si="95"/>
        <v>0</v>
      </c>
      <c r="J441" s="31">
        <f t="shared" si="95"/>
        <v>0</v>
      </c>
      <c r="K441" s="33">
        <f t="shared" si="95"/>
        <v>0</v>
      </c>
      <c r="L441" s="31">
        <f t="shared" si="95"/>
        <v>0</v>
      </c>
      <c r="M441" s="31">
        <f t="shared" si="95"/>
        <v>1342.3899999999999</v>
      </c>
      <c r="N441" s="31">
        <f t="shared" si="95"/>
        <v>5095125.3600000003</v>
      </c>
      <c r="O441" s="31">
        <f t="shared" si="95"/>
        <v>0</v>
      </c>
      <c r="P441" s="31">
        <f t="shared" si="95"/>
        <v>0</v>
      </c>
      <c r="Q441" s="31">
        <f t="shared" si="95"/>
        <v>0</v>
      </c>
      <c r="R441" s="31">
        <f t="shared" si="95"/>
        <v>0</v>
      </c>
      <c r="S441" s="31">
        <f t="shared" si="95"/>
        <v>0</v>
      </c>
      <c r="T441" s="31">
        <f t="shared" si="95"/>
        <v>0</v>
      </c>
      <c r="U441" s="31">
        <f t="shared" si="95"/>
        <v>0</v>
      </c>
      <c r="V441" s="31">
        <f t="shared" si="95"/>
        <v>0</v>
      </c>
      <c r="W441" s="31">
        <f t="shared" si="95"/>
        <v>0</v>
      </c>
      <c r="X441" s="31">
        <f t="shared" si="95"/>
        <v>0</v>
      </c>
      <c r="Y441" s="31">
        <f t="shared" si="95"/>
        <v>0</v>
      </c>
      <c r="Z441" s="31">
        <f t="shared" si="95"/>
        <v>0</v>
      </c>
      <c r="AA441" s="31">
        <f t="shared" si="95"/>
        <v>0</v>
      </c>
      <c r="AB441" s="31">
        <f t="shared" si="95"/>
        <v>0</v>
      </c>
      <c r="AC441" s="31">
        <f t="shared" si="95"/>
        <v>79509.62</v>
      </c>
      <c r="AD441" s="31">
        <f t="shared" si="95"/>
        <v>0</v>
      </c>
      <c r="AE441" s="31">
        <f t="shared" si="95"/>
        <v>0</v>
      </c>
      <c r="AF441" s="72" t="s">
        <v>757</v>
      </c>
      <c r="AG441" s="72" t="s">
        <v>757</v>
      </c>
      <c r="AH441" s="87" t="s">
        <v>757</v>
      </c>
      <c r="AT441" s="20" t="e">
        <f>VLOOKUP(C441,AW:AX,2,FALSE)</f>
        <v>#N/A</v>
      </c>
      <c r="BZ441" s="71">
        <v>6025381.3300000001</v>
      </c>
      <c r="CD441" s="20" t="e">
        <f t="shared" si="87"/>
        <v>#N/A</v>
      </c>
    </row>
    <row r="442" spans="1:82" ht="61.5" x14ac:dyDescent="0.85">
      <c r="A442" s="20">
        <v>1</v>
      </c>
      <c r="B442" s="66">
        <f>SUBTOTAL(103,$A$22:A442)</f>
        <v>382</v>
      </c>
      <c r="C442" s="24" t="s">
        <v>42</v>
      </c>
      <c r="D442" s="31">
        <f>E442+F442+G442+H442+I442+J442+L442+N442+P442+R442+T442+U442+V442+W442+X442+Y442+Z442+AA442+AB442+AC442+AD442+AE442</f>
        <v>2210436.8400000003</v>
      </c>
      <c r="E442" s="31">
        <v>0</v>
      </c>
      <c r="F442" s="31">
        <v>0</v>
      </c>
      <c r="G442" s="31">
        <v>0</v>
      </c>
      <c r="H442" s="31">
        <v>0</v>
      </c>
      <c r="I442" s="31">
        <v>0</v>
      </c>
      <c r="J442" s="31">
        <v>0</v>
      </c>
      <c r="K442" s="33">
        <v>0</v>
      </c>
      <c r="L442" s="31">
        <v>0</v>
      </c>
      <c r="M442" s="39">
        <v>595.09</v>
      </c>
      <c r="N442" s="39">
        <v>2179864.2400000002</v>
      </c>
      <c r="O442" s="31">
        <v>0</v>
      </c>
      <c r="P442" s="31">
        <v>0</v>
      </c>
      <c r="Q442" s="31">
        <v>0</v>
      </c>
      <c r="R442" s="31">
        <v>0</v>
      </c>
      <c r="S442" s="31">
        <v>0</v>
      </c>
      <c r="T442" s="31">
        <v>0</v>
      </c>
      <c r="U442" s="31">
        <v>0</v>
      </c>
      <c r="V442" s="31">
        <v>0</v>
      </c>
      <c r="W442" s="31">
        <v>0</v>
      </c>
      <c r="X442" s="31">
        <v>0</v>
      </c>
      <c r="Y442" s="31">
        <v>0</v>
      </c>
      <c r="Z442" s="31">
        <v>0</v>
      </c>
      <c r="AA442" s="31">
        <v>0</v>
      </c>
      <c r="AB442" s="31">
        <v>0</v>
      </c>
      <c r="AC442" s="39">
        <v>30572.6</v>
      </c>
      <c r="AD442" s="31">
        <v>0</v>
      </c>
      <c r="AE442" s="31">
        <v>0</v>
      </c>
      <c r="AF442" s="34" t="s">
        <v>270</v>
      </c>
      <c r="AG442" s="34">
        <v>2020</v>
      </c>
      <c r="AH442" s="35">
        <v>2020</v>
      </c>
      <c r="AT442" s="20" t="e">
        <f>VLOOKUP(C442,AW:AX,2,FALSE)</f>
        <v>#N/A</v>
      </c>
      <c r="BZ442" s="71"/>
      <c r="CD442" s="20">
        <f t="shared" si="87"/>
        <v>595</v>
      </c>
    </row>
    <row r="443" spans="1:82" ht="61.5" x14ac:dyDescent="0.85">
      <c r="A443" s="20">
        <v>1</v>
      </c>
      <c r="B443" s="66">
        <f>SUBTOTAL(103,$A$22:A443)</f>
        <v>383</v>
      </c>
      <c r="C443" s="24" t="s">
        <v>1563</v>
      </c>
      <c r="D443" s="31">
        <f>E443+F443+G443+H443+I443+J443+L443+N443+P443+R443+T443+U443+V443+W443+X443+Y443+Z443+AA443+AB443+AC443+AD443+AE443</f>
        <v>2964198.14</v>
      </c>
      <c r="E443" s="31">
        <v>0</v>
      </c>
      <c r="F443" s="31">
        <v>0</v>
      </c>
      <c r="G443" s="31">
        <v>0</v>
      </c>
      <c r="H443" s="31">
        <v>0</v>
      </c>
      <c r="I443" s="31">
        <v>0</v>
      </c>
      <c r="J443" s="31">
        <v>0</v>
      </c>
      <c r="K443" s="33">
        <v>0</v>
      </c>
      <c r="L443" s="31">
        <v>0</v>
      </c>
      <c r="M443" s="39">
        <v>747.3</v>
      </c>
      <c r="N443" s="39">
        <v>2915261.12</v>
      </c>
      <c r="O443" s="31">
        <v>0</v>
      </c>
      <c r="P443" s="31">
        <v>0</v>
      </c>
      <c r="Q443" s="31">
        <v>0</v>
      </c>
      <c r="R443" s="31">
        <v>0</v>
      </c>
      <c r="S443" s="31">
        <v>0</v>
      </c>
      <c r="T443" s="31">
        <v>0</v>
      </c>
      <c r="U443" s="31">
        <v>0</v>
      </c>
      <c r="V443" s="31">
        <v>0</v>
      </c>
      <c r="W443" s="31">
        <v>0</v>
      </c>
      <c r="X443" s="31">
        <v>0</v>
      </c>
      <c r="Y443" s="31">
        <v>0</v>
      </c>
      <c r="Z443" s="31">
        <v>0</v>
      </c>
      <c r="AA443" s="31">
        <v>0</v>
      </c>
      <c r="AB443" s="31">
        <v>0</v>
      </c>
      <c r="AC443" s="31">
        <f>46811.66+2125.36</f>
        <v>48937.020000000004</v>
      </c>
      <c r="AD443" s="31">
        <v>0</v>
      </c>
      <c r="AE443" s="31">
        <v>0</v>
      </c>
      <c r="AF443" s="34" t="s">
        <v>270</v>
      </c>
      <c r="AG443" s="34">
        <v>2020</v>
      </c>
      <c r="AH443" s="35">
        <v>2020</v>
      </c>
      <c r="BZ443" s="71"/>
      <c r="CD443" s="20">
        <f t="shared" si="87"/>
        <v>747.3</v>
      </c>
    </row>
    <row r="444" spans="1:82" ht="61.5" x14ac:dyDescent="0.85">
      <c r="B444" s="24" t="s">
        <v>852</v>
      </c>
      <c r="C444" s="24"/>
      <c r="D444" s="195">
        <f t="shared" ref="D444:AE444" si="96">SUM(D445:D454)</f>
        <v>18039853.560000002</v>
      </c>
      <c r="E444" s="31">
        <f t="shared" si="96"/>
        <v>0</v>
      </c>
      <c r="F444" s="31">
        <f t="shared" si="96"/>
        <v>0</v>
      </c>
      <c r="G444" s="31">
        <f t="shared" si="96"/>
        <v>0</v>
      </c>
      <c r="H444" s="31">
        <f t="shared" si="96"/>
        <v>0</v>
      </c>
      <c r="I444" s="31">
        <f t="shared" si="96"/>
        <v>0</v>
      </c>
      <c r="J444" s="31">
        <f t="shared" si="96"/>
        <v>0</v>
      </c>
      <c r="K444" s="33">
        <f t="shared" si="96"/>
        <v>0</v>
      </c>
      <c r="L444" s="31">
        <f t="shared" si="96"/>
        <v>0</v>
      </c>
      <c r="M444" s="31">
        <f t="shared" si="96"/>
        <v>4734.95</v>
      </c>
      <c r="N444" s="31">
        <f t="shared" si="96"/>
        <v>17182022.680000003</v>
      </c>
      <c r="O444" s="31">
        <f t="shared" si="96"/>
        <v>0</v>
      </c>
      <c r="P444" s="31">
        <f t="shared" si="96"/>
        <v>0</v>
      </c>
      <c r="Q444" s="31">
        <f t="shared" si="96"/>
        <v>0</v>
      </c>
      <c r="R444" s="31">
        <f t="shared" si="96"/>
        <v>0</v>
      </c>
      <c r="S444" s="31">
        <f t="shared" si="96"/>
        <v>0</v>
      </c>
      <c r="T444" s="31">
        <f t="shared" si="96"/>
        <v>0</v>
      </c>
      <c r="U444" s="31">
        <f t="shared" si="96"/>
        <v>0</v>
      </c>
      <c r="V444" s="31">
        <f t="shared" si="96"/>
        <v>0</v>
      </c>
      <c r="W444" s="31">
        <f t="shared" si="96"/>
        <v>0</v>
      </c>
      <c r="X444" s="31">
        <f t="shared" si="96"/>
        <v>0</v>
      </c>
      <c r="Y444" s="31">
        <f t="shared" si="96"/>
        <v>0</v>
      </c>
      <c r="Z444" s="31">
        <f t="shared" si="96"/>
        <v>0</v>
      </c>
      <c r="AA444" s="31">
        <f t="shared" si="96"/>
        <v>0</v>
      </c>
      <c r="AB444" s="31">
        <f t="shared" si="96"/>
        <v>0</v>
      </c>
      <c r="AC444" s="31">
        <f t="shared" si="96"/>
        <v>252364.16999999998</v>
      </c>
      <c r="AD444" s="31">
        <f t="shared" si="96"/>
        <v>605466.71000000008</v>
      </c>
      <c r="AE444" s="31">
        <f t="shared" si="96"/>
        <v>0</v>
      </c>
      <c r="AF444" s="72" t="s">
        <v>757</v>
      </c>
      <c r="AG444" s="72" t="s">
        <v>757</v>
      </c>
      <c r="AH444" s="87" t="s">
        <v>757</v>
      </c>
      <c r="AT444" s="20" t="e">
        <f>VLOOKUP(C444,AW:AX,2,FALSE)</f>
        <v>#N/A</v>
      </c>
      <c r="BZ444" s="71">
        <v>29961094.709999993</v>
      </c>
      <c r="CD444" s="20" t="e">
        <f t="shared" si="87"/>
        <v>#N/A</v>
      </c>
    </row>
    <row r="445" spans="1:82" ht="61.5" x14ac:dyDescent="0.85">
      <c r="A445" s="20">
        <v>1</v>
      </c>
      <c r="B445" s="66">
        <f>SUBTOTAL(103,$A$22:A445)</f>
        <v>384</v>
      </c>
      <c r="C445" s="24" t="s">
        <v>50</v>
      </c>
      <c r="D445" s="31">
        <f t="shared" ref="D445:D451" si="97">E445+F445+G445+H445+I445+J445+L445+N445+P445+R445+T445+U445+V445+W445+X445+Y445+Z445+AA445+AB445+AC445+AD445+AE445</f>
        <v>5017460.6800000006</v>
      </c>
      <c r="E445" s="31">
        <v>0</v>
      </c>
      <c r="F445" s="31">
        <v>0</v>
      </c>
      <c r="G445" s="31">
        <v>0</v>
      </c>
      <c r="H445" s="31">
        <v>0</v>
      </c>
      <c r="I445" s="31">
        <v>0</v>
      </c>
      <c r="J445" s="31">
        <v>0</v>
      </c>
      <c r="K445" s="74">
        <v>0</v>
      </c>
      <c r="L445" s="31">
        <v>0</v>
      </c>
      <c r="M445" s="31">
        <v>867.3</v>
      </c>
      <c r="N445" s="31">
        <v>4814154.82</v>
      </c>
      <c r="O445" s="31">
        <v>0</v>
      </c>
      <c r="P445" s="31">
        <v>0</v>
      </c>
      <c r="Q445" s="31">
        <v>0</v>
      </c>
      <c r="R445" s="31">
        <v>0</v>
      </c>
      <c r="S445" s="31">
        <v>0</v>
      </c>
      <c r="T445" s="31">
        <v>0</v>
      </c>
      <c r="U445" s="31">
        <v>0</v>
      </c>
      <c r="V445" s="31">
        <v>0</v>
      </c>
      <c r="W445" s="31">
        <v>0</v>
      </c>
      <c r="X445" s="31">
        <v>0</v>
      </c>
      <c r="Y445" s="31">
        <v>0</v>
      </c>
      <c r="Z445" s="31">
        <v>0</v>
      </c>
      <c r="AA445" s="31">
        <v>0</v>
      </c>
      <c r="AB445" s="31">
        <v>0</v>
      </c>
      <c r="AC445" s="31">
        <f t="shared" ref="AC445:AC450" si="98">ROUND(N445*1.5%,2)</f>
        <v>72212.320000000007</v>
      </c>
      <c r="AD445" s="39">
        <v>131093.54</v>
      </c>
      <c r="AE445" s="31">
        <v>0</v>
      </c>
      <c r="AF445" s="34">
        <v>2020</v>
      </c>
      <c r="AG445" s="34">
        <v>2020</v>
      </c>
      <c r="AH445" s="35">
        <v>2020</v>
      </c>
      <c r="AT445" s="20" t="e">
        <v>#N/A</v>
      </c>
      <c r="BZ445" s="71"/>
      <c r="CD445" s="20" t="e">
        <v>#N/A</v>
      </c>
    </row>
    <row r="446" spans="1:82" ht="61.5" x14ac:dyDescent="0.85">
      <c r="A446" s="20">
        <v>1</v>
      </c>
      <c r="B446" s="66">
        <f>SUBTOTAL(103,$A$22:A446)</f>
        <v>385</v>
      </c>
      <c r="C446" s="24" t="s">
        <v>48</v>
      </c>
      <c r="D446" s="31">
        <f t="shared" si="97"/>
        <v>2810575.6300000004</v>
      </c>
      <c r="E446" s="31">
        <v>0</v>
      </c>
      <c r="F446" s="31">
        <v>0</v>
      </c>
      <c r="G446" s="31">
        <v>0</v>
      </c>
      <c r="H446" s="31">
        <v>0</v>
      </c>
      <c r="I446" s="31">
        <v>0</v>
      </c>
      <c r="J446" s="31">
        <v>0</v>
      </c>
      <c r="K446" s="33">
        <v>0</v>
      </c>
      <c r="L446" s="31">
        <v>0</v>
      </c>
      <c r="M446" s="39">
        <v>652.70000000000005</v>
      </c>
      <c r="N446" s="39">
        <v>2689261</v>
      </c>
      <c r="O446" s="31">
        <v>0</v>
      </c>
      <c r="P446" s="31">
        <v>0</v>
      </c>
      <c r="Q446" s="31">
        <v>0</v>
      </c>
      <c r="R446" s="31">
        <v>0</v>
      </c>
      <c r="S446" s="31">
        <v>0</v>
      </c>
      <c r="T446" s="31">
        <v>0</v>
      </c>
      <c r="U446" s="31">
        <v>0</v>
      </c>
      <c r="V446" s="31">
        <v>0</v>
      </c>
      <c r="W446" s="31">
        <v>0</v>
      </c>
      <c r="X446" s="31">
        <v>0</v>
      </c>
      <c r="Y446" s="31">
        <v>0</v>
      </c>
      <c r="Z446" s="31">
        <v>0</v>
      </c>
      <c r="AA446" s="31">
        <v>0</v>
      </c>
      <c r="AB446" s="31">
        <v>0</v>
      </c>
      <c r="AC446" s="39">
        <v>37716.89</v>
      </c>
      <c r="AD446" s="39">
        <v>83597.740000000005</v>
      </c>
      <c r="AE446" s="31">
        <v>0</v>
      </c>
      <c r="AF446" s="34">
        <v>2020</v>
      </c>
      <c r="AG446" s="34">
        <v>2020</v>
      </c>
      <c r="AH446" s="35">
        <v>2020</v>
      </c>
      <c r="AT446" s="20" t="e">
        <f>VLOOKUP(C446,AW:AX,2,FALSE)</f>
        <v>#N/A</v>
      </c>
      <c r="BZ446" s="71"/>
      <c r="CD446" s="20" t="e">
        <f t="shared" ref="CD446:CD477" si="99">VLOOKUP(C446,CE:CF,2,FALSE)</f>
        <v>#N/A</v>
      </c>
    </row>
    <row r="447" spans="1:82" ht="61.5" x14ac:dyDescent="0.85">
      <c r="A447" s="20">
        <v>1</v>
      </c>
      <c r="B447" s="66">
        <f>SUBTOTAL(103,$A$22:A447)</f>
        <v>386</v>
      </c>
      <c r="C447" s="24" t="s">
        <v>49</v>
      </c>
      <c r="D447" s="31">
        <f t="shared" si="97"/>
        <v>131037.61</v>
      </c>
      <c r="E447" s="31">
        <v>0</v>
      </c>
      <c r="F447" s="31">
        <v>0</v>
      </c>
      <c r="G447" s="31">
        <v>0</v>
      </c>
      <c r="H447" s="31">
        <v>0</v>
      </c>
      <c r="I447" s="31">
        <v>0</v>
      </c>
      <c r="J447" s="31">
        <v>0</v>
      </c>
      <c r="K447" s="33">
        <v>0</v>
      </c>
      <c r="L447" s="31">
        <v>0</v>
      </c>
      <c r="M447" s="31">
        <v>0</v>
      </c>
      <c r="N447" s="31">
        <v>0</v>
      </c>
      <c r="O447" s="31">
        <v>0</v>
      </c>
      <c r="P447" s="31">
        <v>0</v>
      </c>
      <c r="Q447" s="31">
        <v>0</v>
      </c>
      <c r="R447" s="31">
        <v>0</v>
      </c>
      <c r="S447" s="31">
        <v>0</v>
      </c>
      <c r="T447" s="31">
        <v>0</v>
      </c>
      <c r="U447" s="31">
        <v>0</v>
      </c>
      <c r="V447" s="31">
        <v>0</v>
      </c>
      <c r="W447" s="31">
        <v>0</v>
      </c>
      <c r="X447" s="31">
        <v>0</v>
      </c>
      <c r="Y447" s="31">
        <v>0</v>
      </c>
      <c r="Z447" s="31">
        <v>0</v>
      </c>
      <c r="AA447" s="31">
        <v>0</v>
      </c>
      <c r="AB447" s="31">
        <v>0</v>
      </c>
      <c r="AC447" s="31">
        <f t="shared" si="98"/>
        <v>0</v>
      </c>
      <c r="AD447" s="39">
        <v>131037.61</v>
      </c>
      <c r="AE447" s="31">
        <v>0</v>
      </c>
      <c r="AF447" s="34">
        <v>2020</v>
      </c>
      <c r="AG447" s="34" t="s">
        <v>270</v>
      </c>
      <c r="AH447" s="34" t="s">
        <v>270</v>
      </c>
      <c r="AT447" s="20">
        <f>VLOOKUP(C447,AW:AX,2,FALSE)</f>
        <v>1</v>
      </c>
      <c r="BZ447" s="71"/>
      <c r="CD447" s="20" t="e">
        <f t="shared" si="99"/>
        <v>#N/A</v>
      </c>
    </row>
    <row r="448" spans="1:82" ht="61.5" x14ac:dyDescent="0.85">
      <c r="A448" s="20">
        <v>1</v>
      </c>
      <c r="B448" s="66">
        <f>SUBTOTAL(103,$A$22:A448)</f>
        <v>387</v>
      </c>
      <c r="C448" s="24" t="s">
        <v>51</v>
      </c>
      <c r="D448" s="31">
        <f t="shared" si="97"/>
        <v>2938871.62</v>
      </c>
      <c r="E448" s="31">
        <v>0</v>
      </c>
      <c r="F448" s="31">
        <v>0</v>
      </c>
      <c r="G448" s="31">
        <v>0</v>
      </c>
      <c r="H448" s="31">
        <v>0</v>
      </c>
      <c r="I448" s="31">
        <v>0</v>
      </c>
      <c r="J448" s="31">
        <v>0</v>
      </c>
      <c r="K448" s="33">
        <v>0</v>
      </c>
      <c r="L448" s="31">
        <v>0</v>
      </c>
      <c r="M448" s="39">
        <v>681</v>
      </c>
      <c r="N448" s="39">
        <v>2814506</v>
      </c>
      <c r="O448" s="31">
        <v>0</v>
      </c>
      <c r="P448" s="31">
        <v>0</v>
      </c>
      <c r="Q448" s="31">
        <v>0</v>
      </c>
      <c r="R448" s="31">
        <v>0</v>
      </c>
      <c r="S448" s="31">
        <v>0</v>
      </c>
      <c r="T448" s="31">
        <v>0</v>
      </c>
      <c r="U448" s="31">
        <v>0</v>
      </c>
      <c r="V448" s="31">
        <v>0</v>
      </c>
      <c r="W448" s="31">
        <v>0</v>
      </c>
      <c r="X448" s="31">
        <v>0</v>
      </c>
      <c r="Y448" s="31">
        <v>0</v>
      </c>
      <c r="Z448" s="31">
        <v>0</v>
      </c>
      <c r="AA448" s="31">
        <v>0</v>
      </c>
      <c r="AB448" s="31">
        <v>0</v>
      </c>
      <c r="AC448" s="39">
        <v>39473.449999999997</v>
      </c>
      <c r="AD448" s="39">
        <v>84892.17</v>
      </c>
      <c r="AE448" s="31">
        <v>0</v>
      </c>
      <c r="AF448" s="34">
        <v>2020</v>
      </c>
      <c r="AG448" s="34">
        <v>2020</v>
      </c>
      <c r="AH448" s="35">
        <v>2020</v>
      </c>
      <c r="AT448" s="20" t="e">
        <f>VLOOKUP(C448,AW:AX,2,FALSE)</f>
        <v>#N/A</v>
      </c>
      <c r="BZ448" s="71"/>
      <c r="CD448" s="20" t="e">
        <f t="shared" si="99"/>
        <v>#N/A</v>
      </c>
    </row>
    <row r="449" spans="1:82" ht="61.5" x14ac:dyDescent="0.85">
      <c r="A449" s="20">
        <v>1</v>
      </c>
      <c r="B449" s="66">
        <f>SUBTOTAL(103,$A$22:A449)</f>
        <v>388</v>
      </c>
      <c r="C449" s="24" t="s">
        <v>1249</v>
      </c>
      <c r="D449" s="31">
        <f t="shared" si="97"/>
        <v>2250403.9200000004</v>
      </c>
      <c r="E449" s="31">
        <v>0</v>
      </c>
      <c r="F449" s="31">
        <v>0</v>
      </c>
      <c r="G449" s="31">
        <v>0</v>
      </c>
      <c r="H449" s="31">
        <v>0</v>
      </c>
      <c r="I449" s="31">
        <v>0</v>
      </c>
      <c r="J449" s="31">
        <v>0</v>
      </c>
      <c r="K449" s="33">
        <v>0</v>
      </c>
      <c r="L449" s="31">
        <v>0</v>
      </c>
      <c r="M449" s="39">
        <v>678.5</v>
      </c>
      <c r="N449" s="39">
        <v>2217146.7200000002</v>
      </c>
      <c r="O449" s="31">
        <v>0</v>
      </c>
      <c r="P449" s="31">
        <v>0</v>
      </c>
      <c r="Q449" s="31">
        <v>0</v>
      </c>
      <c r="R449" s="31">
        <v>0</v>
      </c>
      <c r="S449" s="31">
        <v>0</v>
      </c>
      <c r="T449" s="31">
        <v>0</v>
      </c>
      <c r="U449" s="31">
        <v>0</v>
      </c>
      <c r="V449" s="31">
        <v>0</v>
      </c>
      <c r="W449" s="31">
        <v>0</v>
      </c>
      <c r="X449" s="31">
        <v>0</v>
      </c>
      <c r="Y449" s="31">
        <v>0</v>
      </c>
      <c r="Z449" s="31">
        <v>0</v>
      </c>
      <c r="AA449" s="31">
        <v>0</v>
      </c>
      <c r="AB449" s="31">
        <v>0</v>
      </c>
      <c r="AC449" s="31">
        <f t="shared" si="98"/>
        <v>33257.199999999997</v>
      </c>
      <c r="AD449" s="31">
        <v>0</v>
      </c>
      <c r="AE449" s="31">
        <v>0</v>
      </c>
      <c r="AF449" s="34" t="s">
        <v>270</v>
      </c>
      <c r="AG449" s="34">
        <v>2020</v>
      </c>
      <c r="AH449" s="35">
        <v>2020</v>
      </c>
      <c r="BZ449" s="71"/>
      <c r="CD449" s="20">
        <f t="shared" si="99"/>
        <v>678.5</v>
      </c>
    </row>
    <row r="450" spans="1:82" ht="61.5" x14ac:dyDescent="0.85">
      <c r="A450" s="20">
        <v>1</v>
      </c>
      <c r="B450" s="66">
        <f>SUBTOTAL(103,$A$22:A450)</f>
        <v>389</v>
      </c>
      <c r="C450" s="24" t="s">
        <v>1250</v>
      </c>
      <c r="D450" s="31">
        <f t="shared" si="97"/>
        <v>2695968.78</v>
      </c>
      <c r="E450" s="31">
        <v>0</v>
      </c>
      <c r="F450" s="31">
        <v>0</v>
      </c>
      <c r="G450" s="31">
        <v>0</v>
      </c>
      <c r="H450" s="31">
        <v>0</v>
      </c>
      <c r="I450" s="31">
        <v>0</v>
      </c>
      <c r="J450" s="31">
        <v>0</v>
      </c>
      <c r="K450" s="33">
        <v>0</v>
      </c>
      <c r="L450" s="31">
        <v>0</v>
      </c>
      <c r="M450" s="39">
        <v>1273.99</v>
      </c>
      <c r="N450" s="39">
        <v>2656126.88</v>
      </c>
      <c r="O450" s="31">
        <v>0</v>
      </c>
      <c r="P450" s="31">
        <v>0</v>
      </c>
      <c r="Q450" s="31">
        <v>0</v>
      </c>
      <c r="R450" s="31">
        <v>0</v>
      </c>
      <c r="S450" s="31">
        <v>0</v>
      </c>
      <c r="T450" s="31">
        <v>0</v>
      </c>
      <c r="U450" s="31">
        <v>0</v>
      </c>
      <c r="V450" s="31">
        <v>0</v>
      </c>
      <c r="W450" s="31">
        <v>0</v>
      </c>
      <c r="X450" s="31">
        <v>0</v>
      </c>
      <c r="Y450" s="31">
        <v>0</v>
      </c>
      <c r="Z450" s="31">
        <v>0</v>
      </c>
      <c r="AA450" s="31">
        <v>0</v>
      </c>
      <c r="AB450" s="31">
        <v>0</v>
      </c>
      <c r="AC450" s="31">
        <f t="shared" si="98"/>
        <v>39841.9</v>
      </c>
      <c r="AD450" s="31">
        <v>0</v>
      </c>
      <c r="AE450" s="31">
        <v>0</v>
      </c>
      <c r="AF450" s="34" t="s">
        <v>270</v>
      </c>
      <c r="AG450" s="34">
        <v>2020</v>
      </c>
      <c r="AH450" s="35">
        <v>2020</v>
      </c>
      <c r="BZ450" s="71"/>
      <c r="CD450" s="20">
        <f t="shared" si="99"/>
        <v>1278.8</v>
      </c>
    </row>
    <row r="451" spans="1:82" ht="61.5" x14ac:dyDescent="0.85">
      <c r="A451" s="20">
        <v>1</v>
      </c>
      <c r="B451" s="66">
        <f>SUBTOTAL(103,$A$22:A451)</f>
        <v>390</v>
      </c>
      <c r="C451" s="24" t="s">
        <v>1252</v>
      </c>
      <c r="D451" s="31">
        <f t="shared" si="97"/>
        <v>800120.67999999993</v>
      </c>
      <c r="E451" s="31">
        <v>0</v>
      </c>
      <c r="F451" s="31">
        <v>0</v>
      </c>
      <c r="G451" s="31">
        <v>0</v>
      </c>
      <c r="H451" s="31">
        <v>0</v>
      </c>
      <c r="I451" s="31">
        <v>0</v>
      </c>
      <c r="J451" s="31">
        <v>0</v>
      </c>
      <c r="K451" s="33">
        <v>0</v>
      </c>
      <c r="L451" s="31">
        <v>0</v>
      </c>
      <c r="M451" s="39">
        <v>234</v>
      </c>
      <c r="N451" s="39">
        <v>788296.24</v>
      </c>
      <c r="O451" s="31">
        <v>0</v>
      </c>
      <c r="P451" s="31">
        <v>0</v>
      </c>
      <c r="Q451" s="31">
        <v>0</v>
      </c>
      <c r="R451" s="31">
        <v>0</v>
      </c>
      <c r="S451" s="31">
        <v>0</v>
      </c>
      <c r="T451" s="31">
        <v>0</v>
      </c>
      <c r="U451" s="31">
        <v>0</v>
      </c>
      <c r="V451" s="31">
        <v>0</v>
      </c>
      <c r="W451" s="31">
        <v>0</v>
      </c>
      <c r="X451" s="31">
        <v>0</v>
      </c>
      <c r="Y451" s="31">
        <v>0</v>
      </c>
      <c r="Z451" s="31">
        <v>0</v>
      </c>
      <c r="AA451" s="31">
        <v>0</v>
      </c>
      <c r="AB451" s="31">
        <v>0</v>
      </c>
      <c r="AC451" s="31">
        <f>ROUND(N451*1.5%,2)</f>
        <v>11824.44</v>
      </c>
      <c r="AD451" s="31">
        <v>0</v>
      </c>
      <c r="AE451" s="31">
        <v>0</v>
      </c>
      <c r="AF451" s="34" t="s">
        <v>270</v>
      </c>
      <c r="AG451" s="34">
        <v>2020</v>
      </c>
      <c r="AH451" s="35">
        <v>2020</v>
      </c>
      <c r="BZ451" s="71"/>
      <c r="CD451" s="20">
        <f t="shared" si="99"/>
        <v>225.04</v>
      </c>
    </row>
    <row r="452" spans="1:82" ht="61.5" x14ac:dyDescent="0.85">
      <c r="A452" s="20">
        <v>1</v>
      </c>
      <c r="B452" s="66">
        <f>SUBTOTAL(103,$A$22:A452)</f>
        <v>391</v>
      </c>
      <c r="C452" s="24" t="s">
        <v>1253</v>
      </c>
      <c r="D452" s="31">
        <f t="shared" ref="D452" si="100">E452+F452+G452+H452+I452+J452+L452+N452+P452+R452+T452+U452+V452+W452+X452+Y452+Z452+AA452+AB452+AC452+AD452+AE452</f>
        <v>1220568.99</v>
      </c>
      <c r="E452" s="31">
        <v>0</v>
      </c>
      <c r="F452" s="31">
        <v>0</v>
      </c>
      <c r="G452" s="31">
        <v>0</v>
      </c>
      <c r="H452" s="31">
        <v>0</v>
      </c>
      <c r="I452" s="31">
        <v>0</v>
      </c>
      <c r="J452" s="31">
        <v>0</v>
      </c>
      <c r="K452" s="33">
        <v>0</v>
      </c>
      <c r="L452" s="31">
        <v>0</v>
      </c>
      <c r="M452" s="39">
        <v>347.46</v>
      </c>
      <c r="N452" s="39">
        <v>1202531.02</v>
      </c>
      <c r="O452" s="31">
        <v>0</v>
      </c>
      <c r="P452" s="31">
        <v>0</v>
      </c>
      <c r="Q452" s="31">
        <v>0</v>
      </c>
      <c r="R452" s="31">
        <v>0</v>
      </c>
      <c r="S452" s="31">
        <v>0</v>
      </c>
      <c r="T452" s="31">
        <v>0</v>
      </c>
      <c r="U452" s="31">
        <v>0</v>
      </c>
      <c r="V452" s="31">
        <v>0</v>
      </c>
      <c r="W452" s="31">
        <v>0</v>
      </c>
      <c r="X452" s="31">
        <v>0</v>
      </c>
      <c r="Y452" s="31">
        <v>0</v>
      </c>
      <c r="Z452" s="31">
        <v>0</v>
      </c>
      <c r="AA452" s="31">
        <v>0</v>
      </c>
      <c r="AB452" s="31">
        <v>0</v>
      </c>
      <c r="AC452" s="31">
        <f>ROUND(N452*1.5%,2)</f>
        <v>18037.97</v>
      </c>
      <c r="AD452" s="31">
        <v>0</v>
      </c>
      <c r="AE452" s="31">
        <v>0</v>
      </c>
      <c r="AF452" s="34" t="s">
        <v>270</v>
      </c>
      <c r="AG452" s="34">
        <v>2020</v>
      </c>
      <c r="AH452" s="35">
        <v>2020</v>
      </c>
      <c r="BZ452" s="71"/>
      <c r="CD452" s="20">
        <f t="shared" si="99"/>
        <v>337</v>
      </c>
    </row>
    <row r="453" spans="1:82" ht="61.5" x14ac:dyDescent="0.85">
      <c r="A453" s="20">
        <v>1</v>
      </c>
      <c r="B453" s="66">
        <f>SUBTOTAL(103,$A$22:A453)</f>
        <v>392</v>
      </c>
      <c r="C453" s="24" t="s">
        <v>58</v>
      </c>
      <c r="D453" s="31">
        <f>E453+F453+G453+H453+I453+J453+L453+N453+P453+R453+T453+U453+V453+W453+X453+Y453+Z453+AA453+AB453+AC453+AD453+AE453</f>
        <v>87656.1</v>
      </c>
      <c r="E453" s="31">
        <v>0</v>
      </c>
      <c r="F453" s="31">
        <v>0</v>
      </c>
      <c r="G453" s="31">
        <v>0</v>
      </c>
      <c r="H453" s="31">
        <v>0</v>
      </c>
      <c r="I453" s="31">
        <v>0</v>
      </c>
      <c r="J453" s="31">
        <v>0</v>
      </c>
      <c r="K453" s="74">
        <v>0</v>
      </c>
      <c r="L453" s="31">
        <v>0</v>
      </c>
      <c r="M453" s="31">
        <v>0</v>
      </c>
      <c r="N453" s="31">
        <v>0</v>
      </c>
      <c r="O453" s="31">
        <v>0</v>
      </c>
      <c r="P453" s="31">
        <v>0</v>
      </c>
      <c r="Q453" s="31">
        <v>0</v>
      </c>
      <c r="R453" s="31">
        <v>0</v>
      </c>
      <c r="S453" s="31">
        <v>0</v>
      </c>
      <c r="T453" s="31">
        <v>0</v>
      </c>
      <c r="U453" s="31">
        <v>0</v>
      </c>
      <c r="V453" s="31">
        <v>0</v>
      </c>
      <c r="W453" s="31">
        <v>0</v>
      </c>
      <c r="X453" s="31">
        <v>0</v>
      </c>
      <c r="Y453" s="31">
        <v>0</v>
      </c>
      <c r="Z453" s="31">
        <v>0</v>
      </c>
      <c r="AA453" s="31">
        <v>0</v>
      </c>
      <c r="AB453" s="31">
        <v>0</v>
      </c>
      <c r="AC453" s="31">
        <f>ROUND(N453*1.5%,2)</f>
        <v>0</v>
      </c>
      <c r="AD453" s="31">
        <v>87656.1</v>
      </c>
      <c r="AE453" s="31">
        <v>0</v>
      </c>
      <c r="AF453" s="34">
        <v>2020</v>
      </c>
      <c r="AG453" s="34" t="s">
        <v>270</v>
      </c>
      <c r="AH453" s="34" t="s">
        <v>270</v>
      </c>
      <c r="AT453" s="20" t="e">
        <f>VLOOKUP(C453,AW:AX,2,FALSE)</f>
        <v>#N/A</v>
      </c>
      <c r="BZ453" s="71"/>
      <c r="CD453" s="20" t="e">
        <f t="shared" si="99"/>
        <v>#N/A</v>
      </c>
    </row>
    <row r="454" spans="1:82" ht="61.5" x14ac:dyDescent="0.85">
      <c r="A454" s="20">
        <v>1</v>
      </c>
      <c r="B454" s="66">
        <f>SUBTOTAL(103,$A$22:A454)</f>
        <v>393</v>
      </c>
      <c r="C454" s="24" t="s">
        <v>59</v>
      </c>
      <c r="D454" s="31">
        <f>E454+F454+G454+H454+I454+J454+L454+N454+P454+R454+T454+U454+V454+W454+X454+Y454+Z454+AA454+AB454+AC454+AD454+AE454</f>
        <v>87189.55</v>
      </c>
      <c r="E454" s="31">
        <v>0</v>
      </c>
      <c r="F454" s="31">
        <v>0</v>
      </c>
      <c r="G454" s="31">
        <v>0</v>
      </c>
      <c r="H454" s="31">
        <v>0</v>
      </c>
      <c r="I454" s="31">
        <v>0</v>
      </c>
      <c r="J454" s="31">
        <v>0</v>
      </c>
      <c r="K454" s="74">
        <v>0</v>
      </c>
      <c r="L454" s="31">
        <v>0</v>
      </c>
      <c r="M454" s="31">
        <v>0</v>
      </c>
      <c r="N454" s="31">
        <v>0</v>
      </c>
      <c r="O454" s="31">
        <v>0</v>
      </c>
      <c r="P454" s="31">
        <v>0</v>
      </c>
      <c r="Q454" s="31">
        <v>0</v>
      </c>
      <c r="R454" s="31">
        <v>0</v>
      </c>
      <c r="S454" s="31">
        <v>0</v>
      </c>
      <c r="T454" s="31">
        <v>0</v>
      </c>
      <c r="U454" s="31">
        <v>0</v>
      </c>
      <c r="V454" s="31">
        <v>0</v>
      </c>
      <c r="W454" s="31">
        <v>0</v>
      </c>
      <c r="X454" s="31">
        <v>0</v>
      </c>
      <c r="Y454" s="31">
        <v>0</v>
      </c>
      <c r="Z454" s="31">
        <v>0</v>
      </c>
      <c r="AA454" s="31">
        <v>0</v>
      </c>
      <c r="AB454" s="31">
        <v>0</v>
      </c>
      <c r="AC454" s="31">
        <f>ROUND(N454*1.5%,2)</f>
        <v>0</v>
      </c>
      <c r="AD454" s="31">
        <v>87189.55</v>
      </c>
      <c r="AE454" s="31">
        <v>0</v>
      </c>
      <c r="AF454" s="34">
        <v>2020</v>
      </c>
      <c r="AG454" s="34" t="s">
        <v>270</v>
      </c>
      <c r="AH454" s="34" t="s">
        <v>270</v>
      </c>
      <c r="AT454" s="20" t="e">
        <f>VLOOKUP(C454,AW:AX,2,FALSE)</f>
        <v>#N/A</v>
      </c>
      <c r="BZ454" s="71"/>
      <c r="CD454" s="20" t="e">
        <f t="shared" si="99"/>
        <v>#N/A</v>
      </c>
    </row>
    <row r="455" spans="1:82" ht="61.5" x14ac:dyDescent="0.85">
      <c r="B455" s="24" t="s">
        <v>889</v>
      </c>
      <c r="C455" s="24"/>
      <c r="D455" s="195">
        <f>D456</f>
        <v>3623254.4499999997</v>
      </c>
      <c r="E455" s="31">
        <f t="shared" ref="E455:AE455" si="101">E456</f>
        <v>0</v>
      </c>
      <c r="F455" s="31">
        <f t="shared" si="101"/>
        <v>0</v>
      </c>
      <c r="G455" s="31">
        <f t="shared" si="101"/>
        <v>0</v>
      </c>
      <c r="H455" s="31">
        <f t="shared" si="101"/>
        <v>0</v>
      </c>
      <c r="I455" s="31">
        <f t="shared" si="101"/>
        <v>0</v>
      </c>
      <c r="J455" s="31">
        <f t="shared" si="101"/>
        <v>0</v>
      </c>
      <c r="K455" s="33">
        <f t="shared" si="101"/>
        <v>0</v>
      </c>
      <c r="L455" s="31">
        <f t="shared" si="101"/>
        <v>0</v>
      </c>
      <c r="M455" s="31">
        <f t="shared" si="101"/>
        <v>837.3</v>
      </c>
      <c r="N455" s="31">
        <f t="shared" si="101"/>
        <v>3606600.61</v>
      </c>
      <c r="O455" s="31">
        <f t="shared" si="101"/>
        <v>0</v>
      </c>
      <c r="P455" s="31">
        <f t="shared" si="101"/>
        <v>0</v>
      </c>
      <c r="Q455" s="31">
        <f t="shared" si="101"/>
        <v>0</v>
      </c>
      <c r="R455" s="31">
        <f t="shared" si="101"/>
        <v>0</v>
      </c>
      <c r="S455" s="31">
        <f t="shared" si="101"/>
        <v>0</v>
      </c>
      <c r="T455" s="31">
        <f t="shared" si="101"/>
        <v>0</v>
      </c>
      <c r="U455" s="31">
        <f t="shared" si="101"/>
        <v>0</v>
      </c>
      <c r="V455" s="31">
        <f t="shared" si="101"/>
        <v>0</v>
      </c>
      <c r="W455" s="31">
        <f t="shared" si="101"/>
        <v>0</v>
      </c>
      <c r="X455" s="31">
        <f t="shared" si="101"/>
        <v>0</v>
      </c>
      <c r="Y455" s="31">
        <f t="shared" si="101"/>
        <v>0</v>
      </c>
      <c r="Z455" s="31">
        <f t="shared" si="101"/>
        <v>0</v>
      </c>
      <c r="AA455" s="31">
        <f t="shared" si="101"/>
        <v>0</v>
      </c>
      <c r="AB455" s="31">
        <f t="shared" si="101"/>
        <v>0</v>
      </c>
      <c r="AC455" s="31">
        <f t="shared" si="101"/>
        <v>16653.84</v>
      </c>
      <c r="AD455" s="31">
        <f t="shared" si="101"/>
        <v>0</v>
      </c>
      <c r="AE455" s="31">
        <f t="shared" si="101"/>
        <v>0</v>
      </c>
      <c r="AF455" s="72" t="s">
        <v>757</v>
      </c>
      <c r="AG455" s="72" t="s">
        <v>757</v>
      </c>
      <c r="AH455" s="87" t="s">
        <v>757</v>
      </c>
      <c r="AT455" s="20" t="e">
        <f>VLOOKUP(C455,AW:AX,2,FALSE)</f>
        <v>#N/A</v>
      </c>
      <c r="BZ455" s="71">
        <v>3726576.42</v>
      </c>
      <c r="CD455" s="20" t="e">
        <f t="shared" si="99"/>
        <v>#N/A</v>
      </c>
    </row>
    <row r="456" spans="1:82" ht="61.5" x14ac:dyDescent="0.85">
      <c r="A456" s="20">
        <v>1</v>
      </c>
      <c r="B456" s="66">
        <f>SUBTOTAL(103,$A$22:A456)</f>
        <v>394</v>
      </c>
      <c r="C456" s="24" t="s">
        <v>1562</v>
      </c>
      <c r="D456" s="31">
        <f>E456+F456+G456+H456+I456+J456+L456+N456+P456+R456+T456+U456+V456+W456+X456+Y456+Z456+AA456+AB456+AC456+AD456+AE456</f>
        <v>3623254.4499999997</v>
      </c>
      <c r="E456" s="31">
        <v>0</v>
      </c>
      <c r="F456" s="31">
        <v>0</v>
      </c>
      <c r="G456" s="31">
        <v>0</v>
      </c>
      <c r="H456" s="31">
        <v>0</v>
      </c>
      <c r="I456" s="31">
        <v>0</v>
      </c>
      <c r="J456" s="31">
        <v>0</v>
      </c>
      <c r="K456" s="33">
        <v>0</v>
      </c>
      <c r="L456" s="31">
        <v>0</v>
      </c>
      <c r="M456" s="39">
        <v>837.3</v>
      </c>
      <c r="N456" s="39">
        <v>3606600.61</v>
      </c>
      <c r="O456" s="31">
        <v>0</v>
      </c>
      <c r="P456" s="31">
        <v>0</v>
      </c>
      <c r="Q456" s="31">
        <v>0</v>
      </c>
      <c r="R456" s="31">
        <v>0</v>
      </c>
      <c r="S456" s="31">
        <v>0</v>
      </c>
      <c r="T456" s="31">
        <v>0</v>
      </c>
      <c r="U456" s="31">
        <v>0</v>
      </c>
      <c r="V456" s="31">
        <v>0</v>
      </c>
      <c r="W456" s="31">
        <v>0</v>
      </c>
      <c r="X456" s="31">
        <v>0</v>
      </c>
      <c r="Y456" s="31">
        <v>0</v>
      </c>
      <c r="Z456" s="31">
        <v>0</v>
      </c>
      <c r="AA456" s="31">
        <v>0</v>
      </c>
      <c r="AB456" s="31">
        <v>0</v>
      </c>
      <c r="AC456" s="31">
        <v>16653.84</v>
      </c>
      <c r="AD456" s="31">
        <v>0</v>
      </c>
      <c r="AE456" s="31">
        <v>0</v>
      </c>
      <c r="AF456" s="34" t="s">
        <v>270</v>
      </c>
      <c r="AG456" s="34">
        <v>2020</v>
      </c>
      <c r="AH456" s="35">
        <v>2020</v>
      </c>
      <c r="BZ456" s="71"/>
      <c r="CD456" s="20">
        <f t="shared" si="99"/>
        <v>837.3</v>
      </c>
    </row>
    <row r="457" spans="1:82" ht="61.5" x14ac:dyDescent="0.85">
      <c r="B457" s="24" t="s">
        <v>853</v>
      </c>
      <c r="C457" s="108"/>
      <c r="D457" s="195">
        <f>D458</f>
        <v>3515825.94</v>
      </c>
      <c r="E457" s="31">
        <f t="shared" ref="E457:AE457" si="102">E458</f>
        <v>0</v>
      </c>
      <c r="F457" s="31">
        <f t="shared" si="102"/>
        <v>0</v>
      </c>
      <c r="G457" s="31">
        <f t="shared" si="102"/>
        <v>0</v>
      </c>
      <c r="H457" s="31">
        <f t="shared" si="102"/>
        <v>0</v>
      </c>
      <c r="I457" s="31">
        <f t="shared" si="102"/>
        <v>0</v>
      </c>
      <c r="J457" s="31">
        <f t="shared" si="102"/>
        <v>0</v>
      </c>
      <c r="K457" s="33">
        <f t="shared" si="102"/>
        <v>0</v>
      </c>
      <c r="L457" s="31">
        <f t="shared" si="102"/>
        <v>0</v>
      </c>
      <c r="M457" s="31">
        <f t="shared" si="102"/>
        <v>806.42</v>
      </c>
      <c r="N457" s="31">
        <f t="shared" si="102"/>
        <v>3418104.51</v>
      </c>
      <c r="O457" s="31">
        <f t="shared" si="102"/>
        <v>0</v>
      </c>
      <c r="P457" s="31">
        <f t="shared" si="102"/>
        <v>0</v>
      </c>
      <c r="Q457" s="31">
        <f t="shared" si="102"/>
        <v>0</v>
      </c>
      <c r="R457" s="31">
        <f t="shared" si="102"/>
        <v>0</v>
      </c>
      <c r="S457" s="31">
        <f t="shared" si="102"/>
        <v>0</v>
      </c>
      <c r="T457" s="31">
        <f t="shared" si="102"/>
        <v>0</v>
      </c>
      <c r="U457" s="31">
        <f t="shared" si="102"/>
        <v>0</v>
      </c>
      <c r="V457" s="31">
        <f t="shared" si="102"/>
        <v>0</v>
      </c>
      <c r="W457" s="31">
        <f t="shared" si="102"/>
        <v>0</v>
      </c>
      <c r="X457" s="31">
        <f t="shared" si="102"/>
        <v>0</v>
      </c>
      <c r="Y457" s="31">
        <f t="shared" si="102"/>
        <v>0</v>
      </c>
      <c r="Z457" s="31">
        <f t="shared" si="102"/>
        <v>0</v>
      </c>
      <c r="AA457" s="31">
        <f t="shared" si="102"/>
        <v>0</v>
      </c>
      <c r="AB457" s="31">
        <f t="shared" si="102"/>
        <v>0</v>
      </c>
      <c r="AC457" s="31">
        <f t="shared" si="102"/>
        <v>34608.31</v>
      </c>
      <c r="AD457" s="31">
        <f t="shared" si="102"/>
        <v>63113.120000000003</v>
      </c>
      <c r="AE457" s="31">
        <f t="shared" si="102"/>
        <v>0</v>
      </c>
      <c r="AF457" s="72" t="s">
        <v>757</v>
      </c>
      <c r="AG457" s="72" t="s">
        <v>757</v>
      </c>
      <c r="AH457" s="87" t="s">
        <v>757</v>
      </c>
      <c r="AT457" s="20" t="e">
        <f>VLOOKUP(C457,AW:AX,2,FALSE)</f>
        <v>#N/A</v>
      </c>
      <c r="BZ457" s="71">
        <v>5198352.66</v>
      </c>
      <c r="CD457" s="20" t="e">
        <f t="shared" si="99"/>
        <v>#N/A</v>
      </c>
    </row>
    <row r="458" spans="1:82" ht="61.5" x14ac:dyDescent="0.85">
      <c r="A458" s="20">
        <v>1</v>
      </c>
      <c r="B458" s="66">
        <f>SUBTOTAL(103,$A$22:A458)</f>
        <v>395</v>
      </c>
      <c r="C458" s="24" t="s">
        <v>228</v>
      </c>
      <c r="D458" s="31">
        <f>E458+F458+G458+H458+I458+J458+L458+N458+P458+R458+T458+U458+V458+W458+X458+Y458+Z458+AA458+AB458+AC458+AD458+AE458</f>
        <v>3515825.94</v>
      </c>
      <c r="E458" s="31">
        <v>0</v>
      </c>
      <c r="F458" s="31">
        <v>0</v>
      </c>
      <c r="G458" s="31">
        <v>0</v>
      </c>
      <c r="H458" s="31">
        <v>0</v>
      </c>
      <c r="I458" s="31">
        <v>0</v>
      </c>
      <c r="J458" s="31">
        <v>0</v>
      </c>
      <c r="K458" s="33">
        <v>0</v>
      </c>
      <c r="L458" s="31">
        <v>0</v>
      </c>
      <c r="M458" s="39">
        <v>806.42</v>
      </c>
      <c r="N458" s="179">
        <v>3418104.51</v>
      </c>
      <c r="O458" s="31">
        <v>0</v>
      </c>
      <c r="P458" s="31">
        <v>0</v>
      </c>
      <c r="Q458" s="31">
        <v>0</v>
      </c>
      <c r="R458" s="31">
        <v>0</v>
      </c>
      <c r="S458" s="31">
        <v>0</v>
      </c>
      <c r="T458" s="31">
        <v>0</v>
      </c>
      <c r="U458" s="31">
        <v>0</v>
      </c>
      <c r="V458" s="31">
        <v>0</v>
      </c>
      <c r="W458" s="31">
        <v>0</v>
      </c>
      <c r="X458" s="31">
        <v>0</v>
      </c>
      <c r="Y458" s="31">
        <v>0</v>
      </c>
      <c r="Z458" s="31">
        <v>0</v>
      </c>
      <c r="AA458" s="31">
        <v>0</v>
      </c>
      <c r="AB458" s="31">
        <v>0</v>
      </c>
      <c r="AC458" s="39">
        <v>34608.31</v>
      </c>
      <c r="AD458" s="39">
        <v>63113.120000000003</v>
      </c>
      <c r="AE458" s="31">
        <v>0</v>
      </c>
      <c r="AF458" s="34">
        <v>2020</v>
      </c>
      <c r="AG458" s="34">
        <v>2020</v>
      </c>
      <c r="AH458" s="35">
        <v>2020</v>
      </c>
      <c r="AT458" s="20" t="e">
        <f>VLOOKUP(C458,AW:AX,2,FALSE)</f>
        <v>#N/A</v>
      </c>
      <c r="BZ458" s="71"/>
      <c r="CD458" s="20">
        <f t="shared" si="99"/>
        <v>806.38</v>
      </c>
    </row>
    <row r="459" spans="1:82" ht="61.5" x14ac:dyDescent="0.85">
      <c r="B459" s="24" t="s">
        <v>854</v>
      </c>
      <c r="C459" s="24"/>
      <c r="D459" s="195">
        <f t="shared" ref="D459:AE459" si="103">D460</f>
        <v>1371104.41</v>
      </c>
      <c r="E459" s="31">
        <f t="shared" si="103"/>
        <v>0</v>
      </c>
      <c r="F459" s="31">
        <f t="shared" si="103"/>
        <v>0</v>
      </c>
      <c r="G459" s="31">
        <f t="shared" si="103"/>
        <v>0</v>
      </c>
      <c r="H459" s="31">
        <f t="shared" si="103"/>
        <v>0</v>
      </c>
      <c r="I459" s="31">
        <f t="shared" si="103"/>
        <v>0</v>
      </c>
      <c r="J459" s="31">
        <f t="shared" si="103"/>
        <v>0</v>
      </c>
      <c r="K459" s="33">
        <f t="shared" si="103"/>
        <v>0</v>
      </c>
      <c r="L459" s="31">
        <f t="shared" si="103"/>
        <v>0</v>
      </c>
      <c r="M459" s="31">
        <f t="shared" si="103"/>
        <v>302</v>
      </c>
      <c r="N459" s="31">
        <f t="shared" si="103"/>
        <v>1318463.79</v>
      </c>
      <c r="O459" s="31">
        <f t="shared" si="103"/>
        <v>0</v>
      </c>
      <c r="P459" s="31">
        <f t="shared" si="103"/>
        <v>0</v>
      </c>
      <c r="Q459" s="31">
        <f t="shared" si="103"/>
        <v>0</v>
      </c>
      <c r="R459" s="31">
        <f t="shared" si="103"/>
        <v>0</v>
      </c>
      <c r="S459" s="31">
        <f t="shared" si="103"/>
        <v>0</v>
      </c>
      <c r="T459" s="31">
        <f t="shared" si="103"/>
        <v>0</v>
      </c>
      <c r="U459" s="31">
        <f t="shared" si="103"/>
        <v>0</v>
      </c>
      <c r="V459" s="31">
        <f t="shared" si="103"/>
        <v>0</v>
      </c>
      <c r="W459" s="31">
        <f t="shared" si="103"/>
        <v>0</v>
      </c>
      <c r="X459" s="31">
        <f t="shared" si="103"/>
        <v>0</v>
      </c>
      <c r="Y459" s="31">
        <f t="shared" si="103"/>
        <v>0</v>
      </c>
      <c r="Z459" s="31">
        <f t="shared" si="103"/>
        <v>0</v>
      </c>
      <c r="AA459" s="31">
        <f t="shared" si="103"/>
        <v>0</v>
      </c>
      <c r="AB459" s="31">
        <f t="shared" si="103"/>
        <v>0</v>
      </c>
      <c r="AC459" s="31">
        <f t="shared" si="103"/>
        <v>13349.45</v>
      </c>
      <c r="AD459" s="31">
        <f t="shared" si="103"/>
        <v>39291.17</v>
      </c>
      <c r="AE459" s="31">
        <f t="shared" si="103"/>
        <v>0</v>
      </c>
      <c r="AF459" s="72" t="s">
        <v>757</v>
      </c>
      <c r="AG459" s="72" t="s">
        <v>757</v>
      </c>
      <c r="AH459" s="87" t="s">
        <v>757</v>
      </c>
      <c r="AT459" s="20" t="e">
        <f>VLOOKUP(C459,AW:AX,2,FALSE)</f>
        <v>#N/A</v>
      </c>
      <c r="BZ459" s="71">
        <v>1821119.2799999998</v>
      </c>
      <c r="CD459" s="20" t="e">
        <f t="shared" si="99"/>
        <v>#N/A</v>
      </c>
    </row>
    <row r="460" spans="1:82" ht="61.5" x14ac:dyDescent="0.85">
      <c r="A460" s="20">
        <v>1</v>
      </c>
      <c r="B460" s="66">
        <f>SUBTOTAL(103,$A$22:A460)</f>
        <v>396</v>
      </c>
      <c r="C460" s="24" t="s">
        <v>231</v>
      </c>
      <c r="D460" s="31">
        <f>E460+F460+G460+H460+I460+J460+L460+N460+P460+R460+T460+U460+V460+W460+X460+Y460+Z460+AA460+AB460+AC460+AD460+AE460</f>
        <v>1371104.41</v>
      </c>
      <c r="E460" s="31">
        <v>0</v>
      </c>
      <c r="F460" s="31">
        <v>0</v>
      </c>
      <c r="G460" s="31">
        <v>0</v>
      </c>
      <c r="H460" s="31">
        <v>0</v>
      </c>
      <c r="I460" s="31">
        <v>0</v>
      </c>
      <c r="J460" s="31">
        <v>0</v>
      </c>
      <c r="K460" s="33">
        <v>0</v>
      </c>
      <c r="L460" s="31">
        <v>0</v>
      </c>
      <c r="M460" s="39">
        <v>302</v>
      </c>
      <c r="N460" s="39">
        <v>1318463.79</v>
      </c>
      <c r="O460" s="31">
        <v>0</v>
      </c>
      <c r="P460" s="31">
        <v>0</v>
      </c>
      <c r="Q460" s="31">
        <v>0</v>
      </c>
      <c r="R460" s="31">
        <v>0</v>
      </c>
      <c r="S460" s="31">
        <v>0</v>
      </c>
      <c r="T460" s="31">
        <v>0</v>
      </c>
      <c r="U460" s="31">
        <v>0</v>
      </c>
      <c r="V460" s="31">
        <v>0</v>
      </c>
      <c r="W460" s="31">
        <v>0</v>
      </c>
      <c r="X460" s="31">
        <v>0</v>
      </c>
      <c r="Y460" s="31">
        <v>0</v>
      </c>
      <c r="Z460" s="31">
        <v>0</v>
      </c>
      <c r="AA460" s="31">
        <v>0</v>
      </c>
      <c r="AB460" s="31">
        <v>0</v>
      </c>
      <c r="AC460" s="179">
        <v>13349.45</v>
      </c>
      <c r="AD460" s="39">
        <v>39291.17</v>
      </c>
      <c r="AE460" s="31">
        <v>0</v>
      </c>
      <c r="AF460" s="34">
        <v>2020</v>
      </c>
      <c r="AG460" s="34">
        <v>2020</v>
      </c>
      <c r="AH460" s="35">
        <v>2020</v>
      </c>
      <c r="AT460" s="20" t="e">
        <f>VLOOKUP(C460,AW:AX,2,FALSE)</f>
        <v>#N/A</v>
      </c>
      <c r="BZ460" s="71"/>
      <c r="CD460" s="20">
        <f t="shared" si="99"/>
        <v>308.60000000000002</v>
      </c>
    </row>
    <row r="461" spans="1:82" ht="61.5" x14ac:dyDescent="0.85">
      <c r="B461" s="24" t="s">
        <v>1295</v>
      </c>
      <c r="C461" s="24"/>
      <c r="D461" s="195">
        <f>D462</f>
        <v>40161.910000000003</v>
      </c>
      <c r="E461" s="31">
        <f t="shared" ref="E461:AE461" si="104">E462</f>
        <v>0</v>
      </c>
      <c r="F461" s="31">
        <f t="shared" si="104"/>
        <v>0</v>
      </c>
      <c r="G461" s="31">
        <f t="shared" si="104"/>
        <v>0</v>
      </c>
      <c r="H461" s="31">
        <f t="shared" si="104"/>
        <v>0</v>
      </c>
      <c r="I461" s="31">
        <f t="shared" si="104"/>
        <v>0</v>
      </c>
      <c r="J461" s="31">
        <f t="shared" si="104"/>
        <v>0</v>
      </c>
      <c r="K461" s="33">
        <f t="shared" si="104"/>
        <v>0</v>
      </c>
      <c r="L461" s="31">
        <f t="shared" si="104"/>
        <v>0</v>
      </c>
      <c r="M461" s="31">
        <f t="shared" si="104"/>
        <v>0</v>
      </c>
      <c r="N461" s="31">
        <f t="shared" si="104"/>
        <v>0</v>
      </c>
      <c r="O461" s="31">
        <f t="shared" si="104"/>
        <v>0</v>
      </c>
      <c r="P461" s="31">
        <f t="shared" si="104"/>
        <v>0</v>
      </c>
      <c r="Q461" s="31">
        <f t="shared" si="104"/>
        <v>0</v>
      </c>
      <c r="R461" s="31">
        <f t="shared" si="104"/>
        <v>0</v>
      </c>
      <c r="S461" s="31">
        <f t="shared" si="104"/>
        <v>0</v>
      </c>
      <c r="T461" s="31">
        <f t="shared" si="104"/>
        <v>0</v>
      </c>
      <c r="U461" s="31">
        <f t="shared" si="104"/>
        <v>0</v>
      </c>
      <c r="V461" s="31">
        <f t="shared" si="104"/>
        <v>0</v>
      </c>
      <c r="W461" s="31">
        <f t="shared" si="104"/>
        <v>0</v>
      </c>
      <c r="X461" s="31">
        <f t="shared" si="104"/>
        <v>0</v>
      </c>
      <c r="Y461" s="31">
        <f t="shared" si="104"/>
        <v>0</v>
      </c>
      <c r="Z461" s="31">
        <f t="shared" si="104"/>
        <v>0</v>
      </c>
      <c r="AA461" s="31">
        <f t="shared" si="104"/>
        <v>0</v>
      </c>
      <c r="AB461" s="31">
        <f t="shared" si="104"/>
        <v>0</v>
      </c>
      <c r="AC461" s="31">
        <f t="shared" si="104"/>
        <v>0</v>
      </c>
      <c r="AD461" s="31">
        <f t="shared" si="104"/>
        <v>40161.910000000003</v>
      </c>
      <c r="AE461" s="31">
        <f t="shared" si="104"/>
        <v>0</v>
      </c>
      <c r="AF461" s="72" t="s">
        <v>757</v>
      </c>
      <c r="AG461" s="72" t="s">
        <v>757</v>
      </c>
      <c r="AH461" s="87" t="s">
        <v>757</v>
      </c>
      <c r="BZ461" s="71">
        <v>4609049.76</v>
      </c>
      <c r="CD461" s="20" t="e">
        <f t="shared" si="99"/>
        <v>#N/A</v>
      </c>
    </row>
    <row r="462" spans="1:82" ht="61.5" x14ac:dyDescent="0.85">
      <c r="A462" s="20">
        <v>1</v>
      </c>
      <c r="B462" s="66">
        <f>SUBTOTAL(103,$A$22:A462)</f>
        <v>397</v>
      </c>
      <c r="C462" s="24" t="s">
        <v>1296</v>
      </c>
      <c r="D462" s="31">
        <f>E462+F462+G462+H462+I462+J462+L462+N462+P462+R462+T462+U462+V462+W462+X462+Y462+Z462+AA462+AB462+AC462+AD462+AE462</f>
        <v>40161.910000000003</v>
      </c>
      <c r="E462" s="31">
        <v>0</v>
      </c>
      <c r="F462" s="31">
        <v>0</v>
      </c>
      <c r="G462" s="31">
        <v>0</v>
      </c>
      <c r="H462" s="31">
        <v>0</v>
      </c>
      <c r="I462" s="31">
        <v>0</v>
      </c>
      <c r="J462" s="31">
        <v>0</v>
      </c>
      <c r="K462" s="33">
        <v>0</v>
      </c>
      <c r="L462" s="31">
        <v>0</v>
      </c>
      <c r="M462" s="31">
        <v>0</v>
      </c>
      <c r="N462" s="31">
        <v>0</v>
      </c>
      <c r="O462" s="31">
        <v>0</v>
      </c>
      <c r="P462" s="31">
        <v>0</v>
      </c>
      <c r="Q462" s="31">
        <v>0</v>
      </c>
      <c r="R462" s="31">
        <v>0</v>
      </c>
      <c r="S462" s="31">
        <v>0</v>
      </c>
      <c r="T462" s="31">
        <v>0</v>
      </c>
      <c r="U462" s="31">
        <v>0</v>
      </c>
      <c r="V462" s="31">
        <v>0</v>
      </c>
      <c r="W462" s="31">
        <v>0</v>
      </c>
      <c r="X462" s="31">
        <v>0</v>
      </c>
      <c r="Y462" s="31">
        <v>0</v>
      </c>
      <c r="Z462" s="31">
        <v>0</v>
      </c>
      <c r="AA462" s="31">
        <v>0</v>
      </c>
      <c r="AB462" s="31">
        <v>0</v>
      </c>
      <c r="AC462" s="31">
        <f>ROUND(N462*1.5%,2)</f>
        <v>0</v>
      </c>
      <c r="AD462" s="39">
        <v>40161.910000000003</v>
      </c>
      <c r="AE462" s="31">
        <v>0</v>
      </c>
      <c r="AF462" s="34">
        <v>2020</v>
      </c>
      <c r="AG462" s="34" t="s">
        <v>270</v>
      </c>
      <c r="AH462" s="34" t="s">
        <v>270</v>
      </c>
      <c r="BZ462" s="71"/>
      <c r="CD462" s="20">
        <f t="shared" si="99"/>
        <v>735</v>
      </c>
    </row>
    <row r="463" spans="1:82" ht="61.5" x14ac:dyDescent="0.85">
      <c r="B463" s="24" t="s">
        <v>855</v>
      </c>
      <c r="C463" s="108"/>
      <c r="D463" s="195">
        <f t="shared" ref="D463:AE463" si="105">D464</f>
        <v>127877.6</v>
      </c>
      <c r="E463" s="31">
        <f t="shared" si="105"/>
        <v>0</v>
      </c>
      <c r="F463" s="31">
        <f t="shared" si="105"/>
        <v>0</v>
      </c>
      <c r="G463" s="31">
        <f t="shared" si="105"/>
        <v>0</v>
      </c>
      <c r="H463" s="31">
        <f t="shared" si="105"/>
        <v>0</v>
      </c>
      <c r="I463" s="31">
        <f t="shared" si="105"/>
        <v>0</v>
      </c>
      <c r="J463" s="31">
        <f t="shared" si="105"/>
        <v>0</v>
      </c>
      <c r="K463" s="33">
        <f t="shared" si="105"/>
        <v>0</v>
      </c>
      <c r="L463" s="31">
        <f t="shared" si="105"/>
        <v>0</v>
      </c>
      <c r="M463" s="31">
        <f t="shared" si="105"/>
        <v>0</v>
      </c>
      <c r="N463" s="31">
        <f t="shared" si="105"/>
        <v>0</v>
      </c>
      <c r="O463" s="31">
        <f t="shared" si="105"/>
        <v>0</v>
      </c>
      <c r="P463" s="31">
        <f t="shared" si="105"/>
        <v>0</v>
      </c>
      <c r="Q463" s="31">
        <f t="shared" si="105"/>
        <v>0</v>
      </c>
      <c r="R463" s="31">
        <f t="shared" si="105"/>
        <v>0</v>
      </c>
      <c r="S463" s="31">
        <f t="shared" si="105"/>
        <v>0</v>
      </c>
      <c r="T463" s="31">
        <f t="shared" si="105"/>
        <v>0</v>
      </c>
      <c r="U463" s="31">
        <f t="shared" si="105"/>
        <v>0</v>
      </c>
      <c r="V463" s="31">
        <f t="shared" si="105"/>
        <v>0</v>
      </c>
      <c r="W463" s="31">
        <f t="shared" si="105"/>
        <v>0</v>
      </c>
      <c r="X463" s="31">
        <f t="shared" si="105"/>
        <v>0</v>
      </c>
      <c r="Y463" s="31">
        <f t="shared" si="105"/>
        <v>0</v>
      </c>
      <c r="Z463" s="31">
        <f t="shared" si="105"/>
        <v>0</v>
      </c>
      <c r="AA463" s="31">
        <f t="shared" si="105"/>
        <v>0</v>
      </c>
      <c r="AB463" s="31">
        <f t="shared" si="105"/>
        <v>0</v>
      </c>
      <c r="AC463" s="31">
        <f t="shared" si="105"/>
        <v>0</v>
      </c>
      <c r="AD463" s="31">
        <f t="shared" si="105"/>
        <v>127877.6</v>
      </c>
      <c r="AE463" s="31">
        <f t="shared" si="105"/>
        <v>0</v>
      </c>
      <c r="AF463" s="72" t="s">
        <v>757</v>
      </c>
      <c r="AG463" s="72" t="s">
        <v>757</v>
      </c>
      <c r="AH463" s="87" t="s">
        <v>757</v>
      </c>
      <c r="AT463" s="20" t="e">
        <f t="shared" ref="AT463:AT469" si="106">VLOOKUP(C463,AW:AX,2,FALSE)</f>
        <v>#N/A</v>
      </c>
      <c r="BZ463" s="71">
        <v>5368567.4000000004</v>
      </c>
      <c r="CD463" s="20" t="e">
        <f t="shared" si="99"/>
        <v>#N/A</v>
      </c>
    </row>
    <row r="464" spans="1:82" ht="61.5" x14ac:dyDescent="0.85">
      <c r="A464" s="20">
        <v>1</v>
      </c>
      <c r="B464" s="66">
        <f>SUBTOTAL(103,$A$22:A464)</f>
        <v>398</v>
      </c>
      <c r="C464" s="24" t="s">
        <v>140</v>
      </c>
      <c r="D464" s="31">
        <f>E464+F464+G464+H464+I464+J464+L464+N464+P464+R464+T464+U464+V464+W464+X464+Y464+Z464+AA464+AB464+AC464+AD464+AE464</f>
        <v>127877.6</v>
      </c>
      <c r="E464" s="31">
        <v>0</v>
      </c>
      <c r="F464" s="31">
        <v>0</v>
      </c>
      <c r="G464" s="31">
        <v>0</v>
      </c>
      <c r="H464" s="31">
        <v>0</v>
      </c>
      <c r="I464" s="31">
        <v>0</v>
      </c>
      <c r="J464" s="31">
        <v>0</v>
      </c>
      <c r="K464" s="33">
        <v>0</v>
      </c>
      <c r="L464" s="31">
        <v>0</v>
      </c>
      <c r="M464" s="31">
        <v>0</v>
      </c>
      <c r="N464" s="31">
        <v>0</v>
      </c>
      <c r="O464" s="31">
        <v>0</v>
      </c>
      <c r="P464" s="31">
        <v>0</v>
      </c>
      <c r="Q464" s="31">
        <v>0</v>
      </c>
      <c r="R464" s="31">
        <v>0</v>
      </c>
      <c r="S464" s="31">
        <v>0</v>
      </c>
      <c r="T464" s="31">
        <v>0</v>
      </c>
      <c r="U464" s="31">
        <v>0</v>
      </c>
      <c r="V464" s="31">
        <v>0</v>
      </c>
      <c r="W464" s="31">
        <v>0</v>
      </c>
      <c r="X464" s="31">
        <v>0</v>
      </c>
      <c r="Y464" s="31">
        <v>0</v>
      </c>
      <c r="Z464" s="31">
        <v>0</v>
      </c>
      <c r="AA464" s="31">
        <v>0</v>
      </c>
      <c r="AB464" s="31">
        <v>0</v>
      </c>
      <c r="AC464" s="31">
        <f>ROUND(N464*1.5%,2)</f>
        <v>0</v>
      </c>
      <c r="AD464" s="179">
        <v>127877.6</v>
      </c>
      <c r="AE464" s="31">
        <v>0</v>
      </c>
      <c r="AF464" s="34">
        <v>2020</v>
      </c>
      <c r="AG464" s="34" t="s">
        <v>270</v>
      </c>
      <c r="AH464" s="34" t="s">
        <v>270</v>
      </c>
      <c r="AT464" s="20" t="e">
        <f t="shared" si="106"/>
        <v>#N/A</v>
      </c>
      <c r="BZ464" s="71"/>
      <c r="CD464" s="20" t="e">
        <f t="shared" si="99"/>
        <v>#N/A</v>
      </c>
    </row>
    <row r="465" spans="1:82" ht="61.5" x14ac:dyDescent="0.85">
      <c r="B465" s="24" t="s">
        <v>856</v>
      </c>
      <c r="C465" s="24"/>
      <c r="D465" s="195">
        <f t="shared" ref="D465:AE465" si="107">D466</f>
        <v>87573.72</v>
      </c>
      <c r="E465" s="31">
        <f t="shared" si="107"/>
        <v>0</v>
      </c>
      <c r="F465" s="31">
        <f t="shared" si="107"/>
        <v>0</v>
      </c>
      <c r="G465" s="31">
        <f t="shared" si="107"/>
        <v>0</v>
      </c>
      <c r="H465" s="31">
        <f t="shared" si="107"/>
        <v>0</v>
      </c>
      <c r="I465" s="31">
        <f t="shared" si="107"/>
        <v>0</v>
      </c>
      <c r="J465" s="31">
        <f t="shared" si="107"/>
        <v>0</v>
      </c>
      <c r="K465" s="33">
        <f t="shared" si="107"/>
        <v>0</v>
      </c>
      <c r="L465" s="31">
        <f t="shared" si="107"/>
        <v>0</v>
      </c>
      <c r="M465" s="31">
        <f t="shared" si="107"/>
        <v>0</v>
      </c>
      <c r="N465" s="31">
        <f t="shared" si="107"/>
        <v>0</v>
      </c>
      <c r="O465" s="31">
        <f t="shared" si="107"/>
        <v>0</v>
      </c>
      <c r="P465" s="31">
        <f t="shared" si="107"/>
        <v>0</v>
      </c>
      <c r="Q465" s="31">
        <f t="shared" si="107"/>
        <v>0</v>
      </c>
      <c r="R465" s="31">
        <f t="shared" si="107"/>
        <v>0</v>
      </c>
      <c r="S465" s="31">
        <f t="shared" si="107"/>
        <v>0</v>
      </c>
      <c r="T465" s="31">
        <f t="shared" si="107"/>
        <v>0</v>
      </c>
      <c r="U465" s="31">
        <f t="shared" si="107"/>
        <v>0</v>
      </c>
      <c r="V465" s="31">
        <f t="shared" si="107"/>
        <v>0</v>
      </c>
      <c r="W465" s="31">
        <f t="shared" si="107"/>
        <v>0</v>
      </c>
      <c r="X465" s="31">
        <f t="shared" si="107"/>
        <v>0</v>
      </c>
      <c r="Y465" s="31">
        <f t="shared" si="107"/>
        <v>0</v>
      </c>
      <c r="Z465" s="31">
        <f t="shared" si="107"/>
        <v>0</v>
      </c>
      <c r="AA465" s="31">
        <f t="shared" si="107"/>
        <v>0</v>
      </c>
      <c r="AB465" s="31">
        <f t="shared" si="107"/>
        <v>0</v>
      </c>
      <c r="AC465" s="31">
        <f t="shared" si="107"/>
        <v>0</v>
      </c>
      <c r="AD465" s="31">
        <f t="shared" si="107"/>
        <v>87573.72</v>
      </c>
      <c r="AE465" s="31">
        <f t="shared" si="107"/>
        <v>0</v>
      </c>
      <c r="AF465" s="72" t="s">
        <v>757</v>
      </c>
      <c r="AG465" s="72" t="s">
        <v>757</v>
      </c>
      <c r="AH465" s="87" t="s">
        <v>757</v>
      </c>
      <c r="AT465" s="20" t="e">
        <f t="shared" si="106"/>
        <v>#N/A</v>
      </c>
      <c r="BZ465" s="71">
        <v>2682382.0500000003</v>
      </c>
      <c r="CD465" s="20" t="e">
        <f t="shared" si="99"/>
        <v>#N/A</v>
      </c>
    </row>
    <row r="466" spans="1:82" ht="61.5" x14ac:dyDescent="0.85">
      <c r="A466" s="20">
        <v>1</v>
      </c>
      <c r="B466" s="66">
        <f>SUBTOTAL(103,$A$22:A466)</f>
        <v>399</v>
      </c>
      <c r="C466" s="24" t="s">
        <v>145</v>
      </c>
      <c r="D466" s="31">
        <f>E466+F466+G466+H466+I466+J466+L466+N466+P466+R466+T466+U466+V466+W466+X466+Y466+Z466+AA466+AB466+AC466+AD466+AE466</f>
        <v>87573.72</v>
      </c>
      <c r="E466" s="31">
        <v>0</v>
      </c>
      <c r="F466" s="31">
        <v>0</v>
      </c>
      <c r="G466" s="31">
        <v>0</v>
      </c>
      <c r="H466" s="31">
        <v>0</v>
      </c>
      <c r="I466" s="31">
        <v>0</v>
      </c>
      <c r="J466" s="31">
        <v>0</v>
      </c>
      <c r="K466" s="33">
        <v>0</v>
      </c>
      <c r="L466" s="31">
        <v>0</v>
      </c>
      <c r="M466" s="31">
        <v>0</v>
      </c>
      <c r="N466" s="31">
        <v>0</v>
      </c>
      <c r="O466" s="31">
        <v>0</v>
      </c>
      <c r="P466" s="31">
        <v>0</v>
      </c>
      <c r="Q466" s="31">
        <v>0</v>
      </c>
      <c r="R466" s="31">
        <v>0</v>
      </c>
      <c r="S466" s="31">
        <v>0</v>
      </c>
      <c r="T466" s="31">
        <v>0</v>
      </c>
      <c r="U466" s="31">
        <v>0</v>
      </c>
      <c r="V466" s="31">
        <v>0</v>
      </c>
      <c r="W466" s="31">
        <v>0</v>
      </c>
      <c r="X466" s="31">
        <v>0</v>
      </c>
      <c r="Y466" s="31">
        <v>0</v>
      </c>
      <c r="Z466" s="31">
        <v>0</v>
      </c>
      <c r="AA466" s="31">
        <v>0</v>
      </c>
      <c r="AB466" s="31">
        <v>0</v>
      </c>
      <c r="AC466" s="31">
        <f>ROUND(N466*1.5%,2)</f>
        <v>0</v>
      </c>
      <c r="AD466" s="179">
        <v>87573.72</v>
      </c>
      <c r="AE466" s="31">
        <v>0</v>
      </c>
      <c r="AF466" s="34">
        <v>2020</v>
      </c>
      <c r="AG466" s="34" t="s">
        <v>270</v>
      </c>
      <c r="AH466" s="34" t="s">
        <v>270</v>
      </c>
      <c r="AT466" s="20" t="e">
        <f t="shared" si="106"/>
        <v>#N/A</v>
      </c>
      <c r="BZ466" s="71"/>
      <c r="CD466" s="20" t="e">
        <f t="shared" si="99"/>
        <v>#N/A</v>
      </c>
    </row>
    <row r="467" spans="1:82" ht="61.5" x14ac:dyDescent="0.85">
      <c r="B467" s="24" t="s">
        <v>857</v>
      </c>
      <c r="C467" s="24"/>
      <c r="D467" s="195">
        <f t="shared" ref="D467:AE467" si="108">SUM(D468:D472)</f>
        <v>4487931.54</v>
      </c>
      <c r="E467" s="31">
        <f t="shared" si="108"/>
        <v>0</v>
      </c>
      <c r="F467" s="31">
        <f t="shared" si="108"/>
        <v>0</v>
      </c>
      <c r="G467" s="31">
        <f t="shared" si="108"/>
        <v>0</v>
      </c>
      <c r="H467" s="31">
        <f t="shared" si="108"/>
        <v>0</v>
      </c>
      <c r="I467" s="31">
        <f t="shared" si="108"/>
        <v>0</v>
      </c>
      <c r="J467" s="31">
        <f t="shared" si="108"/>
        <v>0</v>
      </c>
      <c r="K467" s="33">
        <f t="shared" si="108"/>
        <v>0</v>
      </c>
      <c r="L467" s="31">
        <f t="shared" si="108"/>
        <v>0</v>
      </c>
      <c r="M467" s="31">
        <f t="shared" si="108"/>
        <v>507.6</v>
      </c>
      <c r="N467" s="31">
        <f t="shared" si="108"/>
        <v>2527690.4000000004</v>
      </c>
      <c r="O467" s="31">
        <f t="shared" si="108"/>
        <v>0</v>
      </c>
      <c r="P467" s="31">
        <f t="shared" si="108"/>
        <v>0</v>
      </c>
      <c r="Q467" s="31">
        <f t="shared" si="108"/>
        <v>478</v>
      </c>
      <c r="R467" s="31">
        <f t="shared" si="108"/>
        <v>1520049.06</v>
      </c>
      <c r="S467" s="31">
        <f t="shared" si="108"/>
        <v>0</v>
      </c>
      <c r="T467" s="31">
        <f t="shared" si="108"/>
        <v>0</v>
      </c>
      <c r="U467" s="31">
        <f t="shared" si="108"/>
        <v>0</v>
      </c>
      <c r="V467" s="31">
        <f t="shared" si="108"/>
        <v>0</v>
      </c>
      <c r="W467" s="31">
        <f t="shared" si="108"/>
        <v>0</v>
      </c>
      <c r="X467" s="31">
        <f t="shared" si="108"/>
        <v>0</v>
      </c>
      <c r="Y467" s="31">
        <f t="shared" si="108"/>
        <v>0</v>
      </c>
      <c r="Z467" s="31">
        <f t="shared" si="108"/>
        <v>0</v>
      </c>
      <c r="AA467" s="31">
        <f t="shared" si="108"/>
        <v>0</v>
      </c>
      <c r="AB467" s="31">
        <f t="shared" si="108"/>
        <v>0</v>
      </c>
      <c r="AC467" s="31">
        <f t="shared" si="108"/>
        <v>42467.72</v>
      </c>
      <c r="AD467" s="31">
        <f t="shared" si="108"/>
        <v>277724.36</v>
      </c>
      <c r="AE467" s="31">
        <f t="shared" si="108"/>
        <v>120000</v>
      </c>
      <c r="AF467" s="72" t="s">
        <v>757</v>
      </c>
      <c r="AG467" s="72" t="s">
        <v>757</v>
      </c>
      <c r="AH467" s="87" t="s">
        <v>757</v>
      </c>
      <c r="AT467" s="20" t="e">
        <f t="shared" si="106"/>
        <v>#N/A</v>
      </c>
      <c r="BZ467" s="31">
        <v>11742480.740000002</v>
      </c>
      <c r="CA467" s="31"/>
      <c r="CB467" s="31">
        <f>BZ467-D467</f>
        <v>7254549.200000002</v>
      </c>
      <c r="CD467" s="20" t="e">
        <f t="shared" si="99"/>
        <v>#N/A</v>
      </c>
    </row>
    <row r="468" spans="1:82" ht="61.5" x14ac:dyDescent="0.85">
      <c r="A468" s="20">
        <v>1</v>
      </c>
      <c r="B468" s="66">
        <f>SUBTOTAL(103,$A$22:A468)</f>
        <v>400</v>
      </c>
      <c r="C468" s="24" t="s">
        <v>143</v>
      </c>
      <c r="D468" s="31">
        <f>E468+F468+G468+H468+I468+J468+L468+N468+P468+R468+T468+U468+V468+W468+X468+Y468+Z468+AA468+AB468+AC468+AD468+AE468</f>
        <v>141265.9</v>
      </c>
      <c r="E468" s="31">
        <v>0</v>
      </c>
      <c r="F468" s="31">
        <v>0</v>
      </c>
      <c r="G468" s="31">
        <v>0</v>
      </c>
      <c r="H468" s="31">
        <v>0</v>
      </c>
      <c r="I468" s="31">
        <v>0</v>
      </c>
      <c r="J468" s="31">
        <v>0</v>
      </c>
      <c r="K468" s="33">
        <v>0</v>
      </c>
      <c r="L468" s="31">
        <v>0</v>
      </c>
      <c r="M468" s="31">
        <v>0</v>
      </c>
      <c r="N468" s="31">
        <v>0</v>
      </c>
      <c r="O468" s="31">
        <v>0</v>
      </c>
      <c r="P468" s="31">
        <v>0</v>
      </c>
      <c r="Q468" s="31">
        <v>0</v>
      </c>
      <c r="R468" s="31">
        <v>0</v>
      </c>
      <c r="S468" s="31">
        <v>0</v>
      </c>
      <c r="T468" s="31">
        <v>0</v>
      </c>
      <c r="U468" s="31">
        <v>0</v>
      </c>
      <c r="V468" s="31">
        <v>0</v>
      </c>
      <c r="W468" s="31">
        <v>0</v>
      </c>
      <c r="X468" s="31">
        <v>0</v>
      </c>
      <c r="Y468" s="31">
        <v>0</v>
      </c>
      <c r="Z468" s="31">
        <v>0</v>
      </c>
      <c r="AA468" s="31">
        <v>0</v>
      </c>
      <c r="AB468" s="31">
        <v>0</v>
      </c>
      <c r="AC468" s="31">
        <f>ROUND(U468*1.5%,2)</f>
        <v>0</v>
      </c>
      <c r="AD468" s="179">
        <v>141265.9</v>
      </c>
      <c r="AE468" s="31">
        <v>0</v>
      </c>
      <c r="AF468" s="34">
        <v>2020</v>
      </c>
      <c r="AG468" s="34" t="s">
        <v>270</v>
      </c>
      <c r="AH468" s="34" t="s">
        <v>270</v>
      </c>
      <c r="AT468" s="20" t="e">
        <f t="shared" si="106"/>
        <v>#N/A</v>
      </c>
      <c r="BZ468" s="71"/>
      <c r="CD468" s="20" t="e">
        <f t="shared" si="99"/>
        <v>#N/A</v>
      </c>
    </row>
    <row r="469" spans="1:82" ht="61.5" x14ac:dyDescent="0.85">
      <c r="A469" s="20">
        <v>1</v>
      </c>
      <c r="B469" s="66">
        <f>SUBTOTAL(103,$A$22:A469)</f>
        <v>401</v>
      </c>
      <c r="C469" s="24" t="s">
        <v>144</v>
      </c>
      <c r="D469" s="31">
        <f>E469+F469+G469+H469+I469+J469+L469+N469+P469+R469+T469+U469+V469+W469+X469+Y469+Z469+AA469+AB469+AC469+AD469+AE469</f>
        <v>1216558.3500000001</v>
      </c>
      <c r="E469" s="31">
        <v>0</v>
      </c>
      <c r="F469" s="31">
        <v>0</v>
      </c>
      <c r="G469" s="31">
        <v>0</v>
      </c>
      <c r="H469" s="31">
        <v>0</v>
      </c>
      <c r="I469" s="31">
        <v>0</v>
      </c>
      <c r="J469" s="31">
        <v>0</v>
      </c>
      <c r="K469" s="33">
        <v>0</v>
      </c>
      <c r="L469" s="31">
        <v>0</v>
      </c>
      <c r="M469" s="39">
        <v>317.8</v>
      </c>
      <c r="N469" s="39">
        <v>1216558.3500000001</v>
      </c>
      <c r="O469" s="31">
        <v>0</v>
      </c>
      <c r="P469" s="31">
        <v>0</v>
      </c>
      <c r="Q469" s="31">
        <v>0</v>
      </c>
      <c r="R469" s="31">
        <v>0</v>
      </c>
      <c r="S469" s="31">
        <v>0</v>
      </c>
      <c r="T469" s="31">
        <v>0</v>
      </c>
      <c r="U469" s="31">
        <v>0</v>
      </c>
      <c r="V469" s="31">
        <v>0</v>
      </c>
      <c r="W469" s="31">
        <v>0</v>
      </c>
      <c r="X469" s="31">
        <v>0</v>
      </c>
      <c r="Y469" s="31">
        <v>0</v>
      </c>
      <c r="Z469" s="31">
        <v>0</v>
      </c>
      <c r="AA469" s="31">
        <v>0</v>
      </c>
      <c r="AB469" s="31">
        <v>0</v>
      </c>
      <c r="AC469" s="31">
        <v>0</v>
      </c>
      <c r="AD469" s="31">
        <v>0</v>
      </c>
      <c r="AE469" s="31">
        <v>0</v>
      </c>
      <c r="AF469" s="34" t="s">
        <v>270</v>
      </c>
      <c r="AG469" s="34">
        <v>2020</v>
      </c>
      <c r="AH469" s="35" t="s">
        <v>270</v>
      </c>
      <c r="AT469" s="20" t="e">
        <f t="shared" si="106"/>
        <v>#N/A</v>
      </c>
      <c r="BZ469" s="71"/>
      <c r="CD469" s="20">
        <f t="shared" si="99"/>
        <v>317.8</v>
      </c>
    </row>
    <row r="470" spans="1:82" ht="61.5" x14ac:dyDescent="0.85">
      <c r="A470" s="20">
        <v>1</v>
      </c>
      <c r="B470" s="66">
        <f>SUBTOTAL(103,$A$22:A470)</f>
        <v>402</v>
      </c>
      <c r="C470" s="24" t="s">
        <v>1266</v>
      </c>
      <c r="D470" s="31">
        <f>E470+F470+G470+H470+I470+J470+L470+N470+P470+R470+T470+U470+V470+W470+X470+Y470+Z470+AA470+AB470+AC470+AD470+AE470</f>
        <v>1592596.96</v>
      </c>
      <c r="E470" s="31">
        <v>0</v>
      </c>
      <c r="F470" s="31">
        <v>0</v>
      </c>
      <c r="G470" s="31">
        <v>0</v>
      </c>
      <c r="H470" s="31">
        <v>0</v>
      </c>
      <c r="I470" s="31">
        <v>0</v>
      </c>
      <c r="J470" s="31">
        <v>0</v>
      </c>
      <c r="K470" s="33">
        <v>0</v>
      </c>
      <c r="L470" s="31">
        <v>0</v>
      </c>
      <c r="M470" s="31">
        <v>0</v>
      </c>
      <c r="N470" s="31">
        <v>0</v>
      </c>
      <c r="O470" s="31">
        <v>0</v>
      </c>
      <c r="P470" s="31">
        <v>0</v>
      </c>
      <c r="Q470" s="39">
        <v>478</v>
      </c>
      <c r="R470" s="39">
        <v>1520049.06</v>
      </c>
      <c r="S470" s="31">
        <v>0</v>
      </c>
      <c r="T470" s="31">
        <v>0</v>
      </c>
      <c r="U470" s="31">
        <v>0</v>
      </c>
      <c r="V470" s="31">
        <v>0</v>
      </c>
      <c r="W470" s="31">
        <v>0</v>
      </c>
      <c r="X470" s="31">
        <v>0</v>
      </c>
      <c r="Y470" s="31">
        <v>0</v>
      </c>
      <c r="Z470" s="31">
        <v>0</v>
      </c>
      <c r="AA470" s="31">
        <v>0</v>
      </c>
      <c r="AB470" s="31">
        <v>0</v>
      </c>
      <c r="AC470" s="31">
        <f>ROUND(R470*1.5%,2)</f>
        <v>22800.74</v>
      </c>
      <c r="AD470" s="39">
        <v>49747.16</v>
      </c>
      <c r="AE470" s="31">
        <v>0</v>
      </c>
      <c r="AF470" s="34">
        <v>2020</v>
      </c>
      <c r="AG470" s="34">
        <v>2020</v>
      </c>
      <c r="AH470" s="35">
        <v>2020</v>
      </c>
      <c r="BZ470" s="71"/>
      <c r="CD470" s="20" t="e">
        <f t="shared" si="99"/>
        <v>#N/A</v>
      </c>
    </row>
    <row r="471" spans="1:82" ht="61.5" x14ac:dyDescent="0.85">
      <c r="A471" s="20">
        <v>1</v>
      </c>
      <c r="B471" s="66">
        <f>SUBTOTAL(103,$A$22:A471)</f>
        <v>403</v>
      </c>
      <c r="C471" s="24" t="s">
        <v>1267</v>
      </c>
      <c r="D471" s="31">
        <f>E471+F471+G471+H471+I471+J471+L471+N471+P471+R471+T471+U471+V471+W471+X471+Y471+Z471+AA471+AB471+AC471+AD471+AE471</f>
        <v>1450799.03</v>
      </c>
      <c r="E471" s="31">
        <v>0</v>
      </c>
      <c r="F471" s="31">
        <v>0</v>
      </c>
      <c r="G471" s="31">
        <v>0</v>
      </c>
      <c r="H471" s="31">
        <v>0</v>
      </c>
      <c r="I471" s="31">
        <v>0</v>
      </c>
      <c r="J471" s="31">
        <v>0</v>
      </c>
      <c r="K471" s="33">
        <v>0</v>
      </c>
      <c r="L471" s="31">
        <v>0</v>
      </c>
      <c r="M471" s="31">
        <v>189.8</v>
      </c>
      <c r="N471" s="31">
        <f>1377206.06-66074.01</f>
        <v>1311132.05</v>
      </c>
      <c r="O471" s="31">
        <v>0</v>
      </c>
      <c r="P471" s="31">
        <v>0</v>
      </c>
      <c r="Q471" s="31">
        <v>0</v>
      </c>
      <c r="R471" s="31">
        <v>0</v>
      </c>
      <c r="S471" s="31">
        <v>0</v>
      </c>
      <c r="T471" s="31">
        <v>0</v>
      </c>
      <c r="U471" s="31">
        <v>0</v>
      </c>
      <c r="V471" s="31">
        <v>0</v>
      </c>
      <c r="W471" s="31">
        <v>0</v>
      </c>
      <c r="X471" s="31">
        <v>0</v>
      </c>
      <c r="Y471" s="31">
        <v>0</v>
      </c>
      <c r="Z471" s="31">
        <v>0</v>
      </c>
      <c r="AA471" s="31">
        <v>0</v>
      </c>
      <c r="AB471" s="31">
        <v>0</v>
      </c>
      <c r="AC471" s="31">
        <f>ROUND(N471*1.5%,2)</f>
        <v>19666.98</v>
      </c>
      <c r="AD471" s="31">
        <v>0</v>
      </c>
      <c r="AE471" s="31">
        <v>120000</v>
      </c>
      <c r="AF471" s="34" t="s">
        <v>270</v>
      </c>
      <c r="AG471" s="34">
        <v>2020</v>
      </c>
      <c r="AH471" s="35">
        <v>2020</v>
      </c>
      <c r="BZ471" s="71"/>
      <c r="CD471" s="20">
        <f t="shared" si="99"/>
        <v>189.8</v>
      </c>
    </row>
    <row r="472" spans="1:82" ht="61.5" x14ac:dyDescent="0.85">
      <c r="A472" s="20">
        <v>1</v>
      </c>
      <c r="B472" s="66">
        <f>SUBTOTAL(103,$A$22:A472)</f>
        <v>404</v>
      </c>
      <c r="C472" s="24" t="s">
        <v>1302</v>
      </c>
      <c r="D472" s="31">
        <f>E472+F472+G472+H472+I472+J472+L472+N472+P472+R472+T472+U472+V472+W472+X472+Y472+Z472+AA472+AB472+AC472+AD472+AE472</f>
        <v>86711.3</v>
      </c>
      <c r="E472" s="31">
        <v>0</v>
      </c>
      <c r="F472" s="31">
        <v>0</v>
      </c>
      <c r="G472" s="31">
        <v>0</v>
      </c>
      <c r="H472" s="31">
        <v>0</v>
      </c>
      <c r="I472" s="31">
        <v>0</v>
      </c>
      <c r="J472" s="31">
        <v>0</v>
      </c>
      <c r="K472" s="33">
        <v>0</v>
      </c>
      <c r="L472" s="31">
        <v>0</v>
      </c>
      <c r="M472" s="31">
        <v>0</v>
      </c>
      <c r="N472" s="31">
        <v>0</v>
      </c>
      <c r="O472" s="31">
        <v>0</v>
      </c>
      <c r="P472" s="31">
        <v>0</v>
      </c>
      <c r="Q472" s="31">
        <v>0</v>
      </c>
      <c r="R472" s="31">
        <v>0</v>
      </c>
      <c r="S472" s="31">
        <v>0</v>
      </c>
      <c r="T472" s="31">
        <v>0</v>
      </c>
      <c r="U472" s="31">
        <v>0</v>
      </c>
      <c r="V472" s="31">
        <v>0</v>
      </c>
      <c r="W472" s="31">
        <v>0</v>
      </c>
      <c r="X472" s="31">
        <v>0</v>
      </c>
      <c r="Y472" s="31">
        <v>0</v>
      </c>
      <c r="Z472" s="31">
        <v>0</v>
      </c>
      <c r="AA472" s="31">
        <v>0</v>
      </c>
      <c r="AB472" s="31">
        <v>0</v>
      </c>
      <c r="AC472" s="31">
        <f>ROUND(N472*1.5%,2)</f>
        <v>0</v>
      </c>
      <c r="AD472" s="179">
        <v>86711.3</v>
      </c>
      <c r="AE472" s="31">
        <v>0</v>
      </c>
      <c r="AF472" s="34">
        <v>2020</v>
      </c>
      <c r="AG472" s="34" t="s">
        <v>270</v>
      </c>
      <c r="AH472" s="34" t="s">
        <v>270</v>
      </c>
      <c r="BZ472" s="71"/>
      <c r="CD472" s="20" t="e">
        <f t="shared" si="99"/>
        <v>#N/A</v>
      </c>
    </row>
    <row r="473" spans="1:82" ht="61.5" x14ac:dyDescent="0.85">
      <c r="B473" s="24" t="s">
        <v>858</v>
      </c>
      <c r="C473" s="24"/>
      <c r="D473" s="195">
        <f>D474+D475+D476+D477+D478+D479+D480+D481+D482+D483+D484</f>
        <v>25070660.309999999</v>
      </c>
      <c r="E473" s="31">
        <f t="shared" ref="E473:AE473" si="109">E474+E475+E476+E477+E478+E479+E480+E481+E482+E483+E484</f>
        <v>217243.21000000002</v>
      </c>
      <c r="F473" s="31">
        <f t="shared" si="109"/>
        <v>0</v>
      </c>
      <c r="G473" s="31">
        <f t="shared" si="109"/>
        <v>3037610.26</v>
      </c>
      <c r="H473" s="31">
        <f t="shared" si="109"/>
        <v>280774.89</v>
      </c>
      <c r="I473" s="31">
        <f t="shared" si="109"/>
        <v>730380.2</v>
      </c>
      <c r="J473" s="31">
        <f t="shared" si="109"/>
        <v>0</v>
      </c>
      <c r="K473" s="33">
        <f t="shared" si="109"/>
        <v>0</v>
      </c>
      <c r="L473" s="31">
        <f t="shared" si="109"/>
        <v>0</v>
      </c>
      <c r="M473" s="31">
        <f t="shared" si="109"/>
        <v>6213.04</v>
      </c>
      <c r="N473" s="31">
        <f t="shared" si="109"/>
        <v>20114074.100000001</v>
      </c>
      <c r="O473" s="31">
        <f t="shared" si="109"/>
        <v>0</v>
      </c>
      <c r="P473" s="31">
        <f t="shared" si="109"/>
        <v>0</v>
      </c>
      <c r="Q473" s="31">
        <f t="shared" si="109"/>
        <v>0</v>
      </c>
      <c r="R473" s="31">
        <f t="shared" si="109"/>
        <v>0</v>
      </c>
      <c r="S473" s="31">
        <f t="shared" si="109"/>
        <v>0</v>
      </c>
      <c r="T473" s="31">
        <f t="shared" si="109"/>
        <v>0</v>
      </c>
      <c r="U473" s="31">
        <f t="shared" si="109"/>
        <v>0</v>
      </c>
      <c r="V473" s="31">
        <f t="shared" si="109"/>
        <v>0</v>
      </c>
      <c r="W473" s="31">
        <f t="shared" si="109"/>
        <v>0</v>
      </c>
      <c r="X473" s="31">
        <f t="shared" si="109"/>
        <v>0</v>
      </c>
      <c r="Y473" s="31">
        <f t="shared" si="109"/>
        <v>0</v>
      </c>
      <c r="Z473" s="31">
        <f t="shared" si="109"/>
        <v>0</v>
      </c>
      <c r="AA473" s="31">
        <f t="shared" si="109"/>
        <v>0</v>
      </c>
      <c r="AB473" s="31">
        <f t="shared" si="109"/>
        <v>0</v>
      </c>
      <c r="AC473" s="31">
        <f t="shared" si="109"/>
        <v>357106.66000000003</v>
      </c>
      <c r="AD473" s="31">
        <f t="shared" si="109"/>
        <v>333470.99</v>
      </c>
      <c r="AE473" s="31">
        <f t="shared" si="109"/>
        <v>0</v>
      </c>
      <c r="AF473" s="72" t="s">
        <v>757</v>
      </c>
      <c r="AG473" s="72" t="s">
        <v>757</v>
      </c>
      <c r="AH473" s="87" t="s">
        <v>757</v>
      </c>
      <c r="AT473" s="20" t="e">
        <f>VLOOKUP(C473,AW:AX,2,FALSE)</f>
        <v>#N/A</v>
      </c>
      <c r="BZ473" s="31">
        <v>43274846.739999995</v>
      </c>
      <c r="CA473" s="31"/>
      <c r="CB473" s="31">
        <f>BZ473-D473</f>
        <v>18204186.429999996</v>
      </c>
      <c r="CD473" s="20" t="e">
        <f t="shared" si="99"/>
        <v>#N/A</v>
      </c>
    </row>
    <row r="474" spans="1:82" ht="61.5" x14ac:dyDescent="0.85">
      <c r="A474" s="20">
        <v>1</v>
      </c>
      <c r="B474" s="66">
        <f>SUBTOTAL(103,$A$22:A474)</f>
        <v>405</v>
      </c>
      <c r="C474" s="24" t="s">
        <v>146</v>
      </c>
      <c r="D474" s="31">
        <f t="shared" ref="D474:D480" si="110">E474+F474+G474+H474+I474+J474+L474+N474+P474+R474+T474+U474+V474+W474+X474+Y474+Z474+AA474+AB474+AC474+AD474+AE474</f>
        <v>4629120.46</v>
      </c>
      <c r="E474" s="31">
        <v>0</v>
      </c>
      <c r="F474" s="31">
        <v>0</v>
      </c>
      <c r="G474" s="31">
        <v>0</v>
      </c>
      <c r="H474" s="31">
        <v>0</v>
      </c>
      <c r="I474" s="31">
        <v>0</v>
      </c>
      <c r="J474" s="31">
        <v>0</v>
      </c>
      <c r="K474" s="33">
        <v>0</v>
      </c>
      <c r="L474" s="31">
        <v>0</v>
      </c>
      <c r="M474" s="39">
        <v>1538.84</v>
      </c>
      <c r="N474" s="39">
        <v>4565095</v>
      </c>
      <c r="O474" s="31">
        <v>0</v>
      </c>
      <c r="P474" s="31">
        <v>0</v>
      </c>
      <c r="Q474" s="31">
        <v>0</v>
      </c>
      <c r="R474" s="31">
        <v>0</v>
      </c>
      <c r="S474" s="31">
        <v>0</v>
      </c>
      <c r="T474" s="31">
        <v>0</v>
      </c>
      <c r="U474" s="31">
        <v>0</v>
      </c>
      <c r="V474" s="31">
        <v>0</v>
      </c>
      <c r="W474" s="31">
        <v>0</v>
      </c>
      <c r="X474" s="31">
        <v>0</v>
      </c>
      <c r="Y474" s="31">
        <v>0</v>
      </c>
      <c r="Z474" s="31">
        <v>0</v>
      </c>
      <c r="AA474" s="31">
        <v>0</v>
      </c>
      <c r="AB474" s="31">
        <v>0</v>
      </c>
      <c r="AC474" s="39">
        <v>64025.46</v>
      </c>
      <c r="AD474" s="31">
        <v>0</v>
      </c>
      <c r="AE474" s="31">
        <v>0</v>
      </c>
      <c r="AF474" s="34" t="s">
        <v>270</v>
      </c>
      <c r="AG474" s="34">
        <v>2020</v>
      </c>
      <c r="AH474" s="35">
        <v>2020</v>
      </c>
      <c r="AT474" s="20" t="e">
        <f>VLOOKUP(C474,AW:AX,2,FALSE)</f>
        <v>#N/A</v>
      </c>
      <c r="BZ474" s="71"/>
      <c r="CD474" s="20">
        <f t="shared" si="99"/>
        <v>1525.2</v>
      </c>
    </row>
    <row r="475" spans="1:82" ht="61.5" x14ac:dyDescent="0.85">
      <c r="A475" s="20">
        <v>1</v>
      </c>
      <c r="B475" s="66">
        <f>SUBTOTAL(103,$A$22:A475)</f>
        <v>406</v>
      </c>
      <c r="C475" s="24" t="s">
        <v>141</v>
      </c>
      <c r="D475" s="31">
        <f t="shared" si="110"/>
        <v>3612241.12</v>
      </c>
      <c r="E475" s="31">
        <v>0</v>
      </c>
      <c r="F475" s="31">
        <v>0</v>
      </c>
      <c r="G475" s="31">
        <v>0</v>
      </c>
      <c r="H475" s="31">
        <v>0</v>
      </c>
      <c r="I475" s="31">
        <v>0</v>
      </c>
      <c r="J475" s="31">
        <v>0</v>
      </c>
      <c r="K475" s="33">
        <v>0</v>
      </c>
      <c r="L475" s="31">
        <v>0</v>
      </c>
      <c r="M475" s="39">
        <v>1004.6</v>
      </c>
      <c r="N475" s="39">
        <v>3440631.65</v>
      </c>
      <c r="O475" s="31">
        <v>0</v>
      </c>
      <c r="P475" s="31">
        <v>0</v>
      </c>
      <c r="Q475" s="31">
        <v>0</v>
      </c>
      <c r="R475" s="31">
        <v>0</v>
      </c>
      <c r="S475" s="31">
        <v>0</v>
      </c>
      <c r="T475" s="31">
        <v>0</v>
      </c>
      <c r="U475" s="31">
        <v>0</v>
      </c>
      <c r="V475" s="31">
        <v>0</v>
      </c>
      <c r="W475" s="31">
        <v>0</v>
      </c>
      <c r="X475" s="31">
        <v>0</v>
      </c>
      <c r="Y475" s="31">
        <v>0</v>
      </c>
      <c r="Z475" s="31">
        <v>0</v>
      </c>
      <c r="AA475" s="31">
        <v>0</v>
      </c>
      <c r="AB475" s="31">
        <v>0</v>
      </c>
      <c r="AC475" s="31">
        <f>ROUND(N475*1.5%,2)</f>
        <v>51609.47</v>
      </c>
      <c r="AD475" s="31">
        <v>120000</v>
      </c>
      <c r="AE475" s="31">
        <v>0</v>
      </c>
      <c r="AF475" s="34">
        <v>2020</v>
      </c>
      <c r="AG475" s="34">
        <v>2020</v>
      </c>
      <c r="AH475" s="35">
        <v>2020</v>
      </c>
      <c r="AT475" s="20" t="e">
        <f>VLOOKUP(C475,AW:AX,2,FALSE)</f>
        <v>#N/A</v>
      </c>
      <c r="BZ475" s="71"/>
      <c r="CD475" s="20" t="e">
        <f t="shared" si="99"/>
        <v>#N/A</v>
      </c>
    </row>
    <row r="476" spans="1:82" ht="61.5" x14ac:dyDescent="0.85">
      <c r="A476" s="20">
        <v>1</v>
      </c>
      <c r="B476" s="66">
        <f>SUBTOTAL(103,$A$22:A476)</f>
        <v>407</v>
      </c>
      <c r="C476" s="24" t="s">
        <v>142</v>
      </c>
      <c r="D476" s="31">
        <f t="shared" si="110"/>
        <v>4309479.43</v>
      </c>
      <c r="E476" s="31">
        <v>0</v>
      </c>
      <c r="F476" s="31">
        <v>0</v>
      </c>
      <c r="G476" s="31">
        <v>0</v>
      </c>
      <c r="H476" s="31">
        <v>0</v>
      </c>
      <c r="I476" s="31">
        <v>0</v>
      </c>
      <c r="J476" s="31">
        <v>0</v>
      </c>
      <c r="K476" s="33">
        <v>0</v>
      </c>
      <c r="L476" s="31">
        <v>0</v>
      </c>
      <c r="M476" s="39">
        <v>1373.6</v>
      </c>
      <c r="N476" s="39">
        <v>4249874.93</v>
      </c>
      <c r="O476" s="31">
        <v>0</v>
      </c>
      <c r="P476" s="31">
        <v>0</v>
      </c>
      <c r="Q476" s="31">
        <v>0</v>
      </c>
      <c r="R476" s="31">
        <v>0</v>
      </c>
      <c r="S476" s="31">
        <v>0</v>
      </c>
      <c r="T476" s="31">
        <v>0</v>
      </c>
      <c r="U476" s="31">
        <v>0</v>
      </c>
      <c r="V476" s="31">
        <v>0</v>
      </c>
      <c r="W476" s="31">
        <v>0</v>
      </c>
      <c r="X476" s="31">
        <v>0</v>
      </c>
      <c r="Y476" s="31">
        <v>0</v>
      </c>
      <c r="Z476" s="31">
        <v>0</v>
      </c>
      <c r="AA476" s="31">
        <v>0</v>
      </c>
      <c r="AB476" s="31">
        <v>0</v>
      </c>
      <c r="AC476" s="39">
        <v>59604.5</v>
      </c>
      <c r="AD476" s="31">
        <v>0</v>
      </c>
      <c r="AE476" s="31">
        <v>0</v>
      </c>
      <c r="AF476" s="34" t="s">
        <v>270</v>
      </c>
      <c r="AG476" s="34">
        <v>2020</v>
      </c>
      <c r="AH476" s="35">
        <v>2020</v>
      </c>
      <c r="AT476" s="20" t="e">
        <f>VLOOKUP(C476,AW:AX,2,FALSE)</f>
        <v>#N/A</v>
      </c>
      <c r="BZ476" s="71"/>
      <c r="CD476" s="20">
        <f t="shared" si="99"/>
        <v>1373.6</v>
      </c>
    </row>
    <row r="477" spans="1:82" ht="61.5" x14ac:dyDescent="0.85">
      <c r="A477" s="20">
        <v>1</v>
      </c>
      <c r="B477" s="66">
        <f>SUBTOTAL(103,$A$22:A477)</f>
        <v>408</v>
      </c>
      <c r="C477" s="24" t="s">
        <v>1258</v>
      </c>
      <c r="D477" s="31">
        <f t="shared" si="110"/>
        <v>1168062.6099999999</v>
      </c>
      <c r="E477" s="39">
        <v>106894.33</v>
      </c>
      <c r="F477" s="31">
        <v>0</v>
      </c>
      <c r="G477" s="39">
        <v>578602.22</v>
      </c>
      <c r="H477" s="39">
        <v>130137.83</v>
      </c>
      <c r="I477" s="39">
        <v>335166.21999999997</v>
      </c>
      <c r="J477" s="31">
        <v>0</v>
      </c>
      <c r="K477" s="33">
        <v>0</v>
      </c>
      <c r="L477" s="31">
        <v>0</v>
      </c>
      <c r="M477" s="31">
        <v>0</v>
      </c>
      <c r="N477" s="31">
        <v>0</v>
      </c>
      <c r="O477" s="31">
        <v>0</v>
      </c>
      <c r="P477" s="31">
        <v>0</v>
      </c>
      <c r="Q477" s="31">
        <v>0</v>
      </c>
      <c r="R477" s="31">
        <v>0</v>
      </c>
      <c r="S477" s="31">
        <v>0</v>
      </c>
      <c r="T477" s="31">
        <v>0</v>
      </c>
      <c r="U477" s="31">
        <v>0</v>
      </c>
      <c r="V477" s="31">
        <v>0</v>
      </c>
      <c r="W477" s="31">
        <v>0</v>
      </c>
      <c r="X477" s="31">
        <v>0</v>
      </c>
      <c r="Y477" s="31">
        <v>0</v>
      </c>
      <c r="Z477" s="31">
        <v>0</v>
      </c>
      <c r="AA477" s="31">
        <v>0</v>
      </c>
      <c r="AB477" s="31">
        <v>0</v>
      </c>
      <c r="AC477" s="31">
        <f>ROUND((E477+F477+G477+H477+I477+J477)*1.5%,2)</f>
        <v>17262.009999999998</v>
      </c>
      <c r="AD477" s="31">
        <v>0</v>
      </c>
      <c r="AE477" s="31">
        <v>0</v>
      </c>
      <c r="AF477" s="34" t="s">
        <v>270</v>
      </c>
      <c r="AG477" s="34">
        <v>2020</v>
      </c>
      <c r="AH477" s="35">
        <v>2020</v>
      </c>
      <c r="BZ477" s="71"/>
      <c r="CD477" s="20" t="e">
        <f t="shared" si="99"/>
        <v>#N/A</v>
      </c>
    </row>
    <row r="478" spans="1:82" ht="61.5" x14ac:dyDescent="0.85">
      <c r="A478" s="20">
        <v>1</v>
      </c>
      <c r="B478" s="66">
        <f>SUBTOTAL(103,$A$22:A478)</f>
        <v>409</v>
      </c>
      <c r="C478" s="24" t="s">
        <v>1259</v>
      </c>
      <c r="D478" s="31">
        <f t="shared" si="110"/>
        <v>1211468.1399999999</v>
      </c>
      <c r="E478" s="39">
        <v>110348.88</v>
      </c>
      <c r="F478" s="31">
        <v>0</v>
      </c>
      <c r="G478" s="39">
        <v>537364.75</v>
      </c>
      <c r="H478" s="39">
        <v>150637.06</v>
      </c>
      <c r="I478" s="39">
        <v>395213.98</v>
      </c>
      <c r="J478" s="31">
        <v>0</v>
      </c>
      <c r="K478" s="33">
        <v>0</v>
      </c>
      <c r="L478" s="31">
        <v>0</v>
      </c>
      <c r="M478" s="31">
        <v>0</v>
      </c>
      <c r="N478" s="31">
        <v>0</v>
      </c>
      <c r="O478" s="31">
        <v>0</v>
      </c>
      <c r="P478" s="31">
        <v>0</v>
      </c>
      <c r="Q478" s="31">
        <v>0</v>
      </c>
      <c r="R478" s="31">
        <v>0</v>
      </c>
      <c r="S478" s="31">
        <v>0</v>
      </c>
      <c r="T478" s="31">
        <v>0</v>
      </c>
      <c r="U478" s="31">
        <v>0</v>
      </c>
      <c r="V478" s="31">
        <v>0</v>
      </c>
      <c r="W478" s="31">
        <v>0</v>
      </c>
      <c r="X478" s="31">
        <v>0</v>
      </c>
      <c r="Y478" s="31">
        <v>0</v>
      </c>
      <c r="Z478" s="31">
        <v>0</v>
      </c>
      <c r="AA478" s="31">
        <v>0</v>
      </c>
      <c r="AB478" s="31">
        <v>0</v>
      </c>
      <c r="AC478" s="31">
        <f>ROUND((E478+F478+G478+H478+I478+J478)*1.5%,2)</f>
        <v>17903.47</v>
      </c>
      <c r="AD478" s="31">
        <v>0</v>
      </c>
      <c r="AE478" s="31">
        <v>0</v>
      </c>
      <c r="AF478" s="34" t="s">
        <v>270</v>
      </c>
      <c r="AG478" s="34">
        <v>2020</v>
      </c>
      <c r="AH478" s="35">
        <v>2020</v>
      </c>
      <c r="BZ478" s="71"/>
      <c r="CD478" s="20" t="e">
        <f t="shared" ref="CD478:CD509" si="111">VLOOKUP(C478,CE:CF,2,FALSE)</f>
        <v>#N/A</v>
      </c>
    </row>
    <row r="479" spans="1:82" ht="61.5" x14ac:dyDescent="0.85">
      <c r="A479" s="20">
        <v>1</v>
      </c>
      <c r="B479" s="66">
        <f>SUBTOTAL(103,$A$22:A479)</f>
        <v>410</v>
      </c>
      <c r="C479" s="24" t="s">
        <v>1260</v>
      </c>
      <c r="D479" s="31">
        <f t="shared" si="110"/>
        <v>1950467.94</v>
      </c>
      <c r="E479" s="31">
        <v>0</v>
      </c>
      <c r="F479" s="31">
        <v>0</v>
      </c>
      <c r="G479" s="31">
        <f>1388260.68+533382.61</f>
        <v>1921643.29</v>
      </c>
      <c r="H479" s="31">
        <v>0</v>
      </c>
      <c r="I479" s="31">
        <v>0</v>
      </c>
      <c r="J479" s="31">
        <v>0</v>
      </c>
      <c r="K479" s="33">
        <v>0</v>
      </c>
      <c r="L479" s="31">
        <v>0</v>
      </c>
      <c r="M479" s="31">
        <v>0</v>
      </c>
      <c r="N479" s="31">
        <v>0</v>
      </c>
      <c r="O479" s="31">
        <v>0</v>
      </c>
      <c r="P479" s="31">
        <v>0</v>
      </c>
      <c r="Q479" s="31">
        <v>0</v>
      </c>
      <c r="R479" s="31">
        <v>0</v>
      </c>
      <c r="S479" s="31">
        <v>0</v>
      </c>
      <c r="T479" s="31">
        <v>0</v>
      </c>
      <c r="U479" s="31">
        <v>0</v>
      </c>
      <c r="V479" s="31">
        <v>0</v>
      </c>
      <c r="W479" s="31">
        <v>0</v>
      </c>
      <c r="X479" s="31">
        <v>0</v>
      </c>
      <c r="Y479" s="31">
        <v>0</v>
      </c>
      <c r="Z479" s="31">
        <v>0</v>
      </c>
      <c r="AA479" s="31">
        <v>0</v>
      </c>
      <c r="AB479" s="31">
        <v>0</v>
      </c>
      <c r="AC479" s="31">
        <f>ROUND((E479+F479+G479+H479+I479+J479)*1.5%,2)</f>
        <v>28824.65</v>
      </c>
      <c r="AD479" s="31">
        <v>0</v>
      </c>
      <c r="AE479" s="31">
        <v>0</v>
      </c>
      <c r="AF479" s="34" t="s">
        <v>270</v>
      </c>
      <c r="AG479" s="34">
        <v>2020</v>
      </c>
      <c r="AH479" s="35">
        <v>2020</v>
      </c>
      <c r="BZ479" s="71"/>
      <c r="CD479" s="20" t="e">
        <f t="shared" si="111"/>
        <v>#N/A</v>
      </c>
    </row>
    <row r="480" spans="1:82" ht="61.5" x14ac:dyDescent="0.85">
      <c r="A480" s="20">
        <v>1</v>
      </c>
      <c r="B480" s="66">
        <f>SUBTOTAL(103,$A$22:A480)</f>
        <v>411</v>
      </c>
      <c r="C480" s="24" t="s">
        <v>1288</v>
      </c>
      <c r="D480" s="31">
        <f t="shared" si="110"/>
        <v>55068.52</v>
      </c>
      <c r="E480" s="31">
        <v>0</v>
      </c>
      <c r="F480" s="31">
        <v>0</v>
      </c>
      <c r="G480" s="31">
        <v>0</v>
      </c>
      <c r="H480" s="31">
        <v>0</v>
      </c>
      <c r="I480" s="31">
        <v>0</v>
      </c>
      <c r="J480" s="31">
        <v>0</v>
      </c>
      <c r="K480" s="33">
        <v>0</v>
      </c>
      <c r="L480" s="31">
        <v>0</v>
      </c>
      <c r="M480" s="31">
        <v>0</v>
      </c>
      <c r="N480" s="31">
        <v>0</v>
      </c>
      <c r="O480" s="31">
        <v>0</v>
      </c>
      <c r="P480" s="31">
        <v>0</v>
      </c>
      <c r="Q480" s="31">
        <v>0</v>
      </c>
      <c r="R480" s="31">
        <v>0</v>
      </c>
      <c r="S480" s="31">
        <v>0</v>
      </c>
      <c r="T480" s="31">
        <v>0</v>
      </c>
      <c r="U480" s="31">
        <v>0</v>
      </c>
      <c r="V480" s="31">
        <v>0</v>
      </c>
      <c r="W480" s="31">
        <v>0</v>
      </c>
      <c r="X480" s="31">
        <v>0</v>
      </c>
      <c r="Y480" s="31">
        <v>0</v>
      </c>
      <c r="Z480" s="31">
        <v>0</v>
      </c>
      <c r="AA480" s="31">
        <v>0</v>
      </c>
      <c r="AB480" s="31">
        <v>0</v>
      </c>
      <c r="AC480" s="31">
        <f>ROUND(N480*1.5%,2)</f>
        <v>0</v>
      </c>
      <c r="AD480" s="39">
        <v>55068.52</v>
      </c>
      <c r="AE480" s="31">
        <v>0</v>
      </c>
      <c r="AF480" s="34">
        <v>2020</v>
      </c>
      <c r="AG480" s="34" t="s">
        <v>270</v>
      </c>
      <c r="AH480" s="34" t="s">
        <v>270</v>
      </c>
      <c r="BZ480" s="71"/>
      <c r="CD480" s="20">
        <f t="shared" si="111"/>
        <v>500</v>
      </c>
    </row>
    <row r="481" spans="1:82" ht="61.5" x14ac:dyDescent="0.85">
      <c r="A481" s="20">
        <v>1</v>
      </c>
      <c r="B481" s="66">
        <f>SUBTOTAL(103,$A$22:A481)</f>
        <v>412</v>
      </c>
      <c r="C481" s="24" t="s">
        <v>1289</v>
      </c>
      <c r="D481" s="31">
        <f>E481+F481+G481+H481+I481+J481+L481+N481+P481+R481+T481+U481+V481+W481+X481+Y481+Z481+AA481+AB481+AC481+AD481+AE481</f>
        <v>98964.25</v>
      </c>
      <c r="E481" s="31">
        <v>0</v>
      </c>
      <c r="F481" s="31">
        <v>0</v>
      </c>
      <c r="G481" s="31">
        <v>0</v>
      </c>
      <c r="H481" s="31">
        <v>0</v>
      </c>
      <c r="I481" s="31">
        <v>0</v>
      </c>
      <c r="J481" s="31">
        <v>0</v>
      </c>
      <c r="K481" s="33">
        <v>0</v>
      </c>
      <c r="L481" s="31">
        <v>0</v>
      </c>
      <c r="M481" s="31">
        <v>0</v>
      </c>
      <c r="N481" s="31">
        <v>0</v>
      </c>
      <c r="O481" s="31">
        <v>0</v>
      </c>
      <c r="P481" s="31">
        <v>0</v>
      </c>
      <c r="Q481" s="31">
        <v>0</v>
      </c>
      <c r="R481" s="31">
        <v>0</v>
      </c>
      <c r="S481" s="31">
        <v>0</v>
      </c>
      <c r="T481" s="31">
        <v>0</v>
      </c>
      <c r="U481" s="31">
        <v>0</v>
      </c>
      <c r="V481" s="31">
        <v>0</v>
      </c>
      <c r="W481" s="31">
        <v>0</v>
      </c>
      <c r="X481" s="31">
        <v>0</v>
      </c>
      <c r="Y481" s="31">
        <v>0</v>
      </c>
      <c r="Z481" s="31">
        <v>0</v>
      </c>
      <c r="AA481" s="31">
        <v>0</v>
      </c>
      <c r="AB481" s="31">
        <v>0</v>
      </c>
      <c r="AC481" s="31">
        <f>ROUND(N481*1.5%,2)</f>
        <v>0</v>
      </c>
      <c r="AD481" s="39">
        <v>98964.25</v>
      </c>
      <c r="AE481" s="31">
        <v>0</v>
      </c>
      <c r="AF481" s="34">
        <v>2020</v>
      </c>
      <c r="AG481" s="34" t="s">
        <v>270</v>
      </c>
      <c r="AH481" s="34" t="s">
        <v>270</v>
      </c>
      <c r="BZ481" s="71"/>
      <c r="CD481" s="20">
        <f t="shared" si="111"/>
        <v>958</v>
      </c>
    </row>
    <row r="482" spans="1:82" ht="61.5" x14ac:dyDescent="0.85">
      <c r="A482" s="20">
        <v>1</v>
      </c>
      <c r="B482" s="66">
        <f>SUBTOTAL(103,$A$22:A482)</f>
        <v>413</v>
      </c>
      <c r="C482" s="24" t="s">
        <v>1569</v>
      </c>
      <c r="D482" s="31">
        <f>E482+F482+G482+H482+I482+J482+L482+N482+P482+R482+T482+U482+V482+W482+X482+Y482+Z482+AA482+AB482+AC482+AD482+AE482</f>
        <v>2349863.39</v>
      </c>
      <c r="E482" s="31">
        <v>0</v>
      </c>
      <c r="F482" s="31">
        <v>0</v>
      </c>
      <c r="G482" s="31">
        <v>0</v>
      </c>
      <c r="H482" s="31">
        <v>0</v>
      </c>
      <c r="I482" s="31">
        <v>0</v>
      </c>
      <c r="J482" s="31">
        <v>0</v>
      </c>
      <c r="K482" s="33">
        <v>0</v>
      </c>
      <c r="L482" s="31">
        <v>0</v>
      </c>
      <c r="M482" s="39">
        <v>513.5</v>
      </c>
      <c r="N482" s="39">
        <v>2256576.52</v>
      </c>
      <c r="O482" s="31">
        <v>0</v>
      </c>
      <c r="P482" s="31">
        <v>0</v>
      </c>
      <c r="Q482" s="31">
        <v>0</v>
      </c>
      <c r="R482" s="31">
        <v>0</v>
      </c>
      <c r="S482" s="31">
        <v>0</v>
      </c>
      <c r="T482" s="31">
        <v>0</v>
      </c>
      <c r="U482" s="31">
        <v>0</v>
      </c>
      <c r="V482" s="31">
        <v>0</v>
      </c>
      <c r="W482" s="31">
        <v>0</v>
      </c>
      <c r="X482" s="31">
        <v>0</v>
      </c>
      <c r="Y482" s="31">
        <v>0</v>
      </c>
      <c r="Z482" s="31">
        <v>0</v>
      </c>
      <c r="AA482" s="31">
        <v>0</v>
      </c>
      <c r="AB482" s="31">
        <v>0</v>
      </c>
      <c r="AC482" s="31">
        <f>ROUND(N482*1.5%,2)</f>
        <v>33848.65</v>
      </c>
      <c r="AD482" s="39">
        <v>59438.22</v>
      </c>
      <c r="AE482" s="31">
        <v>0</v>
      </c>
      <c r="AF482" s="34">
        <v>2020</v>
      </c>
      <c r="AG482" s="34">
        <v>2020</v>
      </c>
      <c r="AH482" s="35">
        <v>2020</v>
      </c>
      <c r="BZ482" s="71"/>
      <c r="CD482" s="20" t="e">
        <f t="shared" si="111"/>
        <v>#N/A</v>
      </c>
    </row>
    <row r="483" spans="1:82" ht="61.5" x14ac:dyDescent="0.85">
      <c r="A483" s="20">
        <v>1</v>
      </c>
      <c r="B483" s="66">
        <f>SUBTOTAL(103,$A$22:A483)</f>
        <v>414</v>
      </c>
      <c r="C483" s="24" t="s">
        <v>152</v>
      </c>
      <c r="D483" s="31">
        <f>E483+F483+G483+H483+I483+J483+L483+N483+P483+R483+T483+U483+V483+W483+X483+Y483+Z483+AA483+AB483+AC483+AD483+AE483</f>
        <v>2515213.65</v>
      </c>
      <c r="E483" s="31">
        <v>0</v>
      </c>
      <c r="F483" s="31">
        <v>0</v>
      </c>
      <c r="G483" s="31">
        <v>0</v>
      </c>
      <c r="H483" s="31">
        <v>0</v>
      </c>
      <c r="I483" s="31">
        <v>0</v>
      </c>
      <c r="J483" s="31">
        <v>0</v>
      </c>
      <c r="K483" s="33">
        <v>0</v>
      </c>
      <c r="L483" s="31">
        <v>0</v>
      </c>
      <c r="M483" s="39">
        <v>791.12</v>
      </c>
      <c r="N483" s="179">
        <v>2478043</v>
      </c>
      <c r="O483" s="31">
        <v>0</v>
      </c>
      <c r="P483" s="31">
        <v>0</v>
      </c>
      <c r="Q483" s="31">
        <v>0</v>
      </c>
      <c r="R483" s="31">
        <v>0</v>
      </c>
      <c r="S483" s="31">
        <v>0</v>
      </c>
      <c r="T483" s="31">
        <v>0</v>
      </c>
      <c r="U483" s="31">
        <v>0</v>
      </c>
      <c r="V483" s="31">
        <v>0</v>
      </c>
      <c r="W483" s="31">
        <v>0</v>
      </c>
      <c r="X483" s="31">
        <v>0</v>
      </c>
      <c r="Y483" s="31">
        <v>0</v>
      </c>
      <c r="Z483" s="31">
        <v>0</v>
      </c>
      <c r="AA483" s="31">
        <v>0</v>
      </c>
      <c r="AB483" s="31">
        <v>0</v>
      </c>
      <c r="AC483" s="31">
        <f>ROUND(N483*1.5%,2)</f>
        <v>37170.65</v>
      </c>
      <c r="AD483" s="31">
        <v>0</v>
      </c>
      <c r="AE483" s="31">
        <v>0</v>
      </c>
      <c r="AF483" s="34" t="s">
        <v>270</v>
      </c>
      <c r="AG483" s="34">
        <v>2020</v>
      </c>
      <c r="AH483" s="35">
        <v>2020</v>
      </c>
      <c r="AT483" s="20" t="e">
        <f>VLOOKUP(C483,AW:AX,2,FALSE)</f>
        <v>#N/A</v>
      </c>
      <c r="BZ483" s="71"/>
      <c r="CD483" s="20">
        <f t="shared" si="111"/>
        <v>833.9</v>
      </c>
    </row>
    <row r="484" spans="1:82" ht="61.5" x14ac:dyDescent="0.85">
      <c r="A484" s="20">
        <v>1</v>
      </c>
      <c r="B484" s="66">
        <f>SUBTOTAL(103,$A$22:A484)</f>
        <v>415</v>
      </c>
      <c r="C484" s="24" t="s">
        <v>153</v>
      </c>
      <c r="D484" s="31">
        <f>E484+F484+G484+H484+I484+J484+L484+N484+P484+R484+T484+U484+V484+W484+X484+Y484+Z484+AA484+AB484+AC484+AD484+AE484</f>
        <v>3170710.8</v>
      </c>
      <c r="E484" s="31">
        <v>0</v>
      </c>
      <c r="F484" s="31">
        <v>0</v>
      </c>
      <c r="G484" s="31">
        <v>0</v>
      </c>
      <c r="H484" s="31">
        <v>0</v>
      </c>
      <c r="I484" s="31">
        <v>0</v>
      </c>
      <c r="J484" s="31">
        <v>0</v>
      </c>
      <c r="K484" s="33">
        <v>0</v>
      </c>
      <c r="L484" s="31">
        <v>0</v>
      </c>
      <c r="M484" s="39">
        <v>991.38</v>
      </c>
      <c r="N484" s="179">
        <v>3123853</v>
      </c>
      <c r="O484" s="31">
        <v>0</v>
      </c>
      <c r="P484" s="31">
        <v>0</v>
      </c>
      <c r="Q484" s="31">
        <v>0</v>
      </c>
      <c r="R484" s="31">
        <v>0</v>
      </c>
      <c r="S484" s="31">
        <v>0</v>
      </c>
      <c r="T484" s="31">
        <v>0</v>
      </c>
      <c r="U484" s="31">
        <v>0</v>
      </c>
      <c r="V484" s="31">
        <v>0</v>
      </c>
      <c r="W484" s="31">
        <v>0</v>
      </c>
      <c r="X484" s="31">
        <v>0</v>
      </c>
      <c r="Y484" s="31">
        <v>0</v>
      </c>
      <c r="Z484" s="31">
        <v>0</v>
      </c>
      <c r="AA484" s="31">
        <v>0</v>
      </c>
      <c r="AB484" s="31">
        <v>0</v>
      </c>
      <c r="AC484" s="31">
        <f>ROUND(N484*1.5%,2)</f>
        <v>46857.8</v>
      </c>
      <c r="AD484" s="31">
        <v>0</v>
      </c>
      <c r="AE484" s="31">
        <v>0</v>
      </c>
      <c r="AF484" s="34" t="s">
        <v>270</v>
      </c>
      <c r="AG484" s="34">
        <v>2020</v>
      </c>
      <c r="AH484" s="35">
        <v>2020</v>
      </c>
      <c r="AT484" s="20" t="e">
        <f>VLOOKUP(C484,AW:AX,2,FALSE)</f>
        <v>#N/A</v>
      </c>
      <c r="BZ484" s="71"/>
      <c r="CD484" s="20">
        <f t="shared" si="111"/>
        <v>1035.9000000000001</v>
      </c>
    </row>
    <row r="485" spans="1:82" ht="61.5" x14ac:dyDescent="0.85">
      <c r="B485" s="24" t="s">
        <v>859</v>
      </c>
      <c r="C485" s="24"/>
      <c r="D485" s="195">
        <f>SUM(D486:D493)</f>
        <v>25373135.099999998</v>
      </c>
      <c r="E485" s="31">
        <f t="shared" ref="E485:AE485" si="112">SUM(E486:E493)</f>
        <v>0</v>
      </c>
      <c r="F485" s="31">
        <f t="shared" si="112"/>
        <v>0</v>
      </c>
      <c r="G485" s="31">
        <f t="shared" si="112"/>
        <v>899499.24</v>
      </c>
      <c r="H485" s="31">
        <f t="shared" si="112"/>
        <v>0</v>
      </c>
      <c r="I485" s="31">
        <f t="shared" si="112"/>
        <v>0</v>
      </c>
      <c r="J485" s="31">
        <f t="shared" si="112"/>
        <v>0</v>
      </c>
      <c r="K485" s="33">
        <f t="shared" si="112"/>
        <v>0</v>
      </c>
      <c r="L485" s="31">
        <f t="shared" si="112"/>
        <v>0</v>
      </c>
      <c r="M485" s="31">
        <f t="shared" si="112"/>
        <v>5735.25</v>
      </c>
      <c r="N485" s="31">
        <f t="shared" si="112"/>
        <v>23342207.390000001</v>
      </c>
      <c r="O485" s="31">
        <f t="shared" si="112"/>
        <v>192</v>
      </c>
      <c r="P485" s="31">
        <f t="shared" si="112"/>
        <v>318485.12</v>
      </c>
      <c r="Q485" s="31">
        <f t="shared" si="112"/>
        <v>0</v>
      </c>
      <c r="R485" s="31">
        <f t="shared" si="112"/>
        <v>0</v>
      </c>
      <c r="S485" s="31">
        <f t="shared" si="112"/>
        <v>0</v>
      </c>
      <c r="T485" s="31">
        <f t="shared" si="112"/>
        <v>0</v>
      </c>
      <c r="U485" s="31">
        <f t="shared" si="112"/>
        <v>0</v>
      </c>
      <c r="V485" s="31">
        <f t="shared" si="112"/>
        <v>0</v>
      </c>
      <c r="W485" s="31">
        <f t="shared" si="112"/>
        <v>0</v>
      </c>
      <c r="X485" s="31">
        <f t="shared" si="112"/>
        <v>0</v>
      </c>
      <c r="Y485" s="31">
        <f t="shared" si="112"/>
        <v>0</v>
      </c>
      <c r="Z485" s="31">
        <f t="shared" si="112"/>
        <v>0</v>
      </c>
      <c r="AA485" s="31">
        <f t="shared" si="112"/>
        <v>0</v>
      </c>
      <c r="AB485" s="31">
        <f t="shared" si="112"/>
        <v>0</v>
      </c>
      <c r="AC485" s="31">
        <f t="shared" si="112"/>
        <v>366431.75</v>
      </c>
      <c r="AD485" s="31">
        <f t="shared" si="112"/>
        <v>446511.6</v>
      </c>
      <c r="AE485" s="31">
        <f t="shared" si="112"/>
        <v>0</v>
      </c>
      <c r="AF485" s="72" t="s">
        <v>757</v>
      </c>
      <c r="AG485" s="72" t="s">
        <v>757</v>
      </c>
      <c r="AH485" s="87" t="s">
        <v>757</v>
      </c>
      <c r="AT485" s="20" t="e">
        <f>VLOOKUP(C485,AW:AX,2,FALSE)</f>
        <v>#N/A</v>
      </c>
      <c r="BZ485" s="71">
        <v>38327194.07</v>
      </c>
      <c r="CD485" s="20" t="e">
        <f t="shared" si="111"/>
        <v>#N/A</v>
      </c>
    </row>
    <row r="486" spans="1:82" ht="61.5" x14ac:dyDescent="0.85">
      <c r="A486" s="20">
        <v>1</v>
      </c>
      <c r="B486" s="66">
        <f>SUBTOTAL(103,$A$22:A486)</f>
        <v>416</v>
      </c>
      <c r="C486" s="24" t="s">
        <v>137</v>
      </c>
      <c r="D486" s="31">
        <f t="shared" ref="D486:D493" si="113">E486+F486+G486+H486+I486+J486+L486+N486+P486+R486+T486+U486+V486+W486+X486+Y486+Z486+AA486+AB486+AC486+AD486+AE486</f>
        <v>2050029.61</v>
      </c>
      <c r="E486" s="31">
        <v>0</v>
      </c>
      <c r="F486" s="31">
        <v>0</v>
      </c>
      <c r="G486" s="31">
        <v>0</v>
      </c>
      <c r="H486" s="31">
        <v>0</v>
      </c>
      <c r="I486" s="31">
        <v>0</v>
      </c>
      <c r="J486" s="31">
        <v>0</v>
      </c>
      <c r="K486" s="33">
        <v>0</v>
      </c>
      <c r="L486" s="31">
        <v>0</v>
      </c>
      <c r="M486" s="39">
        <v>1029.8800000000001</v>
      </c>
      <c r="N486" s="39">
        <v>2021675.61</v>
      </c>
      <c r="O486" s="31">
        <v>0</v>
      </c>
      <c r="P486" s="31">
        <v>0</v>
      </c>
      <c r="Q486" s="31">
        <v>0</v>
      </c>
      <c r="R486" s="31">
        <v>0</v>
      </c>
      <c r="S486" s="31">
        <v>0</v>
      </c>
      <c r="T486" s="31">
        <v>0</v>
      </c>
      <c r="U486" s="31">
        <v>0</v>
      </c>
      <c r="V486" s="31">
        <v>0</v>
      </c>
      <c r="W486" s="31">
        <v>0</v>
      </c>
      <c r="X486" s="31">
        <v>0</v>
      </c>
      <c r="Y486" s="31">
        <v>0</v>
      </c>
      <c r="Z486" s="31">
        <v>0</v>
      </c>
      <c r="AA486" s="31">
        <v>0</v>
      </c>
      <c r="AB486" s="31">
        <v>0</v>
      </c>
      <c r="AC486" s="39">
        <v>28354</v>
      </c>
      <c r="AD486" s="31">
        <v>0</v>
      </c>
      <c r="AE486" s="31">
        <v>0</v>
      </c>
      <c r="AF486" s="34" t="s">
        <v>270</v>
      </c>
      <c r="AG486" s="34">
        <v>2020</v>
      </c>
      <c r="AH486" s="35">
        <v>2020</v>
      </c>
      <c r="AT486" s="20" t="e">
        <f>VLOOKUP(C486,AW:AX,2,FALSE)</f>
        <v>#N/A</v>
      </c>
      <c r="BZ486" s="71"/>
      <c r="CD486" s="20">
        <f t="shared" si="111"/>
        <v>1062.4000000000001</v>
      </c>
    </row>
    <row r="487" spans="1:82" ht="61.5" x14ac:dyDescent="0.85">
      <c r="A487" s="20">
        <v>1</v>
      </c>
      <c r="B487" s="66">
        <f>SUBTOTAL(103,$A$22:A487)</f>
        <v>417</v>
      </c>
      <c r="C487" s="24" t="s">
        <v>139</v>
      </c>
      <c r="D487" s="31">
        <f t="shared" si="113"/>
        <v>1930217.85</v>
      </c>
      <c r="E487" s="31">
        <v>0</v>
      </c>
      <c r="F487" s="31">
        <v>0</v>
      </c>
      <c r="G487" s="31">
        <v>0</v>
      </c>
      <c r="H487" s="31">
        <v>0</v>
      </c>
      <c r="I487" s="31">
        <v>0</v>
      </c>
      <c r="J487" s="31">
        <v>0</v>
      </c>
      <c r="K487" s="33">
        <v>0</v>
      </c>
      <c r="L487" s="31">
        <v>0</v>
      </c>
      <c r="M487" s="39">
        <v>514.20000000000005</v>
      </c>
      <c r="N487" s="39">
        <v>1814427.36</v>
      </c>
      <c r="O487" s="31">
        <v>0</v>
      </c>
      <c r="P487" s="31">
        <v>0</v>
      </c>
      <c r="Q487" s="31">
        <v>0</v>
      </c>
      <c r="R487" s="31">
        <v>0</v>
      </c>
      <c r="S487" s="31">
        <v>0</v>
      </c>
      <c r="T487" s="31">
        <v>0</v>
      </c>
      <c r="U487" s="31">
        <v>0</v>
      </c>
      <c r="V487" s="31">
        <v>0</v>
      </c>
      <c r="W487" s="31">
        <v>0</v>
      </c>
      <c r="X487" s="31">
        <v>0</v>
      </c>
      <c r="Y487" s="31">
        <v>0</v>
      </c>
      <c r="Z487" s="31">
        <v>0</v>
      </c>
      <c r="AA487" s="31">
        <v>0</v>
      </c>
      <c r="AB487" s="31">
        <v>0</v>
      </c>
      <c r="AC487" s="31">
        <f t="shared" ref="AC487:AC491" si="114">ROUND(N487*1.5%,2)</f>
        <v>27216.41</v>
      </c>
      <c r="AD487" s="39">
        <v>88574.080000000002</v>
      </c>
      <c r="AE487" s="31">
        <v>0</v>
      </c>
      <c r="AF487" s="34">
        <v>2020</v>
      </c>
      <c r="AG487" s="34">
        <v>2020</v>
      </c>
      <c r="AH487" s="35">
        <v>2020</v>
      </c>
      <c r="AT487" s="20" t="e">
        <f>VLOOKUP(C487,AW:AX,2,FALSE)</f>
        <v>#N/A</v>
      </c>
      <c r="BZ487" s="71"/>
      <c r="CD487" s="20" t="e">
        <f t="shared" si="111"/>
        <v>#N/A</v>
      </c>
    </row>
    <row r="488" spans="1:82" ht="61.5" x14ac:dyDescent="0.85">
      <c r="A488" s="20">
        <v>1</v>
      </c>
      <c r="B488" s="66">
        <f>SUBTOTAL(103,$A$22:A488)</f>
        <v>418</v>
      </c>
      <c r="C488" s="24" t="s">
        <v>148</v>
      </c>
      <c r="D488" s="31">
        <f t="shared" si="113"/>
        <v>10368880.9</v>
      </c>
      <c r="E488" s="31">
        <v>0</v>
      </c>
      <c r="F488" s="31">
        <v>0</v>
      </c>
      <c r="G488" s="31">
        <v>0</v>
      </c>
      <c r="H488" s="31">
        <v>0</v>
      </c>
      <c r="I488" s="31">
        <v>0</v>
      </c>
      <c r="J488" s="31">
        <v>0</v>
      </c>
      <c r="K488" s="33">
        <v>0</v>
      </c>
      <c r="L488" s="31">
        <v>0</v>
      </c>
      <c r="M488" s="39">
        <v>1954.34</v>
      </c>
      <c r="N488" s="39">
        <v>10060425.52</v>
      </c>
      <c r="O488" s="31">
        <v>0</v>
      </c>
      <c r="P488" s="31">
        <v>0</v>
      </c>
      <c r="Q488" s="31">
        <v>0</v>
      </c>
      <c r="R488" s="31">
        <v>0</v>
      </c>
      <c r="S488" s="31">
        <v>0</v>
      </c>
      <c r="T488" s="31">
        <v>0</v>
      </c>
      <c r="U488" s="31">
        <v>0</v>
      </c>
      <c r="V488" s="31">
        <v>0</v>
      </c>
      <c r="W488" s="31">
        <v>0</v>
      </c>
      <c r="X488" s="31">
        <v>0</v>
      </c>
      <c r="Y488" s="31">
        <v>0</v>
      </c>
      <c r="Z488" s="31">
        <v>0</v>
      </c>
      <c r="AA488" s="31">
        <v>0</v>
      </c>
      <c r="AB488" s="31">
        <v>0</v>
      </c>
      <c r="AC488" s="31">
        <f t="shared" si="114"/>
        <v>150906.38</v>
      </c>
      <c r="AD488" s="39">
        <v>157549</v>
      </c>
      <c r="AE488" s="31">
        <v>0</v>
      </c>
      <c r="AF488" s="34">
        <v>2020</v>
      </c>
      <c r="AG488" s="34">
        <v>2020</v>
      </c>
      <c r="AH488" s="35">
        <v>2020</v>
      </c>
      <c r="AT488" s="20" t="e">
        <f>VLOOKUP(C488,AW$488:AX$488,2,FALSE)</f>
        <v>#N/A</v>
      </c>
      <c r="BZ488" s="71"/>
      <c r="CD488" s="20" t="e">
        <f t="shared" si="111"/>
        <v>#N/A</v>
      </c>
    </row>
    <row r="489" spans="1:82" ht="61.5" x14ac:dyDescent="0.85">
      <c r="A489" s="20">
        <v>1</v>
      </c>
      <c r="B489" s="66">
        <f>SUBTOTAL(103,$A$22:A489)</f>
        <v>419</v>
      </c>
      <c r="C489" s="24" t="s">
        <v>1263</v>
      </c>
      <c r="D489" s="31">
        <f t="shared" si="113"/>
        <v>29614.32</v>
      </c>
      <c r="E489" s="31">
        <v>0</v>
      </c>
      <c r="F489" s="31">
        <v>0</v>
      </c>
      <c r="G489" s="31">
        <v>0</v>
      </c>
      <c r="H489" s="31">
        <v>0</v>
      </c>
      <c r="I489" s="31">
        <v>0</v>
      </c>
      <c r="J489" s="31">
        <v>0</v>
      </c>
      <c r="K489" s="33">
        <v>0</v>
      </c>
      <c r="L489" s="31">
        <v>0</v>
      </c>
      <c r="M489" s="31">
        <v>0</v>
      </c>
      <c r="N489" s="31">
        <v>0</v>
      </c>
      <c r="O489" s="31">
        <v>0</v>
      </c>
      <c r="P489" s="31">
        <v>0</v>
      </c>
      <c r="Q489" s="31">
        <v>0</v>
      </c>
      <c r="R489" s="31">
        <v>0</v>
      </c>
      <c r="S489" s="31">
        <v>0</v>
      </c>
      <c r="T489" s="31">
        <v>0</v>
      </c>
      <c r="U489" s="31">
        <v>0</v>
      </c>
      <c r="V489" s="31">
        <v>0</v>
      </c>
      <c r="W489" s="31">
        <v>0</v>
      </c>
      <c r="X489" s="31">
        <v>0</v>
      </c>
      <c r="Y489" s="31">
        <v>0</v>
      </c>
      <c r="Z489" s="31">
        <v>0</v>
      </c>
      <c r="AA489" s="31">
        <v>0</v>
      </c>
      <c r="AB489" s="31">
        <v>0</v>
      </c>
      <c r="AC489" s="31">
        <f t="shared" si="114"/>
        <v>0</v>
      </c>
      <c r="AD489" s="39">
        <v>29614.32</v>
      </c>
      <c r="AE489" s="31">
        <v>0</v>
      </c>
      <c r="AF489" s="34">
        <v>2020</v>
      </c>
      <c r="AG489" s="34" t="s">
        <v>270</v>
      </c>
      <c r="AH489" s="34" t="s">
        <v>270</v>
      </c>
      <c r="BZ489" s="71"/>
      <c r="CD489" s="20">
        <f t="shared" si="111"/>
        <v>1105</v>
      </c>
    </row>
    <row r="490" spans="1:82" ht="61.5" x14ac:dyDescent="0.85">
      <c r="A490" s="20">
        <v>1</v>
      </c>
      <c r="B490" s="66">
        <f>SUBTOTAL(103,$A$22:A490)</f>
        <v>420</v>
      </c>
      <c r="C490" s="24" t="s">
        <v>1264</v>
      </c>
      <c r="D490" s="31">
        <f t="shared" si="113"/>
        <v>3408422.6399999997</v>
      </c>
      <c r="E490" s="31">
        <v>0</v>
      </c>
      <c r="F490" s="31">
        <v>0</v>
      </c>
      <c r="G490" s="31">
        <v>0</v>
      </c>
      <c r="H490" s="31">
        <v>0</v>
      </c>
      <c r="I490" s="31">
        <v>0</v>
      </c>
      <c r="J490" s="31">
        <v>0</v>
      </c>
      <c r="K490" s="33">
        <v>0</v>
      </c>
      <c r="L490" s="31">
        <v>0</v>
      </c>
      <c r="M490" s="39">
        <v>835.43</v>
      </c>
      <c r="N490" s="39">
        <v>3358051.86</v>
      </c>
      <c r="O490" s="31">
        <v>0</v>
      </c>
      <c r="P490" s="31">
        <v>0</v>
      </c>
      <c r="Q490" s="31">
        <v>0</v>
      </c>
      <c r="R490" s="31">
        <v>0</v>
      </c>
      <c r="S490" s="31">
        <v>0</v>
      </c>
      <c r="T490" s="31">
        <v>0</v>
      </c>
      <c r="U490" s="31">
        <v>0</v>
      </c>
      <c r="V490" s="31">
        <v>0</v>
      </c>
      <c r="W490" s="31">
        <v>0</v>
      </c>
      <c r="X490" s="31">
        <v>0</v>
      </c>
      <c r="Y490" s="31">
        <v>0</v>
      </c>
      <c r="Z490" s="31">
        <v>0</v>
      </c>
      <c r="AA490" s="31">
        <v>0</v>
      </c>
      <c r="AB490" s="31">
        <v>0</v>
      </c>
      <c r="AC490" s="31">
        <f t="shared" si="114"/>
        <v>50370.78</v>
      </c>
      <c r="AD490" s="31">
        <v>0</v>
      </c>
      <c r="AE490" s="31">
        <v>0</v>
      </c>
      <c r="AF490" s="34" t="s">
        <v>270</v>
      </c>
      <c r="AG490" s="34">
        <v>2020</v>
      </c>
      <c r="AH490" s="35">
        <v>2020</v>
      </c>
      <c r="BZ490" s="71"/>
      <c r="CD490" s="20">
        <f t="shared" si="111"/>
        <v>835.43</v>
      </c>
    </row>
    <row r="491" spans="1:82" ht="61.5" x14ac:dyDescent="0.85">
      <c r="A491" s="20">
        <v>1</v>
      </c>
      <c r="B491" s="66">
        <f>SUBTOTAL(103,$A$22:A491)</f>
        <v>421</v>
      </c>
      <c r="C491" s="24" t="s">
        <v>1265</v>
      </c>
      <c r="D491" s="31">
        <f t="shared" si="113"/>
        <v>6178941.4499999993</v>
      </c>
      <c r="E491" s="31">
        <v>0</v>
      </c>
      <c r="F491" s="31">
        <v>0</v>
      </c>
      <c r="G491" s="31">
        <v>0</v>
      </c>
      <c r="H491" s="31">
        <v>0</v>
      </c>
      <c r="I491" s="31">
        <v>0</v>
      </c>
      <c r="J491" s="31">
        <v>0</v>
      </c>
      <c r="K491" s="33">
        <v>0</v>
      </c>
      <c r="L491" s="31">
        <v>0</v>
      </c>
      <c r="M491" s="31">
        <v>1401.4</v>
      </c>
      <c r="N491" s="31">
        <f>6898654.81+28564.59-1000000+160407.64</f>
        <v>6087627.0399999991</v>
      </c>
      <c r="O491" s="31">
        <v>0</v>
      </c>
      <c r="P491" s="31">
        <v>0</v>
      </c>
      <c r="Q491" s="31">
        <v>0</v>
      </c>
      <c r="R491" s="31">
        <v>0</v>
      </c>
      <c r="S491" s="31">
        <v>0</v>
      </c>
      <c r="T491" s="31">
        <v>0</v>
      </c>
      <c r="U491" s="31">
        <v>0</v>
      </c>
      <c r="V491" s="31">
        <v>0</v>
      </c>
      <c r="W491" s="31">
        <v>0</v>
      </c>
      <c r="X491" s="31">
        <v>0</v>
      </c>
      <c r="Y491" s="31">
        <v>0</v>
      </c>
      <c r="Z491" s="31">
        <v>0</v>
      </c>
      <c r="AA491" s="31">
        <v>0</v>
      </c>
      <c r="AB491" s="31">
        <v>0</v>
      </c>
      <c r="AC491" s="31">
        <f t="shared" si="114"/>
        <v>91314.41</v>
      </c>
      <c r="AD491" s="31">
        <v>0</v>
      </c>
      <c r="AE491" s="31">
        <v>0</v>
      </c>
      <c r="AF491" s="34" t="s">
        <v>270</v>
      </c>
      <c r="AG491" s="34">
        <v>2020</v>
      </c>
      <c r="AH491" s="35">
        <v>2020</v>
      </c>
      <c r="BZ491" s="71"/>
      <c r="CD491" s="20">
        <f t="shared" si="111"/>
        <v>1401.4</v>
      </c>
    </row>
    <row r="492" spans="1:82" ht="61.5" x14ac:dyDescent="0.85">
      <c r="A492" s="20">
        <v>1</v>
      </c>
      <c r="B492" s="66">
        <f>SUBTOTAL(103,$A$22:A492)</f>
        <v>422</v>
      </c>
      <c r="C492" s="24" t="s">
        <v>167</v>
      </c>
      <c r="D492" s="31">
        <f t="shared" si="113"/>
        <v>387946.49</v>
      </c>
      <c r="E492" s="31">
        <v>0</v>
      </c>
      <c r="F492" s="31">
        <v>0</v>
      </c>
      <c r="G492" s="31">
        <v>0</v>
      </c>
      <c r="H492" s="31">
        <v>0</v>
      </c>
      <c r="I492" s="31">
        <v>0</v>
      </c>
      <c r="J492" s="31">
        <v>0</v>
      </c>
      <c r="K492" s="33">
        <v>0</v>
      </c>
      <c r="L492" s="31">
        <v>0</v>
      </c>
      <c r="M492" s="31">
        <v>0</v>
      </c>
      <c r="N492" s="31">
        <v>0</v>
      </c>
      <c r="O492" s="31">
        <v>192</v>
      </c>
      <c r="P492" s="31">
        <v>318485.12</v>
      </c>
      <c r="Q492" s="31">
        <v>0</v>
      </c>
      <c r="R492" s="31">
        <v>0</v>
      </c>
      <c r="S492" s="31">
        <v>0</v>
      </c>
      <c r="T492" s="31">
        <v>0</v>
      </c>
      <c r="U492" s="31">
        <v>0</v>
      </c>
      <c r="V492" s="31">
        <v>0</v>
      </c>
      <c r="W492" s="31">
        <v>0</v>
      </c>
      <c r="X492" s="31">
        <v>0</v>
      </c>
      <c r="Y492" s="31">
        <v>0</v>
      </c>
      <c r="Z492" s="31">
        <v>0</v>
      </c>
      <c r="AA492" s="31">
        <v>0</v>
      </c>
      <c r="AB492" s="31">
        <v>0</v>
      </c>
      <c r="AC492" s="31">
        <f>ROUND(P492*1.5%,2)</f>
        <v>4777.28</v>
      </c>
      <c r="AD492" s="179">
        <v>64684.09</v>
      </c>
      <c r="AE492" s="31">
        <v>0</v>
      </c>
      <c r="AF492" s="34">
        <v>2020</v>
      </c>
      <c r="AG492" s="34">
        <v>2020</v>
      </c>
      <c r="AH492" s="35">
        <v>2020</v>
      </c>
      <c r="AT492" s="20" t="e">
        <f>VLOOKUP(C492,AW:AX,2,FALSE)</f>
        <v>#N/A</v>
      </c>
      <c r="BZ492" s="71"/>
      <c r="CD492" s="20" t="e">
        <f t="shared" si="111"/>
        <v>#N/A</v>
      </c>
    </row>
    <row r="493" spans="1:82" ht="61.5" x14ac:dyDescent="0.85">
      <c r="A493" s="20">
        <v>1</v>
      </c>
      <c r="B493" s="66">
        <f>SUBTOTAL(103,$A$22:A493)</f>
        <v>423</v>
      </c>
      <c r="C493" s="24" t="s">
        <v>1287</v>
      </c>
      <c r="D493" s="31">
        <f t="shared" si="113"/>
        <v>1019081.84</v>
      </c>
      <c r="E493" s="31">
        <v>0</v>
      </c>
      <c r="F493" s="31">
        <v>0</v>
      </c>
      <c r="G493" s="179">
        <v>899499.24</v>
      </c>
      <c r="H493" s="31">
        <v>0</v>
      </c>
      <c r="I493" s="31">
        <v>0</v>
      </c>
      <c r="J493" s="31">
        <v>0</v>
      </c>
      <c r="K493" s="33">
        <v>0</v>
      </c>
      <c r="L493" s="31">
        <v>0</v>
      </c>
      <c r="M493" s="88">
        <v>0</v>
      </c>
      <c r="N493" s="88">
        <v>0</v>
      </c>
      <c r="O493" s="31">
        <v>0</v>
      </c>
      <c r="P493" s="31">
        <v>0</v>
      </c>
      <c r="Q493" s="31">
        <v>0</v>
      </c>
      <c r="R493" s="31">
        <v>0</v>
      </c>
      <c r="S493" s="31">
        <v>0</v>
      </c>
      <c r="T493" s="31">
        <v>0</v>
      </c>
      <c r="U493" s="31">
        <v>0</v>
      </c>
      <c r="V493" s="31">
        <v>0</v>
      </c>
      <c r="W493" s="31">
        <v>0</v>
      </c>
      <c r="X493" s="31">
        <v>0</v>
      </c>
      <c r="Y493" s="31">
        <v>0</v>
      </c>
      <c r="Z493" s="31">
        <v>0</v>
      </c>
      <c r="AA493" s="31">
        <v>0</v>
      </c>
      <c r="AB493" s="31">
        <v>0</v>
      </c>
      <c r="AC493" s="31">
        <f>ROUND((E493+F493+G493+H493+I493+J493)*1.5%,2)</f>
        <v>13492.49</v>
      </c>
      <c r="AD493" s="39">
        <v>106090.11</v>
      </c>
      <c r="AE493" s="31">
        <v>0</v>
      </c>
      <c r="AF493" s="34">
        <v>2020</v>
      </c>
      <c r="AG493" s="34">
        <v>2020</v>
      </c>
      <c r="AH493" s="35">
        <v>2020</v>
      </c>
      <c r="BZ493" s="71"/>
      <c r="CD493" s="20" t="e">
        <f t="shared" si="111"/>
        <v>#N/A</v>
      </c>
    </row>
    <row r="494" spans="1:82" ht="61.5" x14ac:dyDescent="0.85">
      <c r="B494" s="24" t="s">
        <v>1261</v>
      </c>
      <c r="C494" s="24"/>
      <c r="D494" s="195">
        <f>D495</f>
        <v>1499263.62</v>
      </c>
      <c r="E494" s="31">
        <f t="shared" ref="E494:AE494" si="115">E495</f>
        <v>0</v>
      </c>
      <c r="F494" s="31">
        <f t="shared" si="115"/>
        <v>0</v>
      </c>
      <c r="G494" s="31">
        <f t="shared" si="115"/>
        <v>0</v>
      </c>
      <c r="H494" s="31">
        <f t="shared" si="115"/>
        <v>0</v>
      </c>
      <c r="I494" s="31">
        <f t="shared" si="115"/>
        <v>0</v>
      </c>
      <c r="J494" s="31">
        <f t="shared" si="115"/>
        <v>0</v>
      </c>
      <c r="K494" s="33">
        <f t="shared" si="115"/>
        <v>0</v>
      </c>
      <c r="L494" s="31">
        <f t="shared" si="115"/>
        <v>0</v>
      </c>
      <c r="M494" s="31">
        <f t="shared" si="115"/>
        <v>484.49</v>
      </c>
      <c r="N494" s="31">
        <f t="shared" si="115"/>
        <v>1477107.01</v>
      </c>
      <c r="O494" s="31">
        <f t="shared" si="115"/>
        <v>0</v>
      </c>
      <c r="P494" s="31">
        <f t="shared" si="115"/>
        <v>0</v>
      </c>
      <c r="Q494" s="31">
        <f t="shared" si="115"/>
        <v>0</v>
      </c>
      <c r="R494" s="31">
        <f t="shared" si="115"/>
        <v>0</v>
      </c>
      <c r="S494" s="31">
        <f t="shared" si="115"/>
        <v>0</v>
      </c>
      <c r="T494" s="31">
        <f t="shared" si="115"/>
        <v>0</v>
      </c>
      <c r="U494" s="31">
        <f t="shared" si="115"/>
        <v>0</v>
      </c>
      <c r="V494" s="31">
        <f t="shared" si="115"/>
        <v>0</v>
      </c>
      <c r="W494" s="31">
        <f t="shared" si="115"/>
        <v>0</v>
      </c>
      <c r="X494" s="31">
        <f t="shared" si="115"/>
        <v>0</v>
      </c>
      <c r="Y494" s="31">
        <f t="shared" si="115"/>
        <v>0</v>
      </c>
      <c r="Z494" s="31">
        <f t="shared" si="115"/>
        <v>0</v>
      </c>
      <c r="AA494" s="31">
        <f t="shared" si="115"/>
        <v>0</v>
      </c>
      <c r="AB494" s="31">
        <f t="shared" si="115"/>
        <v>0</v>
      </c>
      <c r="AC494" s="31">
        <f t="shared" si="115"/>
        <v>22156.61</v>
      </c>
      <c r="AD494" s="31">
        <f t="shared" si="115"/>
        <v>0</v>
      </c>
      <c r="AE494" s="31">
        <f t="shared" si="115"/>
        <v>0</v>
      </c>
      <c r="AF494" s="72" t="s">
        <v>757</v>
      </c>
      <c r="AG494" s="72" t="s">
        <v>757</v>
      </c>
      <c r="AH494" s="87" t="s">
        <v>757</v>
      </c>
      <c r="BZ494" s="71">
        <v>2298882.5099999998</v>
      </c>
      <c r="CD494" s="20" t="e">
        <f t="shared" si="111"/>
        <v>#N/A</v>
      </c>
    </row>
    <row r="495" spans="1:82" ht="61.5" x14ac:dyDescent="0.85">
      <c r="A495" s="20">
        <v>1</v>
      </c>
      <c r="B495" s="66">
        <f>SUBTOTAL(103,$A$22:A495)</f>
        <v>424</v>
      </c>
      <c r="C495" s="24" t="s">
        <v>1262</v>
      </c>
      <c r="D495" s="31">
        <f>E495+F495+G495+H495+I495+J495+L495+N495+P495+R495+T495+U495+V495+W495+X495+Y495+Z495+AA495+AB495+AC495+AD495+AE495</f>
        <v>1499263.62</v>
      </c>
      <c r="E495" s="31">
        <v>0</v>
      </c>
      <c r="F495" s="31">
        <v>0</v>
      </c>
      <c r="G495" s="31">
        <v>0</v>
      </c>
      <c r="H495" s="31">
        <v>0</v>
      </c>
      <c r="I495" s="31">
        <v>0</v>
      </c>
      <c r="J495" s="31">
        <v>0</v>
      </c>
      <c r="K495" s="33">
        <v>0</v>
      </c>
      <c r="L495" s="31">
        <v>0</v>
      </c>
      <c r="M495" s="39">
        <v>484.49</v>
      </c>
      <c r="N495" s="39">
        <v>1477107.01</v>
      </c>
      <c r="O495" s="31">
        <v>0</v>
      </c>
      <c r="P495" s="31">
        <v>0</v>
      </c>
      <c r="Q495" s="31">
        <v>0</v>
      </c>
      <c r="R495" s="31">
        <v>0</v>
      </c>
      <c r="S495" s="31">
        <v>0</v>
      </c>
      <c r="T495" s="31">
        <v>0</v>
      </c>
      <c r="U495" s="31">
        <v>0</v>
      </c>
      <c r="V495" s="31">
        <v>0</v>
      </c>
      <c r="W495" s="31">
        <v>0</v>
      </c>
      <c r="X495" s="31">
        <v>0</v>
      </c>
      <c r="Y495" s="31">
        <v>0</v>
      </c>
      <c r="Z495" s="31">
        <v>0</v>
      </c>
      <c r="AA495" s="31">
        <v>0</v>
      </c>
      <c r="AB495" s="31">
        <v>0</v>
      </c>
      <c r="AC495" s="31">
        <f>ROUND(N495*1.5%,2)</f>
        <v>22156.61</v>
      </c>
      <c r="AD495" s="31">
        <v>0</v>
      </c>
      <c r="AE495" s="31">
        <v>0</v>
      </c>
      <c r="AF495" s="34" t="s">
        <v>270</v>
      </c>
      <c r="AG495" s="34">
        <v>2020</v>
      </c>
      <c r="AH495" s="35">
        <v>2020</v>
      </c>
      <c r="BZ495" s="71"/>
      <c r="CD495" s="20">
        <f t="shared" si="111"/>
        <v>467.74</v>
      </c>
    </row>
    <row r="496" spans="1:82" ht="61.5" x14ac:dyDescent="0.85">
      <c r="B496" s="24" t="s">
        <v>1054</v>
      </c>
      <c r="C496" s="24"/>
      <c r="D496" s="195">
        <f>D497</f>
        <v>474650.14999999997</v>
      </c>
      <c r="E496" s="31">
        <f t="shared" ref="E496:AE496" si="116">E497</f>
        <v>0</v>
      </c>
      <c r="F496" s="31">
        <f t="shared" si="116"/>
        <v>0</v>
      </c>
      <c r="G496" s="31">
        <f t="shared" si="116"/>
        <v>0</v>
      </c>
      <c r="H496" s="31">
        <f t="shared" si="116"/>
        <v>0</v>
      </c>
      <c r="I496" s="31">
        <f t="shared" si="116"/>
        <v>0</v>
      </c>
      <c r="J496" s="31">
        <f t="shared" si="116"/>
        <v>0</v>
      </c>
      <c r="K496" s="33">
        <f t="shared" si="116"/>
        <v>0</v>
      </c>
      <c r="L496" s="31">
        <f t="shared" si="116"/>
        <v>0</v>
      </c>
      <c r="M496" s="31">
        <f t="shared" si="116"/>
        <v>0</v>
      </c>
      <c r="N496" s="31">
        <f t="shared" si="116"/>
        <v>0</v>
      </c>
      <c r="O496" s="31">
        <f t="shared" si="116"/>
        <v>0</v>
      </c>
      <c r="P496" s="31">
        <f t="shared" si="116"/>
        <v>0</v>
      </c>
      <c r="Q496" s="31">
        <f t="shared" si="116"/>
        <v>119.3</v>
      </c>
      <c r="R496" s="31">
        <f t="shared" si="116"/>
        <v>362161.55</v>
      </c>
      <c r="S496" s="31">
        <f t="shared" si="116"/>
        <v>0</v>
      </c>
      <c r="T496" s="31">
        <f t="shared" si="116"/>
        <v>0</v>
      </c>
      <c r="U496" s="31">
        <f t="shared" si="116"/>
        <v>0</v>
      </c>
      <c r="V496" s="31">
        <f t="shared" si="116"/>
        <v>0</v>
      </c>
      <c r="W496" s="31">
        <f t="shared" si="116"/>
        <v>0</v>
      </c>
      <c r="X496" s="31">
        <f t="shared" si="116"/>
        <v>0</v>
      </c>
      <c r="Y496" s="31">
        <f t="shared" si="116"/>
        <v>0</v>
      </c>
      <c r="Z496" s="31">
        <f t="shared" si="116"/>
        <v>0</v>
      </c>
      <c r="AA496" s="31">
        <f t="shared" si="116"/>
        <v>0</v>
      </c>
      <c r="AB496" s="31">
        <f t="shared" si="116"/>
        <v>0</v>
      </c>
      <c r="AC496" s="31">
        <f t="shared" si="116"/>
        <v>5432.42</v>
      </c>
      <c r="AD496" s="31">
        <f t="shared" si="116"/>
        <v>107056.18</v>
      </c>
      <c r="AE496" s="31">
        <f t="shared" si="116"/>
        <v>0</v>
      </c>
      <c r="AF496" s="72" t="s">
        <v>757</v>
      </c>
      <c r="AG496" s="72" t="s">
        <v>757</v>
      </c>
      <c r="AH496" s="87" t="s">
        <v>757</v>
      </c>
      <c r="BZ496" s="71">
        <v>467593.97</v>
      </c>
      <c r="CD496" s="20" t="e">
        <f t="shared" si="111"/>
        <v>#N/A</v>
      </c>
    </row>
    <row r="497" spans="1:83" ht="61.5" x14ac:dyDescent="0.85">
      <c r="A497" s="20">
        <v>1</v>
      </c>
      <c r="B497" s="66">
        <f>SUBTOTAL(103,$A$22:A497)</f>
        <v>425</v>
      </c>
      <c r="C497" s="24" t="s">
        <v>1042</v>
      </c>
      <c r="D497" s="31">
        <f>E497+F497+G497+H497+I497+J497+L497+N497+P497+R497+T497+U497+V497+W497+X497+Y497+Z497+AA497+AB497+AC497+AD497+AE497</f>
        <v>474650.14999999997</v>
      </c>
      <c r="E497" s="31">
        <v>0</v>
      </c>
      <c r="F497" s="31">
        <v>0</v>
      </c>
      <c r="G497" s="31">
        <v>0</v>
      </c>
      <c r="H497" s="31">
        <v>0</v>
      </c>
      <c r="I497" s="31">
        <v>0</v>
      </c>
      <c r="J497" s="31">
        <v>0</v>
      </c>
      <c r="K497" s="33">
        <v>0</v>
      </c>
      <c r="L497" s="31">
        <v>0</v>
      </c>
      <c r="M497" s="31">
        <v>0</v>
      </c>
      <c r="N497" s="31">
        <v>0</v>
      </c>
      <c r="O497" s="31">
        <v>0</v>
      </c>
      <c r="P497" s="31">
        <v>0</v>
      </c>
      <c r="Q497" s="31">
        <v>119.3</v>
      </c>
      <c r="R497" s="31">
        <f>362161.55</f>
        <v>362161.55</v>
      </c>
      <c r="S497" s="31">
        <v>0</v>
      </c>
      <c r="T497" s="31">
        <v>0</v>
      </c>
      <c r="U497" s="31">
        <v>0</v>
      </c>
      <c r="V497" s="31">
        <v>0</v>
      </c>
      <c r="W497" s="31">
        <v>0</v>
      </c>
      <c r="X497" s="31">
        <v>0</v>
      </c>
      <c r="Y497" s="31">
        <v>0</v>
      </c>
      <c r="Z497" s="31">
        <v>0</v>
      </c>
      <c r="AA497" s="31">
        <v>0</v>
      </c>
      <c r="AB497" s="31">
        <v>0</v>
      </c>
      <c r="AC497" s="31">
        <f>ROUND(R497*1.5%,2)</f>
        <v>5432.42</v>
      </c>
      <c r="AD497" s="39">
        <v>107056.18</v>
      </c>
      <c r="AE497" s="31">
        <v>0</v>
      </c>
      <c r="AF497" s="34">
        <v>2020</v>
      </c>
      <c r="AG497" s="34">
        <v>2020</v>
      </c>
      <c r="AH497" s="35">
        <v>2020</v>
      </c>
      <c r="BZ497" s="71"/>
      <c r="CD497" s="20" t="e">
        <f t="shared" si="111"/>
        <v>#N/A</v>
      </c>
    </row>
    <row r="498" spans="1:83" ht="61.5" x14ac:dyDescent="0.85">
      <c r="B498" s="24" t="s">
        <v>888</v>
      </c>
      <c r="C498" s="108"/>
      <c r="D498" s="195">
        <f>SUM(D499:D502)</f>
        <v>3392825.56</v>
      </c>
      <c r="E498" s="31">
        <f t="shared" ref="E498:AE498" si="117">SUM(E499:E502)</f>
        <v>0</v>
      </c>
      <c r="F498" s="31">
        <f t="shared" si="117"/>
        <v>0</v>
      </c>
      <c r="G498" s="31">
        <f t="shared" si="117"/>
        <v>0</v>
      </c>
      <c r="H498" s="31">
        <f t="shared" si="117"/>
        <v>0</v>
      </c>
      <c r="I498" s="31">
        <f t="shared" si="117"/>
        <v>0</v>
      </c>
      <c r="J498" s="31">
        <f t="shared" si="117"/>
        <v>0</v>
      </c>
      <c r="K498" s="76">
        <f t="shared" si="117"/>
        <v>0</v>
      </c>
      <c r="L498" s="31">
        <f t="shared" si="117"/>
        <v>0</v>
      </c>
      <c r="M498" s="31">
        <f t="shared" si="117"/>
        <v>785</v>
      </c>
      <c r="N498" s="31">
        <f t="shared" si="117"/>
        <v>3380450.98</v>
      </c>
      <c r="O498" s="31">
        <f t="shared" si="117"/>
        <v>0</v>
      </c>
      <c r="P498" s="31">
        <f t="shared" si="117"/>
        <v>0</v>
      </c>
      <c r="Q498" s="31">
        <f t="shared" si="117"/>
        <v>0</v>
      </c>
      <c r="R498" s="31">
        <f t="shared" si="117"/>
        <v>0</v>
      </c>
      <c r="S498" s="31">
        <f t="shared" si="117"/>
        <v>0</v>
      </c>
      <c r="T498" s="31">
        <f t="shared" si="117"/>
        <v>0</v>
      </c>
      <c r="U498" s="31">
        <f t="shared" si="117"/>
        <v>0</v>
      </c>
      <c r="V498" s="31">
        <f t="shared" si="117"/>
        <v>0</v>
      </c>
      <c r="W498" s="31">
        <f t="shared" si="117"/>
        <v>0</v>
      </c>
      <c r="X498" s="31">
        <f t="shared" si="117"/>
        <v>0</v>
      </c>
      <c r="Y498" s="31">
        <f t="shared" si="117"/>
        <v>0</v>
      </c>
      <c r="Z498" s="31">
        <f t="shared" si="117"/>
        <v>0</v>
      </c>
      <c r="AA498" s="31">
        <f t="shared" si="117"/>
        <v>0</v>
      </c>
      <c r="AB498" s="31">
        <f t="shared" si="117"/>
        <v>0</v>
      </c>
      <c r="AC498" s="31">
        <f t="shared" si="117"/>
        <v>12374.58</v>
      </c>
      <c r="AD498" s="31">
        <f t="shared" si="117"/>
        <v>0</v>
      </c>
      <c r="AE498" s="31">
        <f t="shared" si="117"/>
        <v>0</v>
      </c>
      <c r="AF498" s="72" t="s">
        <v>757</v>
      </c>
      <c r="AG498" s="72" t="s">
        <v>757</v>
      </c>
      <c r="AH498" s="87" t="s">
        <v>757</v>
      </c>
      <c r="AT498" s="20" t="e">
        <f t="shared" ref="AT498:AT505" si="118">VLOOKUP(C498,AW:AX,2,FALSE)</f>
        <v>#N/A</v>
      </c>
      <c r="BZ498" s="71">
        <v>3974620.0799999996</v>
      </c>
      <c r="CD498" s="20" t="e">
        <f t="shared" si="111"/>
        <v>#N/A</v>
      </c>
    </row>
    <row r="499" spans="1:83" ht="61.5" x14ac:dyDescent="0.85">
      <c r="A499" s="20">
        <v>1</v>
      </c>
      <c r="B499" s="66">
        <f>SUBTOTAL(103,$A$22:A499)</f>
        <v>426</v>
      </c>
      <c r="C499" s="24" t="s">
        <v>1693</v>
      </c>
      <c r="D499" s="31">
        <f>E499+F499+G499+H499+I499+J499+L499+N499+P499+R499+T499+U499+V499+W499+X499+Y499+Z499+AA499+AB499+AC499+AD499+AE499</f>
        <v>837346.34</v>
      </c>
      <c r="E499" s="31">
        <v>0</v>
      </c>
      <c r="F499" s="31">
        <v>0</v>
      </c>
      <c r="G499" s="31">
        <v>0</v>
      </c>
      <c r="H499" s="31">
        <v>0</v>
      </c>
      <c r="I499" s="31">
        <v>0</v>
      </c>
      <c r="J499" s="31">
        <v>0</v>
      </c>
      <c r="K499" s="33">
        <v>0</v>
      </c>
      <c r="L499" s="31">
        <v>0</v>
      </c>
      <c r="M499" s="31">
        <v>205</v>
      </c>
      <c r="N499" s="31">
        <v>824971.76</v>
      </c>
      <c r="O499" s="31">
        <v>0</v>
      </c>
      <c r="P499" s="31">
        <v>0</v>
      </c>
      <c r="Q499" s="31">
        <v>0</v>
      </c>
      <c r="R499" s="31">
        <v>0</v>
      </c>
      <c r="S499" s="31">
        <v>0</v>
      </c>
      <c r="T499" s="31">
        <v>0</v>
      </c>
      <c r="U499" s="31">
        <v>0</v>
      </c>
      <c r="V499" s="31">
        <v>0</v>
      </c>
      <c r="W499" s="31">
        <v>0</v>
      </c>
      <c r="X499" s="31">
        <v>0</v>
      </c>
      <c r="Y499" s="31">
        <v>0</v>
      </c>
      <c r="Z499" s="31">
        <v>0</v>
      </c>
      <c r="AA499" s="31">
        <v>0</v>
      </c>
      <c r="AB499" s="31">
        <v>0</v>
      </c>
      <c r="AC499" s="31">
        <f>ROUND(N499*1.5%,2)</f>
        <v>12374.58</v>
      </c>
      <c r="AD499" s="31">
        <v>0</v>
      </c>
      <c r="AE499" s="31">
        <v>0</v>
      </c>
      <c r="AF499" s="34" t="s">
        <v>270</v>
      </c>
      <c r="AG499" s="34">
        <v>2020</v>
      </c>
      <c r="AH499" s="35">
        <v>2020</v>
      </c>
      <c r="AT499" s="20" t="e">
        <f t="shared" si="118"/>
        <v>#N/A</v>
      </c>
      <c r="BZ499" s="71"/>
      <c r="CD499" s="20" t="e">
        <f t="shared" si="111"/>
        <v>#N/A</v>
      </c>
    </row>
    <row r="500" spans="1:83" ht="61.5" x14ac:dyDescent="0.85">
      <c r="A500" s="20">
        <v>1</v>
      </c>
      <c r="B500" s="66">
        <f>SUBTOTAL(103,$A$22:A500)</f>
        <v>427</v>
      </c>
      <c r="C500" s="24" t="s">
        <v>1694</v>
      </c>
      <c r="D500" s="31">
        <f>E500+F500+G500+H500+I500+J500+L500+N500+P500+R500+T500+U500+V500+W500+X500+Y500+Z500+AA500+AB500+AC500+AD500+AE500</f>
        <v>848636.41</v>
      </c>
      <c r="E500" s="31">
        <v>0</v>
      </c>
      <c r="F500" s="31">
        <v>0</v>
      </c>
      <c r="G500" s="31">
        <v>0</v>
      </c>
      <c r="H500" s="31">
        <v>0</v>
      </c>
      <c r="I500" s="31">
        <v>0</v>
      </c>
      <c r="J500" s="31">
        <v>0</v>
      </c>
      <c r="K500" s="33">
        <v>0</v>
      </c>
      <c r="L500" s="31">
        <v>0</v>
      </c>
      <c r="M500" s="31">
        <v>194.1</v>
      </c>
      <c r="N500" s="31">
        <v>848636.41</v>
      </c>
      <c r="O500" s="31">
        <v>0</v>
      </c>
      <c r="P500" s="31">
        <v>0</v>
      </c>
      <c r="Q500" s="31">
        <v>0</v>
      </c>
      <c r="R500" s="31">
        <v>0</v>
      </c>
      <c r="S500" s="31">
        <v>0</v>
      </c>
      <c r="T500" s="31">
        <v>0</v>
      </c>
      <c r="U500" s="31">
        <v>0</v>
      </c>
      <c r="V500" s="31">
        <v>0</v>
      </c>
      <c r="W500" s="31">
        <v>0</v>
      </c>
      <c r="X500" s="31">
        <v>0</v>
      </c>
      <c r="Y500" s="31">
        <v>0</v>
      </c>
      <c r="Z500" s="31">
        <v>0</v>
      </c>
      <c r="AA500" s="31">
        <v>0</v>
      </c>
      <c r="AB500" s="31">
        <v>0</v>
      </c>
      <c r="AC500" s="31">
        <v>0</v>
      </c>
      <c r="AD500" s="31">
        <v>0</v>
      </c>
      <c r="AE500" s="31">
        <v>0</v>
      </c>
      <c r="AF500" s="34" t="s">
        <v>270</v>
      </c>
      <c r="AG500" s="34">
        <v>2020</v>
      </c>
      <c r="AH500" s="34" t="s">
        <v>270</v>
      </c>
      <c r="AT500" s="20" t="e">
        <f t="shared" si="118"/>
        <v>#N/A</v>
      </c>
      <c r="BZ500" s="71"/>
      <c r="CD500" s="20" t="e">
        <f t="shared" si="111"/>
        <v>#N/A</v>
      </c>
    </row>
    <row r="501" spans="1:83" ht="61.5" x14ac:dyDescent="0.85">
      <c r="A501" s="20">
        <v>1</v>
      </c>
      <c r="B501" s="66">
        <f>SUBTOTAL(103,$A$22:A501)</f>
        <v>428</v>
      </c>
      <c r="C501" s="24" t="s">
        <v>1695</v>
      </c>
      <c r="D501" s="31">
        <f>E501+F501+G501+H501+I501+J501+L501+N501+P501+R501+T501+U501+V501+W501+X501+Y501+Z501+AA501+AB501+AC501+AD501+AE501</f>
        <v>854226.54</v>
      </c>
      <c r="E501" s="31">
        <v>0</v>
      </c>
      <c r="F501" s="31">
        <v>0</v>
      </c>
      <c r="G501" s="31">
        <v>0</v>
      </c>
      <c r="H501" s="31">
        <v>0</v>
      </c>
      <c r="I501" s="31">
        <v>0</v>
      </c>
      <c r="J501" s="31">
        <v>0</v>
      </c>
      <c r="K501" s="33">
        <v>0</v>
      </c>
      <c r="L501" s="31">
        <v>0</v>
      </c>
      <c r="M501" s="31">
        <v>193.2</v>
      </c>
      <c r="N501" s="31">
        <v>854226.54</v>
      </c>
      <c r="O501" s="31">
        <v>0</v>
      </c>
      <c r="P501" s="31">
        <v>0</v>
      </c>
      <c r="Q501" s="31">
        <v>0</v>
      </c>
      <c r="R501" s="31">
        <v>0</v>
      </c>
      <c r="S501" s="31">
        <v>0</v>
      </c>
      <c r="T501" s="31">
        <v>0</v>
      </c>
      <c r="U501" s="31">
        <v>0</v>
      </c>
      <c r="V501" s="31">
        <v>0</v>
      </c>
      <c r="W501" s="31">
        <v>0</v>
      </c>
      <c r="X501" s="31">
        <v>0</v>
      </c>
      <c r="Y501" s="31">
        <v>0</v>
      </c>
      <c r="Z501" s="31">
        <v>0</v>
      </c>
      <c r="AA501" s="31">
        <v>0</v>
      </c>
      <c r="AB501" s="31">
        <v>0</v>
      </c>
      <c r="AC501" s="31">
        <v>0</v>
      </c>
      <c r="AD501" s="31">
        <v>0</v>
      </c>
      <c r="AE501" s="31">
        <v>0</v>
      </c>
      <c r="AF501" s="34" t="s">
        <v>270</v>
      </c>
      <c r="AG501" s="34">
        <v>2020</v>
      </c>
      <c r="AH501" s="34" t="s">
        <v>270</v>
      </c>
      <c r="AT501" s="20" t="e">
        <f t="shared" si="118"/>
        <v>#N/A</v>
      </c>
      <c r="BZ501" s="71"/>
      <c r="CD501" s="20" t="e">
        <f t="shared" si="111"/>
        <v>#N/A</v>
      </c>
    </row>
    <row r="502" spans="1:83" ht="61.5" x14ac:dyDescent="0.85">
      <c r="A502" s="20">
        <v>1</v>
      </c>
      <c r="B502" s="66">
        <f>SUBTOTAL(103,$A$22:A502)</f>
        <v>429</v>
      </c>
      <c r="C502" s="24" t="s">
        <v>1692</v>
      </c>
      <c r="D502" s="31">
        <f>E502+F502+G502+H502+I502+J502+L502+N502+P502+R502+T502+U502+V502+W502+X502+Y502+Z502+AA502+AB502+AC502+AD502+AE502</f>
        <v>852616.27</v>
      </c>
      <c r="E502" s="31">
        <v>0</v>
      </c>
      <c r="F502" s="31">
        <v>0</v>
      </c>
      <c r="G502" s="31">
        <v>0</v>
      </c>
      <c r="H502" s="31">
        <v>0</v>
      </c>
      <c r="I502" s="31">
        <v>0</v>
      </c>
      <c r="J502" s="31">
        <v>0</v>
      </c>
      <c r="K502" s="33">
        <v>0</v>
      </c>
      <c r="L502" s="31">
        <v>0</v>
      </c>
      <c r="M502" s="31">
        <v>192.7</v>
      </c>
      <c r="N502" s="31">
        <v>852616.27</v>
      </c>
      <c r="O502" s="31">
        <v>0</v>
      </c>
      <c r="P502" s="31">
        <v>0</v>
      </c>
      <c r="Q502" s="31">
        <v>0</v>
      </c>
      <c r="R502" s="31">
        <v>0</v>
      </c>
      <c r="S502" s="31">
        <v>0</v>
      </c>
      <c r="T502" s="31">
        <v>0</v>
      </c>
      <c r="U502" s="31">
        <v>0</v>
      </c>
      <c r="V502" s="31">
        <v>0</v>
      </c>
      <c r="W502" s="31">
        <v>0</v>
      </c>
      <c r="X502" s="31">
        <v>0</v>
      </c>
      <c r="Y502" s="31">
        <v>0</v>
      </c>
      <c r="Z502" s="31">
        <v>0</v>
      </c>
      <c r="AA502" s="31">
        <v>0</v>
      </c>
      <c r="AB502" s="31">
        <v>0</v>
      </c>
      <c r="AC502" s="31">
        <v>0</v>
      </c>
      <c r="AD502" s="31">
        <v>0</v>
      </c>
      <c r="AE502" s="31">
        <v>0</v>
      </c>
      <c r="AF502" s="34" t="s">
        <v>270</v>
      </c>
      <c r="AG502" s="34">
        <v>2020</v>
      </c>
      <c r="AH502" s="35" t="s">
        <v>270</v>
      </c>
      <c r="AT502" s="20" t="e">
        <f t="shared" si="118"/>
        <v>#N/A</v>
      </c>
      <c r="BZ502" s="71"/>
      <c r="CD502" s="20" t="e">
        <f t="shared" si="111"/>
        <v>#N/A</v>
      </c>
    </row>
    <row r="503" spans="1:83" ht="61.5" x14ac:dyDescent="0.85">
      <c r="B503" s="24" t="s">
        <v>860</v>
      </c>
      <c r="C503" s="108"/>
      <c r="D503" s="195">
        <f>SUM(D504:D508)</f>
        <v>7769795.6899999995</v>
      </c>
      <c r="E503" s="31">
        <f t="shared" ref="E503:AE503" si="119">SUM(E504:E508)</f>
        <v>0</v>
      </c>
      <c r="F503" s="31">
        <f t="shared" si="119"/>
        <v>0</v>
      </c>
      <c r="G503" s="31">
        <f t="shared" si="119"/>
        <v>0</v>
      </c>
      <c r="H503" s="31">
        <f t="shared" si="119"/>
        <v>0</v>
      </c>
      <c r="I503" s="31">
        <f t="shared" si="119"/>
        <v>0</v>
      </c>
      <c r="J503" s="31">
        <f t="shared" si="119"/>
        <v>0</v>
      </c>
      <c r="K503" s="33">
        <f t="shared" si="119"/>
        <v>0</v>
      </c>
      <c r="L503" s="31">
        <f t="shared" si="119"/>
        <v>0</v>
      </c>
      <c r="M503" s="31">
        <f t="shared" si="119"/>
        <v>1553.2</v>
      </c>
      <c r="N503" s="31">
        <f t="shared" si="119"/>
        <v>5380395.1500000004</v>
      </c>
      <c r="O503" s="31">
        <f t="shared" si="119"/>
        <v>0</v>
      </c>
      <c r="P503" s="31">
        <f t="shared" si="119"/>
        <v>0</v>
      </c>
      <c r="Q503" s="31">
        <f t="shared" si="119"/>
        <v>925.06</v>
      </c>
      <c r="R503" s="31">
        <f t="shared" si="119"/>
        <v>2149929.41</v>
      </c>
      <c r="S503" s="31">
        <f t="shared" si="119"/>
        <v>0</v>
      </c>
      <c r="T503" s="31">
        <f t="shared" si="119"/>
        <v>0</v>
      </c>
      <c r="U503" s="31">
        <f t="shared" si="119"/>
        <v>0</v>
      </c>
      <c r="V503" s="31">
        <f t="shared" si="119"/>
        <v>0</v>
      </c>
      <c r="W503" s="31">
        <f t="shared" si="119"/>
        <v>0</v>
      </c>
      <c r="X503" s="31">
        <f t="shared" si="119"/>
        <v>0</v>
      </c>
      <c r="Y503" s="31">
        <f t="shared" si="119"/>
        <v>0</v>
      </c>
      <c r="Z503" s="31">
        <f t="shared" si="119"/>
        <v>0</v>
      </c>
      <c r="AA503" s="31">
        <f t="shared" si="119"/>
        <v>0</v>
      </c>
      <c r="AB503" s="31">
        <f t="shared" si="119"/>
        <v>0</v>
      </c>
      <c r="AC503" s="31">
        <f t="shared" si="119"/>
        <v>77392.22</v>
      </c>
      <c r="AD503" s="31">
        <f t="shared" si="119"/>
        <v>162078.90999999997</v>
      </c>
      <c r="AE503" s="31">
        <f t="shared" si="119"/>
        <v>0</v>
      </c>
      <c r="AF503" s="72" t="s">
        <v>757</v>
      </c>
      <c r="AG503" s="72" t="s">
        <v>757</v>
      </c>
      <c r="AH503" s="87" t="s">
        <v>757</v>
      </c>
      <c r="AT503" s="20" t="e">
        <f t="shared" si="118"/>
        <v>#N/A</v>
      </c>
      <c r="BZ503" s="71">
        <v>11081040.970000001</v>
      </c>
      <c r="CB503" s="71">
        <f>BZ503-D503</f>
        <v>3311245.2800000012</v>
      </c>
      <c r="CC503" s="31">
        <v>10960961.029999999</v>
      </c>
      <c r="CD503" s="20" t="e">
        <f t="shared" si="111"/>
        <v>#N/A</v>
      </c>
      <c r="CE503" s="31">
        <f>CC503-D503</f>
        <v>3191165.34</v>
      </c>
    </row>
    <row r="504" spans="1:83" ht="61.5" x14ac:dyDescent="0.85">
      <c r="A504" s="20">
        <v>1</v>
      </c>
      <c r="B504" s="66">
        <f>SUBTOTAL(103,$A$22:A504)</f>
        <v>430</v>
      </c>
      <c r="C504" s="24" t="s">
        <v>89</v>
      </c>
      <c r="D504" s="31">
        <f>E504+F504+G504+H504+I504+J504+L504+N504+P504+R504+T504+U504+V504+W504+X504+Y504+Z504+AA504+AB504+AC504+AD504+AE504</f>
        <v>2421334.88</v>
      </c>
      <c r="E504" s="31">
        <v>0</v>
      </c>
      <c r="F504" s="31">
        <v>0</v>
      </c>
      <c r="G504" s="31">
        <v>0</v>
      </c>
      <c r="H504" s="31">
        <v>0</v>
      </c>
      <c r="I504" s="31">
        <v>0</v>
      </c>
      <c r="J504" s="31">
        <v>0</v>
      </c>
      <c r="K504" s="33">
        <v>0</v>
      </c>
      <c r="L504" s="31">
        <v>0</v>
      </c>
      <c r="M504" s="39">
        <v>629</v>
      </c>
      <c r="N504" s="39">
        <v>2325578</v>
      </c>
      <c r="O504" s="31">
        <v>0</v>
      </c>
      <c r="P504" s="31">
        <v>0</v>
      </c>
      <c r="Q504" s="31">
        <v>0</v>
      </c>
      <c r="R504" s="31">
        <v>0</v>
      </c>
      <c r="S504" s="31">
        <v>0</v>
      </c>
      <c r="T504" s="31">
        <v>0</v>
      </c>
      <c r="U504" s="31">
        <v>0</v>
      </c>
      <c r="V504" s="31">
        <v>0</v>
      </c>
      <c r="W504" s="31">
        <v>0</v>
      </c>
      <c r="X504" s="31">
        <v>0</v>
      </c>
      <c r="Y504" s="31">
        <v>0</v>
      </c>
      <c r="Z504" s="31">
        <v>0</v>
      </c>
      <c r="AA504" s="31">
        <v>0</v>
      </c>
      <c r="AB504" s="31">
        <v>0</v>
      </c>
      <c r="AC504" s="39">
        <v>14999.98</v>
      </c>
      <c r="AD504" s="39">
        <v>80756.899999999994</v>
      </c>
      <c r="AE504" s="31">
        <v>0</v>
      </c>
      <c r="AF504" s="34">
        <v>2020</v>
      </c>
      <c r="AG504" s="34">
        <v>2020</v>
      </c>
      <c r="AH504" s="35">
        <v>2020</v>
      </c>
      <c r="AT504" s="20" t="e">
        <f t="shared" si="118"/>
        <v>#N/A</v>
      </c>
      <c r="BZ504" s="71"/>
      <c r="CD504" s="20" t="e">
        <f t="shared" si="111"/>
        <v>#N/A</v>
      </c>
    </row>
    <row r="505" spans="1:83" ht="61.5" x14ac:dyDescent="0.85">
      <c r="A505" s="20">
        <v>1</v>
      </c>
      <c r="B505" s="66">
        <f>SUBTOTAL(103,$A$22:A505)</f>
        <v>431</v>
      </c>
      <c r="C505" s="24" t="s">
        <v>90</v>
      </c>
      <c r="D505" s="31">
        <f>E505+F505+G505+H505+I505+J505+L505+N505+P505+R505+T505+U505+V505+W505+X505+Y505+Z505+AA505+AB505+AC505+AD505+AE505</f>
        <v>1656413.77</v>
      </c>
      <c r="E505" s="31">
        <v>0</v>
      </c>
      <c r="F505" s="31">
        <v>0</v>
      </c>
      <c r="G505" s="31">
        <v>0</v>
      </c>
      <c r="H505" s="31">
        <v>0</v>
      </c>
      <c r="I505" s="31">
        <v>0</v>
      </c>
      <c r="J505" s="31">
        <v>0</v>
      </c>
      <c r="K505" s="33">
        <v>0</v>
      </c>
      <c r="L505" s="31">
        <v>0</v>
      </c>
      <c r="M505" s="31">
        <v>0</v>
      </c>
      <c r="N505" s="31">
        <v>0</v>
      </c>
      <c r="O505" s="31">
        <v>0</v>
      </c>
      <c r="P505" s="31">
        <v>0</v>
      </c>
      <c r="Q505" s="39">
        <v>486.31</v>
      </c>
      <c r="R505" s="179">
        <v>1647382</v>
      </c>
      <c r="S505" s="31">
        <v>0</v>
      </c>
      <c r="T505" s="31">
        <v>0</v>
      </c>
      <c r="U505" s="31">
        <v>0</v>
      </c>
      <c r="V505" s="31">
        <v>0</v>
      </c>
      <c r="W505" s="31">
        <v>0</v>
      </c>
      <c r="X505" s="31">
        <v>0</v>
      </c>
      <c r="Y505" s="31">
        <v>0</v>
      </c>
      <c r="Z505" s="31">
        <v>0</v>
      </c>
      <c r="AA505" s="31">
        <v>0</v>
      </c>
      <c r="AB505" s="31">
        <v>0</v>
      </c>
      <c r="AC505" s="39">
        <v>9031.77</v>
      </c>
      <c r="AD505" s="31">
        <v>0</v>
      </c>
      <c r="AE505" s="31">
        <v>0</v>
      </c>
      <c r="AF505" s="34" t="s">
        <v>270</v>
      </c>
      <c r="AG505" s="34">
        <v>2020</v>
      </c>
      <c r="AH505" s="35">
        <v>2020</v>
      </c>
      <c r="AT505" s="20" t="e">
        <f t="shared" si="118"/>
        <v>#N/A</v>
      </c>
      <c r="BZ505" s="71"/>
      <c r="CD505" s="20" t="e">
        <f t="shared" si="111"/>
        <v>#N/A</v>
      </c>
    </row>
    <row r="506" spans="1:83" ht="61.5" x14ac:dyDescent="0.85">
      <c r="A506" s="20">
        <v>1</v>
      </c>
      <c r="B506" s="66">
        <f>SUBTOTAL(103,$A$22:A506)</f>
        <v>432</v>
      </c>
      <c r="C506" s="24" t="s">
        <v>1268</v>
      </c>
      <c r="D506" s="31">
        <f>E506+F506+G506+H506+I506+J506+L506+N506+P506+R506+T506+U506+V506+W506+X506+Y506+Z506+AA506+AB506+AC506+AD506+AE506</f>
        <v>510085.62</v>
      </c>
      <c r="E506" s="31">
        <v>0</v>
      </c>
      <c r="F506" s="31">
        <v>0</v>
      </c>
      <c r="G506" s="31">
        <v>0</v>
      </c>
      <c r="H506" s="31">
        <v>0</v>
      </c>
      <c r="I506" s="31">
        <v>0</v>
      </c>
      <c r="J506" s="31">
        <v>0</v>
      </c>
      <c r="K506" s="33">
        <v>0</v>
      </c>
      <c r="L506" s="31">
        <v>0</v>
      </c>
      <c r="M506" s="31">
        <v>0</v>
      </c>
      <c r="N506" s="31">
        <v>0</v>
      </c>
      <c r="O506" s="31">
        <v>0</v>
      </c>
      <c r="P506" s="31">
        <v>0</v>
      </c>
      <c r="Q506" s="39">
        <v>438.75</v>
      </c>
      <c r="R506" s="39">
        <v>502547.41</v>
      </c>
      <c r="S506" s="31">
        <v>0</v>
      </c>
      <c r="T506" s="31">
        <v>0</v>
      </c>
      <c r="U506" s="31">
        <v>0</v>
      </c>
      <c r="V506" s="31">
        <v>0</v>
      </c>
      <c r="W506" s="31">
        <v>0</v>
      </c>
      <c r="X506" s="31">
        <v>0</v>
      </c>
      <c r="Y506" s="31">
        <v>0</v>
      </c>
      <c r="Z506" s="31">
        <v>0</v>
      </c>
      <c r="AA506" s="31">
        <v>0</v>
      </c>
      <c r="AB506" s="31">
        <v>0</v>
      </c>
      <c r="AC506" s="31">
        <f>ROUND(R506*1.5%,2)</f>
        <v>7538.21</v>
      </c>
      <c r="AD506" s="31">
        <v>0</v>
      </c>
      <c r="AE506" s="31">
        <v>0</v>
      </c>
      <c r="AF506" s="34" t="s">
        <v>270</v>
      </c>
      <c r="AG506" s="34">
        <v>2020</v>
      </c>
      <c r="AH506" s="35">
        <v>2020</v>
      </c>
      <c r="BZ506" s="71"/>
      <c r="CD506" s="20" t="e">
        <f t="shared" si="111"/>
        <v>#N/A</v>
      </c>
    </row>
    <row r="507" spans="1:83" ht="61.5" x14ac:dyDescent="0.85">
      <c r="A507" s="20">
        <v>1</v>
      </c>
      <c r="B507" s="66">
        <f>SUBTOTAL(103,$A$22:A507)</f>
        <v>433</v>
      </c>
      <c r="C507" s="24" t="s">
        <v>1269</v>
      </c>
      <c r="D507" s="31">
        <f>E507+F507+G507+H507+I507+J507+L507+N507+P507+R507+T507+U507+V507+W507+X507+Y507+Z507+AA507+AB507+AC507+AD507+AE507</f>
        <v>81322.009999999995</v>
      </c>
      <c r="E507" s="31">
        <v>0</v>
      </c>
      <c r="F507" s="31">
        <v>0</v>
      </c>
      <c r="G507" s="31">
        <v>0</v>
      </c>
      <c r="H507" s="31">
        <v>0</v>
      </c>
      <c r="I507" s="31">
        <v>0</v>
      </c>
      <c r="J507" s="31">
        <v>0</v>
      </c>
      <c r="K507" s="33">
        <v>0</v>
      </c>
      <c r="L507" s="31">
        <v>0</v>
      </c>
      <c r="M507" s="31">
        <v>0</v>
      </c>
      <c r="N507" s="31">
        <v>0</v>
      </c>
      <c r="O507" s="31">
        <v>0</v>
      </c>
      <c r="P507" s="31">
        <v>0</v>
      </c>
      <c r="Q507" s="31">
        <v>0</v>
      </c>
      <c r="R507" s="31">
        <v>0</v>
      </c>
      <c r="S507" s="31">
        <v>0</v>
      </c>
      <c r="T507" s="31">
        <v>0</v>
      </c>
      <c r="U507" s="31">
        <v>0</v>
      </c>
      <c r="V507" s="31">
        <v>0</v>
      </c>
      <c r="W507" s="31">
        <v>0</v>
      </c>
      <c r="X507" s="31">
        <v>0</v>
      </c>
      <c r="Y507" s="31">
        <v>0</v>
      </c>
      <c r="Z507" s="31">
        <v>0</v>
      </c>
      <c r="AA507" s="31">
        <v>0</v>
      </c>
      <c r="AB507" s="31">
        <v>0</v>
      </c>
      <c r="AC507" s="31">
        <f>ROUND(R507*1.5%,2)</f>
        <v>0</v>
      </c>
      <c r="AD507" s="31">
        <v>81322.009999999995</v>
      </c>
      <c r="AE507" s="31">
        <v>0</v>
      </c>
      <c r="AF507" s="34">
        <v>2020</v>
      </c>
      <c r="AG507" s="34" t="s">
        <v>270</v>
      </c>
      <c r="AH507" s="34" t="s">
        <v>270</v>
      </c>
      <c r="BZ507" s="71"/>
      <c r="CD507" s="20" t="e">
        <f t="shared" si="111"/>
        <v>#N/A</v>
      </c>
    </row>
    <row r="508" spans="1:83" ht="61.5" x14ac:dyDescent="0.85">
      <c r="A508" s="20">
        <v>1</v>
      </c>
      <c r="B508" s="66">
        <f>SUBTOTAL(103,$A$22:A508)</f>
        <v>434</v>
      </c>
      <c r="C508" s="24" t="s">
        <v>1270</v>
      </c>
      <c r="D508" s="31">
        <f>E508+F508+G508+H508+I508+J508+L508+N508+P508+R508+T508+U508+V508+W508+X508+Y508+Z508+AA508+AB508+AC508+AD508+AE508</f>
        <v>3100639.4099999997</v>
      </c>
      <c r="E508" s="31">
        <v>0</v>
      </c>
      <c r="F508" s="31">
        <v>0</v>
      </c>
      <c r="G508" s="31">
        <v>0</v>
      </c>
      <c r="H508" s="31">
        <v>0</v>
      </c>
      <c r="I508" s="31">
        <v>0</v>
      </c>
      <c r="J508" s="31">
        <v>0</v>
      </c>
      <c r="K508" s="33">
        <v>0</v>
      </c>
      <c r="L508" s="31">
        <v>0</v>
      </c>
      <c r="M508" s="39">
        <v>924.2</v>
      </c>
      <c r="N508" s="39">
        <v>3054817.15</v>
      </c>
      <c r="O508" s="31">
        <v>0</v>
      </c>
      <c r="P508" s="31">
        <v>0</v>
      </c>
      <c r="Q508" s="31">
        <v>0</v>
      </c>
      <c r="R508" s="31">
        <v>0</v>
      </c>
      <c r="S508" s="31">
        <v>0</v>
      </c>
      <c r="T508" s="31">
        <v>0</v>
      </c>
      <c r="U508" s="31">
        <v>0</v>
      </c>
      <c r="V508" s="31">
        <v>0</v>
      </c>
      <c r="W508" s="31">
        <v>0</v>
      </c>
      <c r="X508" s="31">
        <v>0</v>
      </c>
      <c r="Y508" s="31">
        <v>0</v>
      </c>
      <c r="Z508" s="31">
        <v>0</v>
      </c>
      <c r="AA508" s="31">
        <v>0</v>
      </c>
      <c r="AB508" s="31">
        <v>0</v>
      </c>
      <c r="AC508" s="31">
        <f>ROUND(N508*1.5%,2)</f>
        <v>45822.26</v>
      </c>
      <c r="AD508" s="31">
        <v>0</v>
      </c>
      <c r="AE508" s="31">
        <v>0</v>
      </c>
      <c r="AF508" s="34" t="s">
        <v>270</v>
      </c>
      <c r="AG508" s="34">
        <v>2020</v>
      </c>
      <c r="AH508" s="35">
        <v>2020</v>
      </c>
      <c r="BZ508" s="71"/>
      <c r="CD508" s="20">
        <f t="shared" si="111"/>
        <v>949</v>
      </c>
    </row>
    <row r="509" spans="1:83" ht="61.5" x14ac:dyDescent="0.85">
      <c r="B509" s="24" t="s">
        <v>887</v>
      </c>
      <c r="C509" s="24"/>
      <c r="D509" s="195">
        <f t="shared" ref="D509:AE509" si="120">D510</f>
        <v>2846268.34</v>
      </c>
      <c r="E509" s="31">
        <f t="shared" si="120"/>
        <v>0</v>
      </c>
      <c r="F509" s="31">
        <f t="shared" si="120"/>
        <v>0</v>
      </c>
      <c r="G509" s="31">
        <f t="shared" si="120"/>
        <v>0</v>
      </c>
      <c r="H509" s="31">
        <f t="shared" si="120"/>
        <v>0</v>
      </c>
      <c r="I509" s="31">
        <f t="shared" si="120"/>
        <v>0</v>
      </c>
      <c r="J509" s="31">
        <f t="shared" si="120"/>
        <v>0</v>
      </c>
      <c r="K509" s="33">
        <f t="shared" si="120"/>
        <v>0</v>
      </c>
      <c r="L509" s="31">
        <f t="shared" si="120"/>
        <v>0</v>
      </c>
      <c r="M509" s="31">
        <f t="shared" si="120"/>
        <v>613.20000000000005</v>
      </c>
      <c r="N509" s="31">
        <f t="shared" si="120"/>
        <v>2768847</v>
      </c>
      <c r="O509" s="31">
        <f t="shared" si="120"/>
        <v>0</v>
      </c>
      <c r="P509" s="31">
        <f t="shared" si="120"/>
        <v>0</v>
      </c>
      <c r="Q509" s="31">
        <f t="shared" si="120"/>
        <v>0</v>
      </c>
      <c r="R509" s="31">
        <f t="shared" si="120"/>
        <v>0</v>
      </c>
      <c r="S509" s="31">
        <f t="shared" si="120"/>
        <v>0</v>
      </c>
      <c r="T509" s="31">
        <f t="shared" si="120"/>
        <v>0</v>
      </c>
      <c r="U509" s="31">
        <f t="shared" si="120"/>
        <v>0</v>
      </c>
      <c r="V509" s="31">
        <f t="shared" si="120"/>
        <v>0</v>
      </c>
      <c r="W509" s="31">
        <f t="shared" si="120"/>
        <v>0</v>
      </c>
      <c r="X509" s="31">
        <f t="shared" si="120"/>
        <v>0</v>
      </c>
      <c r="Y509" s="31">
        <f t="shared" si="120"/>
        <v>0</v>
      </c>
      <c r="Z509" s="31">
        <f t="shared" si="120"/>
        <v>0</v>
      </c>
      <c r="AA509" s="31">
        <f t="shared" si="120"/>
        <v>0</v>
      </c>
      <c r="AB509" s="31">
        <f t="shared" si="120"/>
        <v>0</v>
      </c>
      <c r="AC509" s="31">
        <f t="shared" si="120"/>
        <v>0</v>
      </c>
      <c r="AD509" s="31">
        <f t="shared" si="120"/>
        <v>77421.34</v>
      </c>
      <c r="AE509" s="31">
        <f t="shared" si="120"/>
        <v>0</v>
      </c>
      <c r="AF509" s="72" t="s">
        <v>757</v>
      </c>
      <c r="AG509" s="72" t="s">
        <v>757</v>
      </c>
      <c r="AH509" s="87" t="s">
        <v>757</v>
      </c>
      <c r="AT509" s="20" t="e">
        <f t="shared" ref="AT509:AT515" si="121">VLOOKUP(C509,AW:AX,2,FALSE)</f>
        <v>#N/A</v>
      </c>
      <c r="BZ509" s="71">
        <v>3314283.2199999997</v>
      </c>
      <c r="CB509" s="71">
        <f>BZ509-D509</f>
        <v>468014.87999999989</v>
      </c>
      <c r="CD509" s="20" t="e">
        <f t="shared" si="111"/>
        <v>#N/A</v>
      </c>
    </row>
    <row r="510" spans="1:83" ht="61.5" x14ac:dyDescent="0.85">
      <c r="A510" s="20">
        <v>1</v>
      </c>
      <c r="B510" s="66">
        <f>SUBTOTAL(103,$A$22:A510)</f>
        <v>435</v>
      </c>
      <c r="C510" s="24" t="s">
        <v>91</v>
      </c>
      <c r="D510" s="31">
        <f>E510+F510+G510+H510+I510+J510+L510+N510+P510+R510+T510+U510+V510+W510+X510+Y510+Z510+AA510+AB510+AC510+AD510+AE510</f>
        <v>2846268.34</v>
      </c>
      <c r="E510" s="31">
        <v>0</v>
      </c>
      <c r="F510" s="31">
        <v>0</v>
      </c>
      <c r="G510" s="31">
        <v>0</v>
      </c>
      <c r="H510" s="31">
        <v>0</v>
      </c>
      <c r="I510" s="31">
        <v>0</v>
      </c>
      <c r="J510" s="31">
        <v>0</v>
      </c>
      <c r="K510" s="33">
        <v>0</v>
      </c>
      <c r="L510" s="31">
        <v>0</v>
      </c>
      <c r="M510" s="39">
        <v>613.20000000000005</v>
      </c>
      <c r="N510" s="39">
        <v>2768847</v>
      </c>
      <c r="O510" s="31">
        <v>0</v>
      </c>
      <c r="P510" s="31">
        <v>0</v>
      </c>
      <c r="Q510" s="31">
        <v>0</v>
      </c>
      <c r="R510" s="31">
        <v>0</v>
      </c>
      <c r="S510" s="31">
        <v>0</v>
      </c>
      <c r="T510" s="31">
        <v>0</v>
      </c>
      <c r="U510" s="31">
        <v>0</v>
      </c>
      <c r="V510" s="31">
        <v>0</v>
      </c>
      <c r="W510" s="31">
        <v>0</v>
      </c>
      <c r="X510" s="31">
        <v>0</v>
      </c>
      <c r="Y510" s="31">
        <v>0</v>
      </c>
      <c r="Z510" s="31">
        <v>0</v>
      </c>
      <c r="AA510" s="31">
        <v>0</v>
      </c>
      <c r="AB510" s="31">
        <v>0</v>
      </c>
      <c r="AC510" s="31">
        <v>0</v>
      </c>
      <c r="AD510" s="39">
        <v>77421.34</v>
      </c>
      <c r="AE510" s="31">
        <v>0</v>
      </c>
      <c r="AF510" s="34">
        <v>2020</v>
      </c>
      <c r="AG510" s="34">
        <v>2020</v>
      </c>
      <c r="AH510" s="35" t="s">
        <v>270</v>
      </c>
      <c r="AT510" s="20" t="e">
        <f t="shared" si="121"/>
        <v>#N/A</v>
      </c>
      <c r="BZ510" s="71"/>
      <c r="CD510" s="20">
        <f t="shared" ref="CD510:CD541" si="122">VLOOKUP(C510,CE:CF,2,FALSE)</f>
        <v>613.20000000000005</v>
      </c>
    </row>
    <row r="511" spans="1:83" ht="61.5" x14ac:dyDescent="0.85">
      <c r="B511" s="24" t="s">
        <v>861</v>
      </c>
      <c r="C511" s="24"/>
      <c r="D511" s="195">
        <f>SUM(D512:D513)</f>
        <v>2804062.75</v>
      </c>
      <c r="E511" s="31">
        <f t="shared" ref="E511:AE511" si="123">SUM(E512:E513)</f>
        <v>0</v>
      </c>
      <c r="F511" s="31">
        <f t="shared" si="123"/>
        <v>0</v>
      </c>
      <c r="G511" s="31">
        <f t="shared" si="123"/>
        <v>0</v>
      </c>
      <c r="H511" s="31">
        <f t="shared" si="123"/>
        <v>0</v>
      </c>
      <c r="I511" s="31">
        <f t="shared" si="123"/>
        <v>0</v>
      </c>
      <c r="J511" s="31">
        <f t="shared" si="123"/>
        <v>0</v>
      </c>
      <c r="K511" s="33">
        <f t="shared" si="123"/>
        <v>0</v>
      </c>
      <c r="L511" s="31">
        <f t="shared" si="123"/>
        <v>0</v>
      </c>
      <c r="M511" s="31">
        <f t="shared" si="123"/>
        <v>609.28</v>
      </c>
      <c r="N511" s="31">
        <f t="shared" si="123"/>
        <v>2626425</v>
      </c>
      <c r="O511" s="31">
        <f t="shared" si="123"/>
        <v>0</v>
      </c>
      <c r="P511" s="31">
        <f t="shared" si="123"/>
        <v>0</v>
      </c>
      <c r="Q511" s="31">
        <f t="shared" si="123"/>
        <v>0</v>
      </c>
      <c r="R511" s="31">
        <f t="shared" si="123"/>
        <v>0</v>
      </c>
      <c r="S511" s="31">
        <f t="shared" si="123"/>
        <v>0</v>
      </c>
      <c r="T511" s="31">
        <f t="shared" si="123"/>
        <v>0</v>
      </c>
      <c r="U511" s="31">
        <f t="shared" si="123"/>
        <v>0</v>
      </c>
      <c r="V511" s="31">
        <f t="shared" si="123"/>
        <v>0</v>
      </c>
      <c r="W511" s="31">
        <f t="shared" si="123"/>
        <v>0</v>
      </c>
      <c r="X511" s="31">
        <f t="shared" si="123"/>
        <v>0</v>
      </c>
      <c r="Y511" s="31">
        <f t="shared" si="123"/>
        <v>0</v>
      </c>
      <c r="Z511" s="31">
        <f t="shared" si="123"/>
        <v>0</v>
      </c>
      <c r="AA511" s="31">
        <f t="shared" si="123"/>
        <v>0</v>
      </c>
      <c r="AB511" s="31">
        <f t="shared" si="123"/>
        <v>0</v>
      </c>
      <c r="AC511" s="31">
        <f t="shared" si="123"/>
        <v>15246.4</v>
      </c>
      <c r="AD511" s="31">
        <f t="shared" si="123"/>
        <v>162391.35</v>
      </c>
      <c r="AE511" s="31">
        <f t="shared" si="123"/>
        <v>0</v>
      </c>
      <c r="AF511" s="72" t="s">
        <v>757</v>
      </c>
      <c r="AG511" s="72" t="s">
        <v>757</v>
      </c>
      <c r="AH511" s="87" t="s">
        <v>757</v>
      </c>
      <c r="AT511" s="20" t="e">
        <f t="shared" si="121"/>
        <v>#N/A</v>
      </c>
      <c r="BZ511" s="71">
        <v>3133080</v>
      </c>
      <c r="CB511" s="71">
        <f>BZ511-D511</f>
        <v>329017.25</v>
      </c>
      <c r="CD511" s="20" t="e">
        <f t="shared" si="122"/>
        <v>#N/A</v>
      </c>
    </row>
    <row r="512" spans="1:83" ht="61.5" x14ac:dyDescent="0.85">
      <c r="A512" s="20">
        <v>1</v>
      </c>
      <c r="B512" s="66">
        <f>SUBTOTAL(103,$A$22:A512)</f>
        <v>436</v>
      </c>
      <c r="C512" s="24" t="s">
        <v>92</v>
      </c>
      <c r="D512" s="31">
        <f>E512+F512+G512+H512+I512+J512+L512+N512+P512+R512+T512+U512+V512+W512+X512+Y512+Z512+AA512+AB512+AC512+AD512+AE512</f>
        <v>2718963.56</v>
      </c>
      <c r="E512" s="31">
        <v>0</v>
      </c>
      <c r="F512" s="31">
        <v>0</v>
      </c>
      <c r="G512" s="31">
        <v>0</v>
      </c>
      <c r="H512" s="31">
        <v>0</v>
      </c>
      <c r="I512" s="31">
        <v>0</v>
      </c>
      <c r="J512" s="31">
        <v>0</v>
      </c>
      <c r="K512" s="33">
        <v>0</v>
      </c>
      <c r="L512" s="31">
        <v>0</v>
      </c>
      <c r="M512" s="39">
        <v>609.28</v>
      </c>
      <c r="N512" s="39">
        <v>2626425</v>
      </c>
      <c r="O512" s="31">
        <v>0</v>
      </c>
      <c r="P512" s="31">
        <v>0</v>
      </c>
      <c r="Q512" s="31">
        <v>0</v>
      </c>
      <c r="R512" s="31">
        <v>0</v>
      </c>
      <c r="S512" s="31">
        <v>0</v>
      </c>
      <c r="T512" s="31">
        <v>0</v>
      </c>
      <c r="U512" s="31">
        <v>0</v>
      </c>
      <c r="V512" s="31">
        <v>0</v>
      </c>
      <c r="W512" s="31">
        <v>0</v>
      </c>
      <c r="X512" s="31">
        <v>0</v>
      </c>
      <c r="Y512" s="31">
        <v>0</v>
      </c>
      <c r="Z512" s="31">
        <v>0</v>
      </c>
      <c r="AA512" s="31">
        <v>0</v>
      </c>
      <c r="AB512" s="31">
        <v>0</v>
      </c>
      <c r="AC512" s="39">
        <v>15246.4</v>
      </c>
      <c r="AD512" s="39">
        <v>77292.160000000003</v>
      </c>
      <c r="AE512" s="31">
        <v>0</v>
      </c>
      <c r="AF512" s="34">
        <v>2020</v>
      </c>
      <c r="AG512" s="34">
        <v>2020</v>
      </c>
      <c r="AH512" s="35">
        <v>2020</v>
      </c>
      <c r="AT512" s="20" t="e">
        <f t="shared" si="121"/>
        <v>#N/A</v>
      </c>
      <c r="BZ512" s="71"/>
      <c r="CD512" s="20" t="e">
        <f t="shared" si="122"/>
        <v>#N/A</v>
      </c>
    </row>
    <row r="513" spans="1:82" ht="61.5" x14ac:dyDescent="0.85">
      <c r="A513" s="20">
        <v>1</v>
      </c>
      <c r="B513" s="66">
        <f>SUBTOTAL(103,$A$22:A513)</f>
        <v>437</v>
      </c>
      <c r="C513" s="24" t="s">
        <v>97</v>
      </c>
      <c r="D513" s="31">
        <f>E513+F513+G513+H513+I513+J513+L513+N513+P513+R513+T513+U513+V513+W513+X513+Y513+Z513+AA513+AB513+AC513+AD513+AE513</f>
        <v>85099.19</v>
      </c>
      <c r="E513" s="31">
        <v>0</v>
      </c>
      <c r="F513" s="31">
        <v>0</v>
      </c>
      <c r="G513" s="31">
        <v>0</v>
      </c>
      <c r="H513" s="31">
        <v>0</v>
      </c>
      <c r="I513" s="31">
        <v>0</v>
      </c>
      <c r="J513" s="31">
        <v>0</v>
      </c>
      <c r="K513" s="74">
        <v>0</v>
      </c>
      <c r="L513" s="31">
        <v>0</v>
      </c>
      <c r="M513" s="31">
        <v>0</v>
      </c>
      <c r="N513" s="31">
        <v>0</v>
      </c>
      <c r="O513" s="31">
        <v>0</v>
      </c>
      <c r="P513" s="31">
        <v>0</v>
      </c>
      <c r="Q513" s="31">
        <v>0</v>
      </c>
      <c r="R513" s="31">
        <v>0</v>
      </c>
      <c r="S513" s="31">
        <v>0</v>
      </c>
      <c r="T513" s="31">
        <v>0</v>
      </c>
      <c r="U513" s="31">
        <v>0</v>
      </c>
      <c r="V513" s="31">
        <v>0</v>
      </c>
      <c r="W513" s="31">
        <v>0</v>
      </c>
      <c r="X513" s="31">
        <v>0</v>
      </c>
      <c r="Y513" s="31">
        <v>0</v>
      </c>
      <c r="Z513" s="31">
        <v>0</v>
      </c>
      <c r="AA513" s="31">
        <v>0</v>
      </c>
      <c r="AB513" s="31">
        <v>0</v>
      </c>
      <c r="AC513" s="31">
        <f>ROUND(N513*1.5%,2)</f>
        <v>0</v>
      </c>
      <c r="AD513" s="31">
        <v>85099.19</v>
      </c>
      <c r="AE513" s="31">
        <v>0</v>
      </c>
      <c r="AF513" s="34">
        <v>2020</v>
      </c>
      <c r="AG513" s="35" t="s">
        <v>270</v>
      </c>
      <c r="AH513" s="35" t="s">
        <v>270</v>
      </c>
      <c r="AT513" s="20" t="e">
        <f t="shared" si="121"/>
        <v>#N/A</v>
      </c>
      <c r="BZ513" s="71"/>
      <c r="CD513" s="20" t="e">
        <f t="shared" si="122"/>
        <v>#N/A</v>
      </c>
    </row>
    <row r="514" spans="1:82" ht="61.5" x14ac:dyDescent="0.85">
      <c r="B514" s="24" t="s">
        <v>862</v>
      </c>
      <c r="C514" s="24"/>
      <c r="D514" s="195">
        <f>D515+D516</f>
        <v>4868704.13</v>
      </c>
      <c r="E514" s="31">
        <f t="shared" ref="E514:AE514" si="124">E515+E516</f>
        <v>0</v>
      </c>
      <c r="F514" s="31">
        <f t="shared" si="124"/>
        <v>0</v>
      </c>
      <c r="G514" s="31">
        <f t="shared" si="124"/>
        <v>0</v>
      </c>
      <c r="H514" s="31">
        <f t="shared" si="124"/>
        <v>0</v>
      </c>
      <c r="I514" s="31">
        <f t="shared" si="124"/>
        <v>0</v>
      </c>
      <c r="J514" s="31">
        <f t="shared" si="124"/>
        <v>0</v>
      </c>
      <c r="K514" s="33">
        <f t="shared" si="124"/>
        <v>0</v>
      </c>
      <c r="L514" s="31">
        <f t="shared" si="124"/>
        <v>0</v>
      </c>
      <c r="M514" s="31">
        <f t="shared" si="124"/>
        <v>1143</v>
      </c>
      <c r="N514" s="31">
        <f t="shared" si="124"/>
        <v>4643006</v>
      </c>
      <c r="O514" s="31">
        <f t="shared" si="124"/>
        <v>0</v>
      </c>
      <c r="P514" s="31">
        <f t="shared" si="124"/>
        <v>0</v>
      </c>
      <c r="Q514" s="31">
        <f t="shared" si="124"/>
        <v>0</v>
      </c>
      <c r="R514" s="31">
        <f t="shared" si="124"/>
        <v>0</v>
      </c>
      <c r="S514" s="31">
        <f t="shared" si="124"/>
        <v>0</v>
      </c>
      <c r="T514" s="31">
        <f t="shared" si="124"/>
        <v>0</v>
      </c>
      <c r="U514" s="31">
        <f t="shared" si="124"/>
        <v>0</v>
      </c>
      <c r="V514" s="31">
        <f t="shared" si="124"/>
        <v>0</v>
      </c>
      <c r="W514" s="31">
        <f t="shared" si="124"/>
        <v>0</v>
      </c>
      <c r="X514" s="31">
        <f t="shared" si="124"/>
        <v>0</v>
      </c>
      <c r="Y514" s="31">
        <f t="shared" si="124"/>
        <v>0</v>
      </c>
      <c r="Z514" s="31">
        <f t="shared" si="124"/>
        <v>0</v>
      </c>
      <c r="AA514" s="31">
        <f t="shared" si="124"/>
        <v>0</v>
      </c>
      <c r="AB514" s="31">
        <f t="shared" si="124"/>
        <v>0</v>
      </c>
      <c r="AC514" s="31">
        <f t="shared" si="124"/>
        <v>29947.39</v>
      </c>
      <c r="AD514" s="31">
        <f t="shared" si="124"/>
        <v>195750.74</v>
      </c>
      <c r="AE514" s="31">
        <f t="shared" si="124"/>
        <v>0</v>
      </c>
      <c r="AF514" s="72" t="s">
        <v>757</v>
      </c>
      <c r="AG514" s="72" t="s">
        <v>757</v>
      </c>
      <c r="AH514" s="87" t="s">
        <v>757</v>
      </c>
      <c r="AT514" s="20" t="e">
        <f t="shared" si="121"/>
        <v>#N/A</v>
      </c>
      <c r="BZ514" s="71">
        <v>5968517.3999999994</v>
      </c>
      <c r="CB514" s="71">
        <f>BZ514-D514</f>
        <v>1099813.2699999996</v>
      </c>
      <c r="CD514" s="20" t="e">
        <f t="shared" si="122"/>
        <v>#N/A</v>
      </c>
    </row>
    <row r="515" spans="1:82" ht="61.5" x14ac:dyDescent="0.85">
      <c r="A515" s="20">
        <v>1</v>
      </c>
      <c r="B515" s="66">
        <f>SUBTOTAL(103,$A$22:A515)</f>
        <v>438</v>
      </c>
      <c r="C515" s="24" t="s">
        <v>93</v>
      </c>
      <c r="D515" s="31">
        <f>E515+F515+G515+H515+I515+J515+L515+N515+P515+R515+T515+U515+V515+W515+X515+Y515+Z515+AA515+AB515+AC515+AD515+AE515</f>
        <v>4831403.93</v>
      </c>
      <c r="E515" s="31">
        <v>0</v>
      </c>
      <c r="F515" s="31">
        <v>0</v>
      </c>
      <c r="G515" s="31">
        <v>0</v>
      </c>
      <c r="H515" s="31">
        <v>0</v>
      </c>
      <c r="I515" s="31">
        <v>0</v>
      </c>
      <c r="J515" s="31">
        <v>0</v>
      </c>
      <c r="K515" s="33">
        <v>0</v>
      </c>
      <c r="L515" s="31">
        <v>0</v>
      </c>
      <c r="M515" s="31">
        <v>1143</v>
      </c>
      <c r="N515" s="39">
        <v>4643006</v>
      </c>
      <c r="O515" s="31">
        <v>0</v>
      </c>
      <c r="P515" s="31">
        <v>0</v>
      </c>
      <c r="Q515" s="31">
        <v>0</v>
      </c>
      <c r="R515" s="31">
        <v>0</v>
      </c>
      <c r="S515" s="31">
        <v>0</v>
      </c>
      <c r="T515" s="31">
        <v>0</v>
      </c>
      <c r="U515" s="31">
        <v>0</v>
      </c>
      <c r="V515" s="31">
        <v>0</v>
      </c>
      <c r="W515" s="31">
        <v>0</v>
      </c>
      <c r="X515" s="31">
        <v>0</v>
      </c>
      <c r="Y515" s="31">
        <v>0</v>
      </c>
      <c r="Z515" s="31">
        <v>0</v>
      </c>
      <c r="AA515" s="31">
        <v>0</v>
      </c>
      <c r="AB515" s="31">
        <v>0</v>
      </c>
      <c r="AC515" s="39">
        <v>29947.39</v>
      </c>
      <c r="AD515" s="39">
        <v>158450.54</v>
      </c>
      <c r="AE515" s="31">
        <v>0</v>
      </c>
      <c r="AF515" s="34">
        <v>2020</v>
      </c>
      <c r="AG515" s="34">
        <v>2020</v>
      </c>
      <c r="AH515" s="35">
        <v>2020</v>
      </c>
      <c r="AT515" s="20" t="e">
        <f t="shared" si="121"/>
        <v>#N/A</v>
      </c>
      <c r="BZ515" s="71"/>
      <c r="CD515" s="20" t="e">
        <f t="shared" si="122"/>
        <v>#N/A</v>
      </c>
    </row>
    <row r="516" spans="1:82" ht="61.5" x14ac:dyDescent="0.85">
      <c r="A516" s="20">
        <v>1</v>
      </c>
      <c r="B516" s="66">
        <f>SUBTOTAL(103,$A$22:A516)</f>
        <v>439</v>
      </c>
      <c r="C516" s="24" t="s">
        <v>1621</v>
      </c>
      <c r="D516" s="31">
        <f>E516+F516+G516+H516+I516+J516+L516+N516+P516+R516+T516+U516+V516+W516+X516+Y516+Z516+AA516+AB516+AC516+AD516+AE516</f>
        <v>37300.199999999997</v>
      </c>
      <c r="E516" s="31">
        <v>0</v>
      </c>
      <c r="F516" s="31">
        <v>0</v>
      </c>
      <c r="G516" s="31">
        <v>0</v>
      </c>
      <c r="H516" s="31">
        <v>0</v>
      </c>
      <c r="I516" s="31">
        <v>0</v>
      </c>
      <c r="J516" s="31">
        <v>0</v>
      </c>
      <c r="K516" s="33">
        <v>0</v>
      </c>
      <c r="L516" s="31">
        <v>0</v>
      </c>
      <c r="M516" s="31">
        <v>0</v>
      </c>
      <c r="N516" s="31">
        <v>0</v>
      </c>
      <c r="O516" s="31">
        <v>0</v>
      </c>
      <c r="P516" s="31">
        <v>0</v>
      </c>
      <c r="Q516" s="31">
        <v>0</v>
      </c>
      <c r="R516" s="31">
        <v>0</v>
      </c>
      <c r="S516" s="31">
        <v>0</v>
      </c>
      <c r="T516" s="31">
        <v>0</v>
      </c>
      <c r="U516" s="31">
        <v>0</v>
      </c>
      <c r="V516" s="31">
        <v>0</v>
      </c>
      <c r="W516" s="31">
        <v>0</v>
      </c>
      <c r="X516" s="31">
        <v>0</v>
      </c>
      <c r="Y516" s="31">
        <v>0</v>
      </c>
      <c r="Z516" s="31">
        <v>0</v>
      </c>
      <c r="AA516" s="31">
        <v>0</v>
      </c>
      <c r="AB516" s="31">
        <v>0</v>
      </c>
      <c r="AC516" s="31">
        <f>ROUND(H516*1.5%,2)</f>
        <v>0</v>
      </c>
      <c r="AD516" s="39">
        <v>37300.199999999997</v>
      </c>
      <c r="AE516" s="31">
        <v>0</v>
      </c>
      <c r="AF516" s="34">
        <v>2020</v>
      </c>
      <c r="AG516" s="35" t="s">
        <v>270</v>
      </c>
      <c r="AH516" s="35" t="s">
        <v>270</v>
      </c>
      <c r="BZ516" s="71"/>
      <c r="CD516" s="20" t="e">
        <f t="shared" si="122"/>
        <v>#N/A</v>
      </c>
    </row>
    <row r="517" spans="1:82" ht="61.5" x14ac:dyDescent="0.85">
      <c r="B517" s="24" t="s">
        <v>863</v>
      </c>
      <c r="C517" s="24"/>
      <c r="D517" s="195">
        <f t="shared" ref="D517:AE517" si="125">D518</f>
        <v>2570556.2200000002</v>
      </c>
      <c r="E517" s="31">
        <f t="shared" si="125"/>
        <v>0</v>
      </c>
      <c r="F517" s="31">
        <f t="shared" si="125"/>
        <v>0</v>
      </c>
      <c r="G517" s="31">
        <f t="shared" si="125"/>
        <v>0</v>
      </c>
      <c r="H517" s="31">
        <f t="shared" si="125"/>
        <v>0</v>
      </c>
      <c r="I517" s="31">
        <f t="shared" si="125"/>
        <v>0</v>
      </c>
      <c r="J517" s="31">
        <f t="shared" si="125"/>
        <v>0</v>
      </c>
      <c r="K517" s="33">
        <f t="shared" si="125"/>
        <v>0</v>
      </c>
      <c r="L517" s="31">
        <f t="shared" si="125"/>
        <v>0</v>
      </c>
      <c r="M517" s="31">
        <f t="shared" si="125"/>
        <v>694.7</v>
      </c>
      <c r="N517" s="31">
        <f t="shared" si="125"/>
        <v>2481018</v>
      </c>
      <c r="O517" s="31">
        <f t="shared" si="125"/>
        <v>0</v>
      </c>
      <c r="P517" s="31">
        <f t="shared" si="125"/>
        <v>0</v>
      </c>
      <c r="Q517" s="31">
        <f t="shared" si="125"/>
        <v>0</v>
      </c>
      <c r="R517" s="31">
        <f t="shared" si="125"/>
        <v>0</v>
      </c>
      <c r="S517" s="31">
        <f t="shared" si="125"/>
        <v>0</v>
      </c>
      <c r="T517" s="31">
        <f t="shared" si="125"/>
        <v>0</v>
      </c>
      <c r="U517" s="31">
        <f t="shared" si="125"/>
        <v>0</v>
      </c>
      <c r="V517" s="31">
        <f t="shared" si="125"/>
        <v>0</v>
      </c>
      <c r="W517" s="31">
        <f t="shared" si="125"/>
        <v>0</v>
      </c>
      <c r="X517" s="31">
        <f t="shared" si="125"/>
        <v>0</v>
      </c>
      <c r="Y517" s="31">
        <f t="shared" si="125"/>
        <v>0</v>
      </c>
      <c r="Z517" s="31">
        <f t="shared" si="125"/>
        <v>0</v>
      </c>
      <c r="AA517" s="31">
        <f t="shared" si="125"/>
        <v>0</v>
      </c>
      <c r="AB517" s="31">
        <f t="shared" si="125"/>
        <v>0</v>
      </c>
      <c r="AC517" s="31">
        <f t="shared" si="125"/>
        <v>9601.5400000000009</v>
      </c>
      <c r="AD517" s="31">
        <f t="shared" si="125"/>
        <v>79936.679999999993</v>
      </c>
      <c r="AE517" s="31">
        <f t="shared" si="125"/>
        <v>0</v>
      </c>
      <c r="AF517" s="72" t="s">
        <v>757</v>
      </c>
      <c r="AG517" s="72" t="s">
        <v>757</v>
      </c>
      <c r="AH517" s="87" t="s">
        <v>757</v>
      </c>
      <c r="AT517" s="20" t="e">
        <f>VLOOKUP(C517,AW:AX,2,FALSE)</f>
        <v>#N/A</v>
      </c>
      <c r="BZ517" s="71">
        <v>3253210.4899999998</v>
      </c>
      <c r="CB517" s="71">
        <f>BZ517-D517</f>
        <v>682654.26999999955</v>
      </c>
      <c r="CD517" s="20" t="e">
        <f t="shared" si="122"/>
        <v>#N/A</v>
      </c>
    </row>
    <row r="518" spans="1:82" ht="61.5" x14ac:dyDescent="0.85">
      <c r="A518" s="20">
        <v>1</v>
      </c>
      <c r="B518" s="66">
        <f>SUBTOTAL(103,$A$22:A518)</f>
        <v>440</v>
      </c>
      <c r="C518" s="24" t="s">
        <v>94</v>
      </c>
      <c r="D518" s="31">
        <f>E518+F518+G518+H518+I518+J518+L518+N518+P518+R518+T518+U518+V518+W518+X518+Y518+Z518+AA518+AB518+AC518+AD518+AE518</f>
        <v>2570556.2200000002</v>
      </c>
      <c r="E518" s="31">
        <v>0</v>
      </c>
      <c r="F518" s="31">
        <v>0</v>
      </c>
      <c r="G518" s="31">
        <v>0</v>
      </c>
      <c r="H518" s="31">
        <v>0</v>
      </c>
      <c r="I518" s="31">
        <v>0</v>
      </c>
      <c r="J518" s="31">
        <v>0</v>
      </c>
      <c r="K518" s="33">
        <v>0</v>
      </c>
      <c r="L518" s="31">
        <v>0</v>
      </c>
      <c r="M518" s="39">
        <v>694.7</v>
      </c>
      <c r="N518" s="39">
        <v>2481018</v>
      </c>
      <c r="O518" s="31">
        <v>0</v>
      </c>
      <c r="P518" s="31">
        <v>0</v>
      </c>
      <c r="Q518" s="31">
        <v>0</v>
      </c>
      <c r="R518" s="31">
        <v>0</v>
      </c>
      <c r="S518" s="31">
        <v>0</v>
      </c>
      <c r="T518" s="31">
        <v>0</v>
      </c>
      <c r="U518" s="31">
        <v>0</v>
      </c>
      <c r="V518" s="31">
        <v>0</v>
      </c>
      <c r="W518" s="31">
        <v>0</v>
      </c>
      <c r="X518" s="31">
        <v>0</v>
      </c>
      <c r="Y518" s="31">
        <v>0</v>
      </c>
      <c r="Z518" s="31">
        <v>0</v>
      </c>
      <c r="AA518" s="31">
        <v>0</v>
      </c>
      <c r="AB518" s="31">
        <v>0</v>
      </c>
      <c r="AC518" s="39">
        <v>9601.5400000000009</v>
      </c>
      <c r="AD518" s="39">
        <v>79936.679999999993</v>
      </c>
      <c r="AE518" s="31">
        <v>0</v>
      </c>
      <c r="AF518" s="34">
        <v>2020</v>
      </c>
      <c r="AG518" s="34">
        <v>2020</v>
      </c>
      <c r="AH518" s="35">
        <v>2020</v>
      </c>
      <c r="AT518" s="20" t="e">
        <f>VLOOKUP(C518,AW:AX,2,FALSE)</f>
        <v>#N/A</v>
      </c>
      <c r="BZ518" s="71"/>
      <c r="CD518" s="20" t="e">
        <f t="shared" si="122"/>
        <v>#N/A</v>
      </c>
    </row>
    <row r="519" spans="1:82" ht="61.5" x14ac:dyDescent="0.85">
      <c r="B519" s="24" t="s">
        <v>1271</v>
      </c>
      <c r="C519" s="24"/>
      <c r="D519" s="195">
        <f>SUM(D520:D521)</f>
        <v>2397267.1699999995</v>
      </c>
      <c r="E519" s="31">
        <f t="shared" ref="E519:AE519" si="126">SUM(E520:E521)</f>
        <v>0</v>
      </c>
      <c r="F519" s="31">
        <f t="shared" si="126"/>
        <v>0</v>
      </c>
      <c r="G519" s="31">
        <f t="shared" si="126"/>
        <v>679682.53</v>
      </c>
      <c r="H519" s="31">
        <f t="shared" si="126"/>
        <v>74978.2</v>
      </c>
      <c r="I519" s="31">
        <f t="shared" si="126"/>
        <v>1521354.0899999999</v>
      </c>
      <c r="J519" s="31">
        <f t="shared" si="126"/>
        <v>0</v>
      </c>
      <c r="K519" s="33">
        <f t="shared" si="126"/>
        <v>0</v>
      </c>
      <c r="L519" s="31">
        <f t="shared" si="126"/>
        <v>0</v>
      </c>
      <c r="M519" s="31">
        <f t="shared" si="126"/>
        <v>0</v>
      </c>
      <c r="N519" s="31">
        <f t="shared" si="126"/>
        <v>0</v>
      </c>
      <c r="O519" s="31">
        <f t="shared" si="126"/>
        <v>0</v>
      </c>
      <c r="P519" s="31">
        <f t="shared" si="126"/>
        <v>0</v>
      </c>
      <c r="Q519" s="31">
        <f t="shared" si="126"/>
        <v>0</v>
      </c>
      <c r="R519" s="31">
        <f t="shared" si="126"/>
        <v>0</v>
      </c>
      <c r="S519" s="31">
        <f t="shared" si="126"/>
        <v>0</v>
      </c>
      <c r="T519" s="31">
        <f t="shared" si="126"/>
        <v>0</v>
      </c>
      <c r="U519" s="31">
        <f t="shared" si="126"/>
        <v>0</v>
      </c>
      <c r="V519" s="31">
        <f t="shared" si="126"/>
        <v>0</v>
      </c>
      <c r="W519" s="31">
        <f t="shared" si="126"/>
        <v>0</v>
      </c>
      <c r="X519" s="31">
        <f t="shared" si="126"/>
        <v>0</v>
      </c>
      <c r="Y519" s="31">
        <f t="shared" si="126"/>
        <v>0</v>
      </c>
      <c r="Z519" s="31">
        <f t="shared" si="126"/>
        <v>0</v>
      </c>
      <c r="AA519" s="31">
        <f t="shared" si="126"/>
        <v>0</v>
      </c>
      <c r="AB519" s="31">
        <f t="shared" si="126"/>
        <v>0</v>
      </c>
      <c r="AC519" s="31">
        <f t="shared" si="126"/>
        <v>33969.53</v>
      </c>
      <c r="AD519" s="31">
        <f t="shared" si="126"/>
        <v>87282.82</v>
      </c>
      <c r="AE519" s="31">
        <f t="shared" si="126"/>
        <v>0</v>
      </c>
      <c r="AF519" s="72" t="s">
        <v>757</v>
      </c>
      <c r="AG519" s="72" t="s">
        <v>757</v>
      </c>
      <c r="AH519" s="87" t="s">
        <v>757</v>
      </c>
      <c r="BZ519" s="71">
        <v>2309984.35</v>
      </c>
      <c r="CB519" s="71">
        <f>BZ519-D519</f>
        <v>-87282.819999999367</v>
      </c>
      <c r="CD519" s="20" t="e">
        <f t="shared" si="122"/>
        <v>#N/A</v>
      </c>
    </row>
    <row r="520" spans="1:82" ht="61.5" x14ac:dyDescent="0.85">
      <c r="A520" s="20">
        <v>1</v>
      </c>
      <c r="B520" s="66">
        <f>SUBTOTAL(103,$A$22:A520)</f>
        <v>441</v>
      </c>
      <c r="C520" s="24" t="s">
        <v>1272</v>
      </c>
      <c r="D520" s="31">
        <f>E520+F520+G520+H520+I520+J520+L520+N520+P520+R520+T520+U520+V520+W520+X520+Y520+Z520+AA520+AB520+AC520+AD520+AE520</f>
        <v>2309984.3499999996</v>
      </c>
      <c r="E520" s="31">
        <v>0</v>
      </c>
      <c r="F520" s="31">
        <v>0</v>
      </c>
      <c r="G520" s="39">
        <v>679682.53</v>
      </c>
      <c r="H520" s="179">
        <v>74978.2</v>
      </c>
      <c r="I520" s="31">
        <f>574321.54+946962.57+69.98</f>
        <v>1521354.0899999999</v>
      </c>
      <c r="J520" s="31">
        <v>0</v>
      </c>
      <c r="K520" s="33">
        <v>0</v>
      </c>
      <c r="L520" s="31">
        <v>0</v>
      </c>
      <c r="M520" s="31">
        <v>0</v>
      </c>
      <c r="N520" s="31">
        <v>0</v>
      </c>
      <c r="O520" s="31">
        <v>0</v>
      </c>
      <c r="P520" s="31">
        <v>0</v>
      </c>
      <c r="Q520" s="31">
        <v>0</v>
      </c>
      <c r="R520" s="31">
        <v>0</v>
      </c>
      <c r="S520" s="31">
        <v>0</v>
      </c>
      <c r="T520" s="31">
        <v>0</v>
      </c>
      <c r="U520" s="31">
        <v>0</v>
      </c>
      <c r="V520" s="31">
        <v>0</v>
      </c>
      <c r="W520" s="31">
        <v>0</v>
      </c>
      <c r="X520" s="31">
        <v>0</v>
      </c>
      <c r="Y520" s="31">
        <v>0</v>
      </c>
      <c r="Z520" s="31">
        <v>0</v>
      </c>
      <c r="AA520" s="31">
        <v>0</v>
      </c>
      <c r="AB520" s="31">
        <v>0</v>
      </c>
      <c r="AC520" s="31">
        <f>ROUND((E520+F520+G520+H520+I520+J520)*1.4925%,2)+0.01</f>
        <v>33969.53</v>
      </c>
      <c r="AD520" s="31">
        <v>0</v>
      </c>
      <c r="AE520" s="31">
        <v>0</v>
      </c>
      <c r="AF520" s="34" t="s">
        <v>270</v>
      </c>
      <c r="AG520" s="34">
        <v>2020</v>
      </c>
      <c r="AH520" s="35">
        <v>2020</v>
      </c>
      <c r="BZ520" s="71"/>
      <c r="CD520" s="20" t="e">
        <f t="shared" si="122"/>
        <v>#N/A</v>
      </c>
    </row>
    <row r="521" spans="1:82" ht="61.5" x14ac:dyDescent="0.85">
      <c r="A521" s="20">
        <v>1</v>
      </c>
      <c r="B521" s="66">
        <f>SUBTOTAL(103,$A$22:A521)</f>
        <v>442</v>
      </c>
      <c r="C521" s="24" t="s">
        <v>98</v>
      </c>
      <c r="D521" s="31">
        <f>E521+F521+G521+H521+I521+J521+L521+N521+P521+R521+T521+U521+V521+W521+X521+Y521+Z521+AA521+AB521+AC521+AD521+AE521</f>
        <v>87282.82</v>
      </c>
      <c r="E521" s="31">
        <v>0</v>
      </c>
      <c r="F521" s="31">
        <v>0</v>
      </c>
      <c r="G521" s="31">
        <v>0</v>
      </c>
      <c r="H521" s="31">
        <v>0</v>
      </c>
      <c r="I521" s="31">
        <v>0</v>
      </c>
      <c r="J521" s="31">
        <v>0</v>
      </c>
      <c r="K521" s="74">
        <v>0</v>
      </c>
      <c r="L521" s="31">
        <v>0</v>
      </c>
      <c r="M521" s="31">
        <v>0</v>
      </c>
      <c r="N521" s="31">
        <v>0</v>
      </c>
      <c r="O521" s="31">
        <v>0</v>
      </c>
      <c r="P521" s="31">
        <v>0</v>
      </c>
      <c r="Q521" s="31">
        <v>0</v>
      </c>
      <c r="R521" s="31">
        <v>0</v>
      </c>
      <c r="S521" s="31">
        <v>0</v>
      </c>
      <c r="T521" s="31">
        <v>0</v>
      </c>
      <c r="U521" s="31">
        <v>0</v>
      </c>
      <c r="V521" s="31">
        <v>0</v>
      </c>
      <c r="W521" s="31">
        <v>0</v>
      </c>
      <c r="X521" s="31">
        <v>0</v>
      </c>
      <c r="Y521" s="31">
        <v>0</v>
      </c>
      <c r="Z521" s="31">
        <v>0</v>
      </c>
      <c r="AA521" s="31">
        <v>0</v>
      </c>
      <c r="AB521" s="31">
        <v>0</v>
      </c>
      <c r="AC521" s="31">
        <f>ROUND(N521*1.5%,2)</f>
        <v>0</v>
      </c>
      <c r="AD521" s="31">
        <v>87282.82</v>
      </c>
      <c r="AE521" s="31">
        <v>0</v>
      </c>
      <c r="AF521" s="34">
        <v>2020</v>
      </c>
      <c r="AG521" s="34" t="s">
        <v>270</v>
      </c>
      <c r="AH521" s="34" t="s">
        <v>270</v>
      </c>
      <c r="AT521" s="20" t="e">
        <f>VLOOKUP(C521,AW:AX,2,FALSE)</f>
        <v>#N/A</v>
      </c>
      <c r="BZ521" s="71"/>
      <c r="CD521" s="20" t="e">
        <f t="shared" si="122"/>
        <v>#N/A</v>
      </c>
    </row>
    <row r="522" spans="1:82" ht="61.5" x14ac:dyDescent="0.85">
      <c r="B522" s="24" t="s">
        <v>864</v>
      </c>
      <c r="C522" s="108"/>
      <c r="D522" s="195">
        <f t="shared" ref="D522:AE522" si="127">SUM(D523:D527)</f>
        <v>5633529.5499999998</v>
      </c>
      <c r="E522" s="31">
        <f t="shared" si="127"/>
        <v>0</v>
      </c>
      <c r="F522" s="31">
        <f t="shared" si="127"/>
        <v>0</v>
      </c>
      <c r="G522" s="31">
        <f t="shared" si="127"/>
        <v>0</v>
      </c>
      <c r="H522" s="31">
        <f t="shared" si="127"/>
        <v>0</v>
      </c>
      <c r="I522" s="31">
        <f t="shared" si="127"/>
        <v>633864</v>
      </c>
      <c r="J522" s="31">
        <f t="shared" si="127"/>
        <v>0</v>
      </c>
      <c r="K522" s="33">
        <f t="shared" si="127"/>
        <v>0</v>
      </c>
      <c r="L522" s="31">
        <f t="shared" si="127"/>
        <v>0</v>
      </c>
      <c r="M522" s="31">
        <f t="shared" si="127"/>
        <v>1103.55</v>
      </c>
      <c r="N522" s="31">
        <f t="shared" si="127"/>
        <v>4583091.24</v>
      </c>
      <c r="O522" s="31">
        <f t="shared" si="127"/>
        <v>0</v>
      </c>
      <c r="P522" s="31">
        <f t="shared" si="127"/>
        <v>0</v>
      </c>
      <c r="Q522" s="31">
        <f t="shared" si="127"/>
        <v>0</v>
      </c>
      <c r="R522" s="31">
        <f t="shared" si="127"/>
        <v>0</v>
      </c>
      <c r="S522" s="31">
        <f t="shared" si="127"/>
        <v>0</v>
      </c>
      <c r="T522" s="31">
        <f t="shared" si="127"/>
        <v>0</v>
      </c>
      <c r="U522" s="31">
        <f t="shared" si="127"/>
        <v>0</v>
      </c>
      <c r="V522" s="31">
        <f t="shared" si="127"/>
        <v>0</v>
      </c>
      <c r="W522" s="31">
        <f t="shared" si="127"/>
        <v>0</v>
      </c>
      <c r="X522" s="31">
        <f t="shared" si="127"/>
        <v>0</v>
      </c>
      <c r="Y522" s="31">
        <f t="shared" si="127"/>
        <v>0</v>
      </c>
      <c r="Z522" s="31">
        <f t="shared" si="127"/>
        <v>0</v>
      </c>
      <c r="AA522" s="31">
        <f t="shared" si="127"/>
        <v>0</v>
      </c>
      <c r="AB522" s="31">
        <f t="shared" si="127"/>
        <v>0</v>
      </c>
      <c r="AC522" s="31">
        <f t="shared" si="127"/>
        <v>72158.38</v>
      </c>
      <c r="AD522" s="31">
        <f t="shared" si="127"/>
        <v>104415.93</v>
      </c>
      <c r="AE522" s="31">
        <f t="shared" si="127"/>
        <v>240000</v>
      </c>
      <c r="AF522" s="72" t="s">
        <v>757</v>
      </c>
      <c r="AG522" s="72" t="s">
        <v>757</v>
      </c>
      <c r="AH522" s="87" t="s">
        <v>757</v>
      </c>
      <c r="AT522" s="20" t="e">
        <f>VLOOKUP(C522,AW:AX,2,FALSE)</f>
        <v>#N/A</v>
      </c>
      <c r="BZ522" s="71">
        <v>7354613.0300000003</v>
      </c>
      <c r="CB522" s="71">
        <f>BZ522-D522</f>
        <v>1721083.4800000004</v>
      </c>
      <c r="CD522" s="20" t="e">
        <f t="shared" si="122"/>
        <v>#N/A</v>
      </c>
    </row>
    <row r="523" spans="1:82" ht="61.5" x14ac:dyDescent="0.85">
      <c r="A523" s="20">
        <v>1</v>
      </c>
      <c r="B523" s="66">
        <f>SUBTOTAL(103,$A$22:A523)</f>
        <v>443</v>
      </c>
      <c r="C523" s="24" t="s">
        <v>185</v>
      </c>
      <c r="D523" s="31">
        <f t="shared" ref="D523:D527" si="128">E523+F523+G523+H523+I523+J523+L523+N523+P523+R523+T523+U523+V523+W523+X523+Y523+Z523+AA523+AB523+AC523+AD523+AE523</f>
        <v>1818849.49</v>
      </c>
      <c r="E523" s="31">
        <v>0</v>
      </c>
      <c r="F523" s="31">
        <v>0</v>
      </c>
      <c r="G523" s="31">
        <v>0</v>
      </c>
      <c r="H523" s="31">
        <v>0</v>
      </c>
      <c r="I523" s="31">
        <v>0</v>
      </c>
      <c r="J523" s="31">
        <v>0</v>
      </c>
      <c r="K523" s="33">
        <v>0</v>
      </c>
      <c r="L523" s="31">
        <v>0</v>
      </c>
      <c r="M523" s="39">
        <v>255.2</v>
      </c>
      <c r="N523" s="39">
        <f>1282944.32+473637.73</f>
        <v>1756582.05</v>
      </c>
      <c r="O523" s="31">
        <v>0</v>
      </c>
      <c r="P523" s="31">
        <v>0</v>
      </c>
      <c r="Q523" s="31">
        <v>0</v>
      </c>
      <c r="R523" s="31">
        <v>0</v>
      </c>
      <c r="S523" s="31">
        <v>0</v>
      </c>
      <c r="T523" s="31">
        <v>0</v>
      </c>
      <c r="U523" s="31">
        <v>0</v>
      </c>
      <c r="V523" s="31">
        <v>0</v>
      </c>
      <c r="W523" s="31">
        <v>0</v>
      </c>
      <c r="X523" s="31">
        <v>0</v>
      </c>
      <c r="Y523" s="31">
        <v>0</v>
      </c>
      <c r="Z523" s="31">
        <v>0</v>
      </c>
      <c r="AA523" s="31">
        <v>0</v>
      </c>
      <c r="AB523" s="31">
        <v>0</v>
      </c>
      <c r="AC523" s="31">
        <f>ROUND(N523*1.5%,2)</f>
        <v>26348.73</v>
      </c>
      <c r="AD523" s="39">
        <v>35918.71</v>
      </c>
      <c r="AE523" s="31">
        <v>0</v>
      </c>
      <c r="AF523" s="34">
        <v>2020</v>
      </c>
      <c r="AG523" s="34">
        <v>2020</v>
      </c>
      <c r="AH523" s="35">
        <v>2020</v>
      </c>
      <c r="AT523" s="20" t="e">
        <f>VLOOKUP(C523,AW:AX,2,FALSE)</f>
        <v>#N/A</v>
      </c>
      <c r="BZ523" s="71"/>
      <c r="CD523" s="20">
        <f t="shared" si="122"/>
        <v>255.2</v>
      </c>
    </row>
    <row r="524" spans="1:82" ht="61.5" x14ac:dyDescent="0.85">
      <c r="A524" s="20">
        <v>1</v>
      </c>
      <c r="B524" s="66">
        <f>SUBTOTAL(103,$A$22:A524)</f>
        <v>444</v>
      </c>
      <c r="C524" s="24" t="s">
        <v>184</v>
      </c>
      <c r="D524" s="31">
        <f t="shared" si="128"/>
        <v>68497.22</v>
      </c>
      <c r="E524" s="31">
        <v>0</v>
      </c>
      <c r="F524" s="31">
        <v>0</v>
      </c>
      <c r="G524" s="31">
        <v>0</v>
      </c>
      <c r="H524" s="31">
        <v>0</v>
      </c>
      <c r="I524" s="31">
        <v>0</v>
      </c>
      <c r="J524" s="31">
        <v>0</v>
      </c>
      <c r="K524" s="33">
        <v>0</v>
      </c>
      <c r="L524" s="31">
        <v>0</v>
      </c>
      <c r="M524" s="31">
        <v>0</v>
      </c>
      <c r="N524" s="31">
        <v>0</v>
      </c>
      <c r="O524" s="31">
        <v>0</v>
      </c>
      <c r="P524" s="31">
        <v>0</v>
      </c>
      <c r="Q524" s="31">
        <v>0</v>
      </c>
      <c r="R524" s="31">
        <v>0</v>
      </c>
      <c r="S524" s="31">
        <v>0</v>
      </c>
      <c r="T524" s="31">
        <v>0</v>
      </c>
      <c r="U524" s="31">
        <v>0</v>
      </c>
      <c r="V524" s="31">
        <v>0</v>
      </c>
      <c r="W524" s="31">
        <v>0</v>
      </c>
      <c r="X524" s="31">
        <v>0</v>
      </c>
      <c r="Y524" s="31">
        <v>0</v>
      </c>
      <c r="Z524" s="31">
        <v>0</v>
      </c>
      <c r="AA524" s="31">
        <v>0</v>
      </c>
      <c r="AB524" s="31">
        <v>0</v>
      </c>
      <c r="AC524" s="31">
        <f>ROUND(N524*1.5%,2)</f>
        <v>0</v>
      </c>
      <c r="AD524" s="39">
        <v>68497.22</v>
      </c>
      <c r="AE524" s="31">
        <v>0</v>
      </c>
      <c r="AF524" s="34">
        <v>2020</v>
      </c>
      <c r="AG524" s="34" t="s">
        <v>270</v>
      </c>
      <c r="AH524" s="34" t="s">
        <v>270</v>
      </c>
      <c r="AT524" s="20" t="e">
        <f>VLOOKUP(C524,AW:AX,2,FALSE)</f>
        <v>#N/A</v>
      </c>
      <c r="BZ524" s="71"/>
      <c r="CD524" s="20" t="e">
        <f t="shared" si="122"/>
        <v>#N/A</v>
      </c>
    </row>
    <row r="525" spans="1:82" ht="61.5" x14ac:dyDescent="0.85">
      <c r="A525" s="20">
        <v>1</v>
      </c>
      <c r="B525" s="66">
        <f>SUBTOTAL(103,$A$22:A525)</f>
        <v>445</v>
      </c>
      <c r="C525" s="24" t="s">
        <v>1273</v>
      </c>
      <c r="D525" s="31">
        <f t="shared" si="128"/>
        <v>1775691.4500000002</v>
      </c>
      <c r="E525" s="31">
        <v>0</v>
      </c>
      <c r="F525" s="31">
        <v>0</v>
      </c>
      <c r="G525" s="31">
        <v>0</v>
      </c>
      <c r="H525" s="31">
        <v>0</v>
      </c>
      <c r="I525" s="31">
        <v>0</v>
      </c>
      <c r="J525" s="31">
        <v>0</v>
      </c>
      <c r="K525" s="33">
        <v>0</v>
      </c>
      <c r="L525" s="31">
        <v>0</v>
      </c>
      <c r="M525" s="39">
        <v>440.35</v>
      </c>
      <c r="N525" s="39">
        <v>1631223.1</v>
      </c>
      <c r="O525" s="31">
        <v>0</v>
      </c>
      <c r="P525" s="31">
        <v>0</v>
      </c>
      <c r="Q525" s="31">
        <v>0</v>
      </c>
      <c r="R525" s="31">
        <v>0</v>
      </c>
      <c r="S525" s="31">
        <v>0</v>
      </c>
      <c r="T525" s="31">
        <v>0</v>
      </c>
      <c r="U525" s="31">
        <v>0</v>
      </c>
      <c r="V525" s="31">
        <v>0</v>
      </c>
      <c r="W525" s="31">
        <v>0</v>
      </c>
      <c r="X525" s="31">
        <v>0</v>
      </c>
      <c r="Y525" s="31">
        <v>0</v>
      </c>
      <c r="Z525" s="31">
        <v>0</v>
      </c>
      <c r="AA525" s="31">
        <v>0</v>
      </c>
      <c r="AB525" s="31">
        <v>0</v>
      </c>
      <c r="AC525" s="31">
        <f>ROUND(N525*1.5%,2)</f>
        <v>24468.35</v>
      </c>
      <c r="AD525" s="31">
        <v>0</v>
      </c>
      <c r="AE525" s="31">
        <v>120000</v>
      </c>
      <c r="AF525" s="34" t="s">
        <v>270</v>
      </c>
      <c r="AG525" s="34">
        <v>2020</v>
      </c>
      <c r="AH525" s="35">
        <v>2020</v>
      </c>
      <c r="BZ525" s="71"/>
      <c r="CD525" s="20">
        <f t="shared" si="122"/>
        <v>437.4</v>
      </c>
    </row>
    <row r="526" spans="1:82" ht="61.5" x14ac:dyDescent="0.85">
      <c r="A526" s="20">
        <v>1</v>
      </c>
      <c r="B526" s="66">
        <f>SUBTOTAL(103,$A$22:A526)</f>
        <v>446</v>
      </c>
      <c r="C526" s="24" t="s">
        <v>1274</v>
      </c>
      <c r="D526" s="31">
        <f t="shared" si="128"/>
        <v>1327119.4200000002</v>
      </c>
      <c r="E526" s="31">
        <v>0</v>
      </c>
      <c r="F526" s="31">
        <v>0</v>
      </c>
      <c r="G526" s="31">
        <v>0</v>
      </c>
      <c r="H526" s="31">
        <v>0</v>
      </c>
      <c r="I526" s="31">
        <v>0</v>
      </c>
      <c r="J526" s="31">
        <v>0</v>
      </c>
      <c r="K526" s="33">
        <v>0</v>
      </c>
      <c r="L526" s="31">
        <v>0</v>
      </c>
      <c r="M526" s="39">
        <v>408</v>
      </c>
      <c r="N526" s="39">
        <v>1195286.0900000001</v>
      </c>
      <c r="O526" s="31">
        <v>0</v>
      </c>
      <c r="P526" s="31">
        <v>0</v>
      </c>
      <c r="Q526" s="31">
        <v>0</v>
      </c>
      <c r="R526" s="31">
        <v>0</v>
      </c>
      <c r="S526" s="31">
        <v>0</v>
      </c>
      <c r="T526" s="31">
        <v>0</v>
      </c>
      <c r="U526" s="31">
        <v>0</v>
      </c>
      <c r="V526" s="31">
        <v>0</v>
      </c>
      <c r="W526" s="31">
        <v>0</v>
      </c>
      <c r="X526" s="31">
        <v>0</v>
      </c>
      <c r="Y526" s="31">
        <v>0</v>
      </c>
      <c r="Z526" s="31">
        <v>0</v>
      </c>
      <c r="AA526" s="31">
        <v>0</v>
      </c>
      <c r="AB526" s="31">
        <v>0</v>
      </c>
      <c r="AC526" s="179">
        <v>11833.33</v>
      </c>
      <c r="AD526" s="31">
        <v>0</v>
      </c>
      <c r="AE526" s="31">
        <v>120000</v>
      </c>
      <c r="AF526" s="34" t="s">
        <v>270</v>
      </c>
      <c r="AG526" s="34">
        <v>2020</v>
      </c>
      <c r="AH526" s="35">
        <v>2020</v>
      </c>
      <c r="BZ526" s="71"/>
      <c r="CD526" s="20">
        <f t="shared" si="122"/>
        <v>408</v>
      </c>
    </row>
    <row r="527" spans="1:82" ht="61.5" x14ac:dyDescent="0.85">
      <c r="A527" s="20">
        <v>1</v>
      </c>
      <c r="B527" s="66">
        <f>SUBTOTAL(103,$A$22:A527)</f>
        <v>447</v>
      </c>
      <c r="C527" s="24" t="s">
        <v>1275</v>
      </c>
      <c r="D527" s="31">
        <f t="shared" si="128"/>
        <v>643371.97</v>
      </c>
      <c r="E527" s="31">
        <v>0</v>
      </c>
      <c r="F527" s="31">
        <v>0</v>
      </c>
      <c r="G527" s="31">
        <v>0</v>
      </c>
      <c r="H527" s="31">
        <v>0</v>
      </c>
      <c r="I527" s="242">
        <v>633864</v>
      </c>
      <c r="J527" s="31">
        <v>0</v>
      </c>
      <c r="K527" s="33">
        <v>0</v>
      </c>
      <c r="L527" s="31">
        <v>0</v>
      </c>
      <c r="M527" s="31">
        <v>0</v>
      </c>
      <c r="N527" s="31">
        <v>0</v>
      </c>
      <c r="O527" s="31">
        <v>0</v>
      </c>
      <c r="P527" s="31">
        <v>0</v>
      </c>
      <c r="Q527" s="31">
        <v>0</v>
      </c>
      <c r="R527" s="31">
        <v>0</v>
      </c>
      <c r="S527" s="31">
        <v>0</v>
      </c>
      <c r="T527" s="31">
        <v>0</v>
      </c>
      <c r="U527" s="31">
        <v>0</v>
      </c>
      <c r="V527" s="31">
        <v>0</v>
      </c>
      <c r="W527" s="31">
        <v>0</v>
      </c>
      <c r="X527" s="31">
        <v>0</v>
      </c>
      <c r="Y527" s="31">
        <v>0</v>
      </c>
      <c r="Z527" s="31">
        <v>0</v>
      </c>
      <c r="AA527" s="31">
        <v>0</v>
      </c>
      <c r="AB527" s="31">
        <v>0</v>
      </c>
      <c r="AC527" s="31">
        <f>ROUND(I527*1.5%,2)+0.01</f>
        <v>9507.9699999999993</v>
      </c>
      <c r="AD527" s="31">
        <v>0</v>
      </c>
      <c r="AE527" s="31">
        <v>0</v>
      </c>
      <c r="AF527" s="34" t="s">
        <v>270</v>
      </c>
      <c r="AG527" s="34">
        <v>2020</v>
      </c>
      <c r="AH527" s="35">
        <v>2020</v>
      </c>
      <c r="BZ527" s="71"/>
      <c r="CD527" s="20" t="e">
        <f t="shared" si="122"/>
        <v>#N/A</v>
      </c>
    </row>
    <row r="528" spans="1:82" ht="61.5" x14ac:dyDescent="0.85">
      <c r="B528" s="24" t="s">
        <v>865</v>
      </c>
      <c r="C528" s="24"/>
      <c r="D528" s="195">
        <f t="shared" ref="D528:AE528" si="129">D529</f>
        <v>3982171.62</v>
      </c>
      <c r="E528" s="31">
        <f t="shared" si="129"/>
        <v>0</v>
      </c>
      <c r="F528" s="31">
        <f t="shared" si="129"/>
        <v>0</v>
      </c>
      <c r="G528" s="31">
        <f t="shared" si="129"/>
        <v>0</v>
      </c>
      <c r="H528" s="31">
        <f t="shared" si="129"/>
        <v>0</v>
      </c>
      <c r="I528" s="31">
        <f t="shared" si="129"/>
        <v>0</v>
      </c>
      <c r="J528" s="31">
        <f t="shared" si="129"/>
        <v>0</v>
      </c>
      <c r="K528" s="33">
        <f t="shared" si="129"/>
        <v>0</v>
      </c>
      <c r="L528" s="31">
        <f t="shared" si="129"/>
        <v>0</v>
      </c>
      <c r="M528" s="31">
        <f t="shared" si="129"/>
        <v>1024.72</v>
      </c>
      <c r="N528" s="31">
        <f t="shared" si="129"/>
        <v>3826730.34</v>
      </c>
      <c r="O528" s="31">
        <f t="shared" si="129"/>
        <v>0</v>
      </c>
      <c r="P528" s="31">
        <f t="shared" si="129"/>
        <v>0</v>
      </c>
      <c r="Q528" s="31">
        <f t="shared" si="129"/>
        <v>0</v>
      </c>
      <c r="R528" s="31">
        <f t="shared" si="129"/>
        <v>0</v>
      </c>
      <c r="S528" s="31">
        <f t="shared" si="129"/>
        <v>0</v>
      </c>
      <c r="T528" s="31">
        <f t="shared" si="129"/>
        <v>0</v>
      </c>
      <c r="U528" s="31">
        <f t="shared" si="129"/>
        <v>0</v>
      </c>
      <c r="V528" s="31">
        <f t="shared" si="129"/>
        <v>0</v>
      </c>
      <c r="W528" s="31">
        <f t="shared" si="129"/>
        <v>0</v>
      </c>
      <c r="X528" s="31">
        <f t="shared" si="129"/>
        <v>0</v>
      </c>
      <c r="Y528" s="31">
        <f t="shared" si="129"/>
        <v>0</v>
      </c>
      <c r="Z528" s="31">
        <f t="shared" si="129"/>
        <v>0</v>
      </c>
      <c r="AA528" s="31">
        <f t="shared" si="129"/>
        <v>0</v>
      </c>
      <c r="AB528" s="31">
        <f t="shared" si="129"/>
        <v>0</v>
      </c>
      <c r="AC528" s="31">
        <f t="shared" si="129"/>
        <v>49364.83</v>
      </c>
      <c r="AD528" s="31">
        <f t="shared" si="129"/>
        <v>106076.45</v>
      </c>
      <c r="AE528" s="31">
        <f t="shared" si="129"/>
        <v>0</v>
      </c>
      <c r="AF528" s="72" t="s">
        <v>757</v>
      </c>
      <c r="AG528" s="72" t="s">
        <v>757</v>
      </c>
      <c r="AH528" s="87" t="s">
        <v>757</v>
      </c>
      <c r="AT528" s="20" t="e">
        <f>VLOOKUP(C528,AW:AX,2,FALSE)</f>
        <v>#N/A</v>
      </c>
      <c r="BZ528" s="71">
        <v>5403513.4500000002</v>
      </c>
      <c r="CB528" s="71">
        <f>BZ528-D528</f>
        <v>1421341.83</v>
      </c>
      <c r="CD528" s="20" t="e">
        <f t="shared" si="122"/>
        <v>#N/A</v>
      </c>
    </row>
    <row r="529" spans="1:82" ht="61.5" x14ac:dyDescent="0.85">
      <c r="A529" s="20">
        <v>1</v>
      </c>
      <c r="B529" s="66">
        <f>SUBTOTAL(103,$A$22:A529)</f>
        <v>448</v>
      </c>
      <c r="C529" s="24" t="s">
        <v>188</v>
      </c>
      <c r="D529" s="31">
        <f>E529+F529+G529+H529+I529+J529+L529+N529+P529+R529+T529+U529+V529+W529+X529+Y529+Z529+AA529+AB529+AC529+AD529+AE529</f>
        <v>3982171.62</v>
      </c>
      <c r="E529" s="31">
        <v>0</v>
      </c>
      <c r="F529" s="31">
        <v>0</v>
      </c>
      <c r="G529" s="31">
        <v>0</v>
      </c>
      <c r="H529" s="31">
        <v>0</v>
      </c>
      <c r="I529" s="31">
        <v>0</v>
      </c>
      <c r="J529" s="31">
        <v>0</v>
      </c>
      <c r="K529" s="33">
        <v>0</v>
      </c>
      <c r="L529" s="31">
        <v>0</v>
      </c>
      <c r="M529" s="39">
        <v>1024.72</v>
      </c>
      <c r="N529" s="39">
        <v>3826730.34</v>
      </c>
      <c r="O529" s="31">
        <v>0</v>
      </c>
      <c r="P529" s="31">
        <v>0</v>
      </c>
      <c r="Q529" s="31">
        <v>0</v>
      </c>
      <c r="R529" s="31">
        <v>0</v>
      </c>
      <c r="S529" s="31">
        <v>0</v>
      </c>
      <c r="T529" s="31">
        <v>0</v>
      </c>
      <c r="U529" s="31">
        <v>0</v>
      </c>
      <c r="V529" s="31">
        <v>0</v>
      </c>
      <c r="W529" s="31">
        <v>0</v>
      </c>
      <c r="X529" s="31">
        <v>0</v>
      </c>
      <c r="Y529" s="31">
        <v>0</v>
      </c>
      <c r="Z529" s="31">
        <v>0</v>
      </c>
      <c r="AA529" s="31">
        <v>0</v>
      </c>
      <c r="AB529" s="31">
        <v>0</v>
      </c>
      <c r="AC529" s="39">
        <v>49364.83</v>
      </c>
      <c r="AD529" s="39">
        <v>106076.45</v>
      </c>
      <c r="AE529" s="31">
        <v>0</v>
      </c>
      <c r="AF529" s="34">
        <v>2020</v>
      </c>
      <c r="AG529" s="34">
        <v>2020</v>
      </c>
      <c r="AH529" s="35">
        <v>2020</v>
      </c>
      <c r="AT529" s="20" t="e">
        <f>VLOOKUP(C529,AW:AX,2,FALSE)</f>
        <v>#N/A</v>
      </c>
      <c r="BZ529" s="71"/>
      <c r="CD529" s="20">
        <f t="shared" si="122"/>
        <v>1028.5999999999999</v>
      </c>
    </row>
    <row r="530" spans="1:82" ht="61.5" x14ac:dyDescent="0.85">
      <c r="B530" s="24" t="s">
        <v>866</v>
      </c>
      <c r="C530" s="24"/>
      <c r="D530" s="195">
        <f>D531+D532</f>
        <v>8110455.3499999996</v>
      </c>
      <c r="E530" s="31">
        <f t="shared" ref="E530:AE530" si="130">E531+E532</f>
        <v>0</v>
      </c>
      <c r="F530" s="31">
        <f t="shared" si="130"/>
        <v>0</v>
      </c>
      <c r="G530" s="31">
        <f t="shared" si="130"/>
        <v>0</v>
      </c>
      <c r="H530" s="31">
        <f t="shared" si="130"/>
        <v>0</v>
      </c>
      <c r="I530" s="31">
        <f t="shared" si="130"/>
        <v>0</v>
      </c>
      <c r="J530" s="31">
        <f t="shared" si="130"/>
        <v>0</v>
      </c>
      <c r="K530" s="33">
        <f t="shared" si="130"/>
        <v>0</v>
      </c>
      <c r="L530" s="31">
        <f t="shared" si="130"/>
        <v>0</v>
      </c>
      <c r="M530" s="31">
        <f t="shared" si="130"/>
        <v>578.4</v>
      </c>
      <c r="N530" s="31">
        <f t="shared" si="130"/>
        <v>2614299.75</v>
      </c>
      <c r="O530" s="31">
        <f t="shared" si="130"/>
        <v>0</v>
      </c>
      <c r="P530" s="31">
        <f t="shared" si="130"/>
        <v>0</v>
      </c>
      <c r="Q530" s="31">
        <f t="shared" si="130"/>
        <v>2869</v>
      </c>
      <c r="R530" s="31">
        <f t="shared" si="130"/>
        <v>5415331.7699999996</v>
      </c>
      <c r="S530" s="31">
        <f t="shared" si="130"/>
        <v>0</v>
      </c>
      <c r="T530" s="31">
        <f t="shared" si="130"/>
        <v>0</v>
      </c>
      <c r="U530" s="31">
        <f t="shared" si="130"/>
        <v>0</v>
      </c>
      <c r="V530" s="31">
        <f t="shared" si="130"/>
        <v>0</v>
      </c>
      <c r="W530" s="31">
        <f t="shared" si="130"/>
        <v>0</v>
      </c>
      <c r="X530" s="31">
        <f t="shared" si="130"/>
        <v>0</v>
      </c>
      <c r="Y530" s="31">
        <f t="shared" si="130"/>
        <v>0</v>
      </c>
      <c r="Z530" s="31">
        <f t="shared" si="130"/>
        <v>0</v>
      </c>
      <c r="AA530" s="31">
        <f t="shared" si="130"/>
        <v>0</v>
      </c>
      <c r="AB530" s="31">
        <f t="shared" si="130"/>
        <v>0</v>
      </c>
      <c r="AC530" s="31">
        <f t="shared" si="130"/>
        <v>80823.83</v>
      </c>
      <c r="AD530" s="31">
        <f t="shared" si="130"/>
        <v>0</v>
      </c>
      <c r="AE530" s="31">
        <f t="shared" si="130"/>
        <v>0</v>
      </c>
      <c r="AF530" s="72" t="s">
        <v>757</v>
      </c>
      <c r="AG530" s="72" t="s">
        <v>757</v>
      </c>
      <c r="AH530" s="87" t="s">
        <v>757</v>
      </c>
      <c r="AT530" s="20" t="e">
        <f>VLOOKUP(C530,AW:AX,2,FALSE)</f>
        <v>#N/A</v>
      </c>
      <c r="BZ530" s="71">
        <v>8957085.8399999999</v>
      </c>
      <c r="CB530" s="71">
        <f>BZ530-D530</f>
        <v>846630.49000000022</v>
      </c>
      <c r="CD530" s="20" t="e">
        <f t="shared" si="122"/>
        <v>#N/A</v>
      </c>
    </row>
    <row r="531" spans="1:82" ht="61.5" x14ac:dyDescent="0.85">
      <c r="A531" s="20">
        <v>1</v>
      </c>
      <c r="B531" s="66">
        <f>SUBTOTAL(103,$A$22:A531)</f>
        <v>449</v>
      </c>
      <c r="C531" s="24" t="s">
        <v>187</v>
      </c>
      <c r="D531" s="31">
        <f>E531+F531+G531+H531+I531+J531+L531+N531+P531+R531+T531+U531+V531+W531+X531+Y531+Z531+AA531+AB531+AC531+AD531+AE531</f>
        <v>2614299.75</v>
      </c>
      <c r="E531" s="31">
        <v>0</v>
      </c>
      <c r="F531" s="31">
        <v>0</v>
      </c>
      <c r="G531" s="31">
        <v>0</v>
      </c>
      <c r="H531" s="31">
        <v>0</v>
      </c>
      <c r="I531" s="31">
        <v>0</v>
      </c>
      <c r="J531" s="31">
        <v>0</v>
      </c>
      <c r="K531" s="33">
        <v>0</v>
      </c>
      <c r="L531" s="31">
        <v>0</v>
      </c>
      <c r="M531" s="39">
        <v>578.4</v>
      </c>
      <c r="N531" s="39">
        <v>2614299.75</v>
      </c>
      <c r="O531" s="31">
        <v>0</v>
      </c>
      <c r="P531" s="31">
        <v>0</v>
      </c>
      <c r="Q531" s="31">
        <v>0</v>
      </c>
      <c r="R531" s="31">
        <v>0</v>
      </c>
      <c r="S531" s="31">
        <v>0</v>
      </c>
      <c r="T531" s="31">
        <v>0</v>
      </c>
      <c r="U531" s="31">
        <v>0</v>
      </c>
      <c r="V531" s="31">
        <v>0</v>
      </c>
      <c r="W531" s="31">
        <v>0</v>
      </c>
      <c r="X531" s="31">
        <v>0</v>
      </c>
      <c r="Y531" s="31">
        <v>0</v>
      </c>
      <c r="Z531" s="31">
        <v>0</v>
      </c>
      <c r="AA531" s="31">
        <v>0</v>
      </c>
      <c r="AB531" s="31">
        <v>0</v>
      </c>
      <c r="AC531" s="31">
        <v>0</v>
      </c>
      <c r="AD531" s="31">
        <v>0</v>
      </c>
      <c r="AE531" s="31">
        <v>0</v>
      </c>
      <c r="AF531" s="34" t="s">
        <v>270</v>
      </c>
      <c r="AG531" s="34">
        <v>2020</v>
      </c>
      <c r="AH531" s="35" t="s">
        <v>270</v>
      </c>
      <c r="AT531" s="20" t="e">
        <f>VLOOKUP(C531,AW:AX,2,FALSE)</f>
        <v>#N/A</v>
      </c>
      <c r="BZ531" s="71"/>
      <c r="CD531" s="20">
        <f t="shared" si="122"/>
        <v>578.4</v>
      </c>
    </row>
    <row r="532" spans="1:82" ht="61.5" x14ac:dyDescent="0.85">
      <c r="A532" s="20">
        <v>1</v>
      </c>
      <c r="B532" s="66">
        <f>SUBTOTAL(103,$A$22:A532)</f>
        <v>450</v>
      </c>
      <c r="C532" s="24" t="s">
        <v>1556</v>
      </c>
      <c r="D532" s="31">
        <f>E532+F532+G532+H532+I532+J532+L532+N532+P532+R532+T532+U532+V532+W532+X532+Y532+Z532+AA532+AB532+AC532+AD532+AE532</f>
        <v>5496155.5999999996</v>
      </c>
      <c r="E532" s="31">
        <v>0</v>
      </c>
      <c r="F532" s="31">
        <v>0</v>
      </c>
      <c r="G532" s="31">
        <v>0</v>
      </c>
      <c r="H532" s="31">
        <v>0</v>
      </c>
      <c r="I532" s="31">
        <v>0</v>
      </c>
      <c r="J532" s="31">
        <v>0</v>
      </c>
      <c r="K532" s="33">
        <v>0</v>
      </c>
      <c r="L532" s="31">
        <v>0</v>
      </c>
      <c r="M532" s="31">
        <v>0</v>
      </c>
      <c r="N532" s="31">
        <v>0</v>
      </c>
      <c r="O532" s="31">
        <v>0</v>
      </c>
      <c r="P532" s="31">
        <v>0</v>
      </c>
      <c r="Q532" s="39">
        <v>2869</v>
      </c>
      <c r="R532" s="39">
        <f>3760822.73+1654509.04</f>
        <v>5415331.7699999996</v>
      </c>
      <c r="S532" s="31">
        <v>0</v>
      </c>
      <c r="T532" s="31">
        <v>0</v>
      </c>
      <c r="U532" s="31">
        <v>0</v>
      </c>
      <c r="V532" s="31">
        <v>0</v>
      </c>
      <c r="W532" s="31">
        <v>0</v>
      </c>
      <c r="X532" s="31">
        <v>0</v>
      </c>
      <c r="Y532" s="31">
        <v>0</v>
      </c>
      <c r="Z532" s="31">
        <v>0</v>
      </c>
      <c r="AA532" s="31">
        <v>0</v>
      </c>
      <c r="AB532" s="31">
        <v>0</v>
      </c>
      <c r="AC532" s="31">
        <f>ROUND(R532*1.4925%,2)</f>
        <v>80823.83</v>
      </c>
      <c r="AD532" s="31">
        <v>0</v>
      </c>
      <c r="AE532" s="31">
        <v>0</v>
      </c>
      <c r="AF532" s="34" t="s">
        <v>270</v>
      </c>
      <c r="AG532" s="34">
        <v>2020</v>
      </c>
      <c r="AH532" s="35">
        <v>2020</v>
      </c>
      <c r="BZ532" s="71"/>
      <c r="CD532" s="20" t="e">
        <f t="shared" si="122"/>
        <v>#N/A</v>
      </c>
    </row>
    <row r="533" spans="1:82" ht="61.5" x14ac:dyDescent="0.85">
      <c r="B533" s="24" t="s">
        <v>867</v>
      </c>
      <c r="C533" s="24"/>
      <c r="D533" s="195">
        <f t="shared" ref="D533:AE533" si="131">D534</f>
        <v>1241065.97</v>
      </c>
      <c r="E533" s="31">
        <f t="shared" si="131"/>
        <v>0</v>
      </c>
      <c r="F533" s="31">
        <f t="shared" si="131"/>
        <v>0</v>
      </c>
      <c r="G533" s="31">
        <f t="shared" si="131"/>
        <v>0</v>
      </c>
      <c r="H533" s="31">
        <f t="shared" si="131"/>
        <v>0</v>
      </c>
      <c r="I533" s="31">
        <f t="shared" si="131"/>
        <v>0</v>
      </c>
      <c r="J533" s="31">
        <f t="shared" si="131"/>
        <v>0</v>
      </c>
      <c r="K533" s="33">
        <f t="shared" si="131"/>
        <v>0</v>
      </c>
      <c r="L533" s="31">
        <f t="shared" si="131"/>
        <v>0</v>
      </c>
      <c r="M533" s="31">
        <f t="shared" si="131"/>
        <v>362</v>
      </c>
      <c r="N533" s="31">
        <f t="shared" si="131"/>
        <v>1182710.79</v>
      </c>
      <c r="O533" s="31">
        <f t="shared" si="131"/>
        <v>0</v>
      </c>
      <c r="P533" s="31">
        <f t="shared" si="131"/>
        <v>0</v>
      </c>
      <c r="Q533" s="31">
        <f t="shared" si="131"/>
        <v>0</v>
      </c>
      <c r="R533" s="31">
        <f t="shared" si="131"/>
        <v>0</v>
      </c>
      <c r="S533" s="31">
        <f t="shared" si="131"/>
        <v>0</v>
      </c>
      <c r="T533" s="31">
        <f t="shared" si="131"/>
        <v>0</v>
      </c>
      <c r="U533" s="31">
        <f t="shared" si="131"/>
        <v>0</v>
      </c>
      <c r="V533" s="31">
        <f t="shared" si="131"/>
        <v>0</v>
      </c>
      <c r="W533" s="31">
        <f t="shared" si="131"/>
        <v>0</v>
      </c>
      <c r="X533" s="31">
        <f t="shared" si="131"/>
        <v>0</v>
      </c>
      <c r="Y533" s="31">
        <f t="shared" si="131"/>
        <v>0</v>
      </c>
      <c r="Z533" s="31">
        <f t="shared" si="131"/>
        <v>0</v>
      </c>
      <c r="AA533" s="31">
        <f t="shared" si="131"/>
        <v>0</v>
      </c>
      <c r="AB533" s="31">
        <f t="shared" si="131"/>
        <v>0</v>
      </c>
      <c r="AC533" s="31">
        <f t="shared" si="131"/>
        <v>15256.97</v>
      </c>
      <c r="AD533" s="31">
        <f t="shared" si="131"/>
        <v>43098.21</v>
      </c>
      <c r="AE533" s="31">
        <f t="shared" si="131"/>
        <v>0</v>
      </c>
      <c r="AF533" s="72" t="s">
        <v>757</v>
      </c>
      <c r="AG533" s="72" t="s">
        <v>757</v>
      </c>
      <c r="AH533" s="87" t="s">
        <v>757</v>
      </c>
      <c r="AT533" s="20" t="e">
        <f>VLOOKUP(C533,AW:AX,2,FALSE)</f>
        <v>#N/A</v>
      </c>
      <c r="BZ533" s="71">
        <v>2733218.92</v>
      </c>
      <c r="CB533" s="71">
        <f>BZ533-D533</f>
        <v>1492152.95</v>
      </c>
      <c r="CD533" s="20" t="e">
        <f t="shared" si="122"/>
        <v>#N/A</v>
      </c>
    </row>
    <row r="534" spans="1:82" ht="61.5" x14ac:dyDescent="0.85">
      <c r="A534" s="20">
        <v>1</v>
      </c>
      <c r="B534" s="66">
        <f>SUBTOTAL(103,$A$22:A534)</f>
        <v>451</v>
      </c>
      <c r="C534" s="24" t="s">
        <v>186</v>
      </c>
      <c r="D534" s="31">
        <f>E534+F534+G534+H534+I534+J534+L534+N534+P534+R534+T534+U534+V534+W534+X534+Y534+Z534+AA534+AB534+AC534+AD534+AE534</f>
        <v>1241065.97</v>
      </c>
      <c r="E534" s="31">
        <v>0</v>
      </c>
      <c r="F534" s="31">
        <v>0</v>
      </c>
      <c r="G534" s="31">
        <v>0</v>
      </c>
      <c r="H534" s="31">
        <v>0</v>
      </c>
      <c r="I534" s="31">
        <v>0</v>
      </c>
      <c r="J534" s="31">
        <v>0</v>
      </c>
      <c r="K534" s="33">
        <v>0</v>
      </c>
      <c r="L534" s="31">
        <v>0</v>
      </c>
      <c r="M534" s="39">
        <v>362</v>
      </c>
      <c r="N534" s="39">
        <v>1182710.79</v>
      </c>
      <c r="O534" s="31">
        <v>0</v>
      </c>
      <c r="P534" s="31">
        <v>0</v>
      </c>
      <c r="Q534" s="31">
        <v>0</v>
      </c>
      <c r="R534" s="31">
        <v>0</v>
      </c>
      <c r="S534" s="31">
        <v>0</v>
      </c>
      <c r="T534" s="31">
        <v>0</v>
      </c>
      <c r="U534" s="31">
        <v>0</v>
      </c>
      <c r="V534" s="31">
        <v>0</v>
      </c>
      <c r="W534" s="31">
        <v>0</v>
      </c>
      <c r="X534" s="31">
        <v>0</v>
      </c>
      <c r="Y534" s="31">
        <v>0</v>
      </c>
      <c r="Z534" s="31">
        <v>0</v>
      </c>
      <c r="AA534" s="31">
        <v>0</v>
      </c>
      <c r="AB534" s="31">
        <v>0</v>
      </c>
      <c r="AC534" s="39">
        <v>15256.97</v>
      </c>
      <c r="AD534" s="39">
        <v>43098.21</v>
      </c>
      <c r="AE534" s="31">
        <v>0</v>
      </c>
      <c r="AF534" s="34">
        <v>2020</v>
      </c>
      <c r="AG534" s="34">
        <v>2020</v>
      </c>
      <c r="AH534" s="35">
        <v>2020</v>
      </c>
      <c r="AT534" s="20" t="e">
        <f>VLOOKUP(C534,AW:AX,2,FALSE)</f>
        <v>#N/A</v>
      </c>
      <c r="BZ534" s="71"/>
      <c r="CD534" s="20">
        <f t="shared" si="122"/>
        <v>378</v>
      </c>
    </row>
    <row r="535" spans="1:82" ht="61.5" x14ac:dyDescent="0.85">
      <c r="B535" s="24" t="s">
        <v>868</v>
      </c>
      <c r="C535" s="108"/>
      <c r="D535" s="195">
        <f t="shared" ref="D535:AE535" si="132">SUM(D536:D544)</f>
        <v>12361893.85</v>
      </c>
      <c r="E535" s="31">
        <f t="shared" si="132"/>
        <v>0</v>
      </c>
      <c r="F535" s="31">
        <f t="shared" si="132"/>
        <v>0</v>
      </c>
      <c r="G535" s="31">
        <f t="shared" si="132"/>
        <v>4677812.54</v>
      </c>
      <c r="H535" s="31">
        <f t="shared" si="132"/>
        <v>0</v>
      </c>
      <c r="I535" s="31">
        <f t="shared" si="132"/>
        <v>0</v>
      </c>
      <c r="J535" s="31">
        <f t="shared" si="132"/>
        <v>0</v>
      </c>
      <c r="K535" s="33">
        <f t="shared" si="132"/>
        <v>0</v>
      </c>
      <c r="L535" s="31">
        <f t="shared" si="132"/>
        <v>0</v>
      </c>
      <c r="M535" s="31">
        <f t="shared" si="132"/>
        <v>1057.07</v>
      </c>
      <c r="N535" s="31">
        <f t="shared" si="132"/>
        <v>7082698.4500000002</v>
      </c>
      <c r="O535" s="31">
        <f t="shared" si="132"/>
        <v>0</v>
      </c>
      <c r="P535" s="31">
        <f t="shared" si="132"/>
        <v>0</v>
      </c>
      <c r="Q535" s="31">
        <f t="shared" si="132"/>
        <v>0</v>
      </c>
      <c r="R535" s="31">
        <f t="shared" si="132"/>
        <v>0</v>
      </c>
      <c r="S535" s="31">
        <f t="shared" si="132"/>
        <v>0</v>
      </c>
      <c r="T535" s="31">
        <f t="shared" si="132"/>
        <v>0</v>
      </c>
      <c r="U535" s="31">
        <f t="shared" si="132"/>
        <v>0</v>
      </c>
      <c r="V535" s="31">
        <f t="shared" si="132"/>
        <v>0</v>
      </c>
      <c r="W535" s="31">
        <f t="shared" si="132"/>
        <v>0</v>
      </c>
      <c r="X535" s="31">
        <f t="shared" si="132"/>
        <v>0</v>
      </c>
      <c r="Y535" s="31">
        <f t="shared" si="132"/>
        <v>0</v>
      </c>
      <c r="Z535" s="31">
        <f t="shared" si="132"/>
        <v>0</v>
      </c>
      <c r="AA535" s="31">
        <f t="shared" si="132"/>
        <v>0</v>
      </c>
      <c r="AB535" s="31">
        <f t="shared" si="132"/>
        <v>0</v>
      </c>
      <c r="AC535" s="31">
        <f t="shared" si="132"/>
        <v>176407.65999999997</v>
      </c>
      <c r="AD535" s="31">
        <f t="shared" si="132"/>
        <v>424975.2</v>
      </c>
      <c r="AE535" s="31">
        <f t="shared" si="132"/>
        <v>0</v>
      </c>
      <c r="AF535" s="72" t="s">
        <v>757</v>
      </c>
      <c r="AG535" s="72" t="s">
        <v>757</v>
      </c>
      <c r="AH535" s="87" t="s">
        <v>757</v>
      </c>
      <c r="AT535" s="20" t="e">
        <f>VLOOKUP(C535,AW:AX,2,FALSE)</f>
        <v>#N/A</v>
      </c>
      <c r="BZ535" s="71">
        <v>18660147.93</v>
      </c>
      <c r="CB535" s="71">
        <f>BZ535-D535</f>
        <v>6298254.0800000001</v>
      </c>
      <c r="CD535" s="20" t="e">
        <f t="shared" si="122"/>
        <v>#N/A</v>
      </c>
    </row>
    <row r="536" spans="1:82" ht="61.5" x14ac:dyDescent="0.85">
      <c r="A536" s="20">
        <v>1</v>
      </c>
      <c r="B536" s="66">
        <f>SUBTOTAL(103,$A$22:A536)</f>
        <v>452</v>
      </c>
      <c r="C536" s="24" t="s">
        <v>217</v>
      </c>
      <c r="D536" s="31">
        <f t="shared" ref="D536:D541" si="133">E536+F536+G536+H536+I536+J536+L536+N536+P536+R536+T536+U536+V536+W536+X536+Y536+Z536+AA536+AB536+AC536+AD536+AE536</f>
        <v>7319741.4200000009</v>
      </c>
      <c r="E536" s="31">
        <v>0</v>
      </c>
      <c r="F536" s="31">
        <v>0</v>
      </c>
      <c r="G536" s="31">
        <v>0</v>
      </c>
      <c r="H536" s="31">
        <v>0</v>
      </c>
      <c r="I536" s="31">
        <v>0</v>
      </c>
      <c r="J536" s="31">
        <v>0</v>
      </c>
      <c r="K536" s="33">
        <v>0</v>
      </c>
      <c r="L536" s="31">
        <v>0</v>
      </c>
      <c r="M536" s="31">
        <v>1057.07</v>
      </c>
      <c r="N536" s="31">
        <f>5666305.42+1291982.25+235626.63-111215.85</f>
        <v>7082698.4500000002</v>
      </c>
      <c r="O536" s="31">
        <v>0</v>
      </c>
      <c r="P536" s="31">
        <v>0</v>
      </c>
      <c r="Q536" s="31">
        <v>0</v>
      </c>
      <c r="R536" s="31">
        <v>0</v>
      </c>
      <c r="S536" s="31">
        <v>0</v>
      </c>
      <c r="T536" s="31">
        <v>0</v>
      </c>
      <c r="U536" s="31">
        <v>0</v>
      </c>
      <c r="V536" s="31">
        <v>0</v>
      </c>
      <c r="W536" s="31">
        <v>0</v>
      </c>
      <c r="X536" s="31">
        <v>0</v>
      </c>
      <c r="Y536" s="31">
        <v>0</v>
      </c>
      <c r="Z536" s="31">
        <v>0</v>
      </c>
      <c r="AA536" s="31">
        <v>0</v>
      </c>
      <c r="AB536" s="31">
        <v>0</v>
      </c>
      <c r="AC536" s="31">
        <f>ROUND(N536*1.5%,2)</f>
        <v>106240.48</v>
      </c>
      <c r="AD536" s="39">
        <v>130802.49</v>
      </c>
      <c r="AE536" s="31">
        <v>0</v>
      </c>
      <c r="AF536" s="34">
        <v>2020</v>
      </c>
      <c r="AG536" s="34">
        <v>2020</v>
      </c>
      <c r="AH536" s="35">
        <v>2020</v>
      </c>
      <c r="AT536" s="20" t="e">
        <f>VLOOKUP(C536,AW:AX,2,FALSE)</f>
        <v>#N/A</v>
      </c>
      <c r="BZ536" s="71"/>
      <c r="CD536" s="20">
        <f t="shared" si="122"/>
        <v>1057.07</v>
      </c>
    </row>
    <row r="537" spans="1:82" ht="61.5" x14ac:dyDescent="0.85">
      <c r="A537" s="20">
        <v>1</v>
      </c>
      <c r="B537" s="66">
        <f>SUBTOTAL(103,$A$22:A537)</f>
        <v>453</v>
      </c>
      <c r="C537" s="24" t="s">
        <v>1277</v>
      </c>
      <c r="D537" s="31">
        <f t="shared" si="133"/>
        <v>2639000</v>
      </c>
      <c r="E537" s="31">
        <v>0</v>
      </c>
      <c r="F537" s="31">
        <v>0</v>
      </c>
      <c r="G537" s="31">
        <v>2600000</v>
      </c>
      <c r="H537" s="31">
        <v>0</v>
      </c>
      <c r="I537" s="31">
        <v>0</v>
      </c>
      <c r="J537" s="31">
        <v>0</v>
      </c>
      <c r="K537" s="33">
        <v>0</v>
      </c>
      <c r="L537" s="31">
        <v>0</v>
      </c>
      <c r="M537" s="31">
        <v>0</v>
      </c>
      <c r="N537" s="31">
        <v>0</v>
      </c>
      <c r="O537" s="31">
        <v>0</v>
      </c>
      <c r="P537" s="31">
        <v>0</v>
      </c>
      <c r="Q537" s="31">
        <v>0</v>
      </c>
      <c r="R537" s="31">
        <v>0</v>
      </c>
      <c r="S537" s="31">
        <v>0</v>
      </c>
      <c r="T537" s="31">
        <v>0</v>
      </c>
      <c r="U537" s="31">
        <v>0</v>
      </c>
      <c r="V537" s="31">
        <v>0</v>
      </c>
      <c r="W537" s="31">
        <v>0</v>
      </c>
      <c r="X537" s="31">
        <v>0</v>
      </c>
      <c r="Y537" s="31">
        <v>0</v>
      </c>
      <c r="Z537" s="31">
        <v>0</v>
      </c>
      <c r="AA537" s="31">
        <v>0</v>
      </c>
      <c r="AB537" s="31">
        <v>0</v>
      </c>
      <c r="AC537" s="31">
        <f t="shared" ref="AC537:AC541" si="134">ROUND((E537+F537+G537+H537+I537+J537)*1.5%,2)</f>
        <v>39000</v>
      </c>
      <c r="AD537" s="31">
        <v>0</v>
      </c>
      <c r="AE537" s="31">
        <v>0</v>
      </c>
      <c r="AF537" s="34" t="s">
        <v>270</v>
      </c>
      <c r="AG537" s="34">
        <v>2020</v>
      </c>
      <c r="AH537" s="35">
        <v>2020</v>
      </c>
      <c r="BZ537" s="71"/>
      <c r="CD537" s="20" t="e">
        <f t="shared" si="122"/>
        <v>#N/A</v>
      </c>
    </row>
    <row r="538" spans="1:82" ht="61.5" x14ac:dyDescent="0.85">
      <c r="A538" s="20">
        <v>1</v>
      </c>
      <c r="B538" s="66">
        <f>SUBTOTAL(103,$A$22:A538)</f>
        <v>454</v>
      </c>
      <c r="C538" s="24" t="s">
        <v>1278</v>
      </c>
      <c r="D538" s="31">
        <f t="shared" si="133"/>
        <v>229229.19</v>
      </c>
      <c r="E538" s="31">
        <v>0</v>
      </c>
      <c r="F538" s="31">
        <v>0</v>
      </c>
      <c r="G538" s="39">
        <v>225841.57</v>
      </c>
      <c r="H538" s="31">
        <v>0</v>
      </c>
      <c r="I538" s="31">
        <v>0</v>
      </c>
      <c r="J538" s="31">
        <v>0</v>
      </c>
      <c r="K538" s="33">
        <v>0</v>
      </c>
      <c r="L538" s="31">
        <v>0</v>
      </c>
      <c r="M538" s="31">
        <v>0</v>
      </c>
      <c r="N538" s="31">
        <v>0</v>
      </c>
      <c r="O538" s="31">
        <v>0</v>
      </c>
      <c r="P538" s="31">
        <v>0</v>
      </c>
      <c r="Q538" s="31">
        <v>0</v>
      </c>
      <c r="R538" s="31">
        <v>0</v>
      </c>
      <c r="S538" s="31">
        <v>0</v>
      </c>
      <c r="T538" s="31">
        <v>0</v>
      </c>
      <c r="U538" s="31">
        <v>0</v>
      </c>
      <c r="V538" s="31">
        <v>0</v>
      </c>
      <c r="W538" s="31">
        <v>0</v>
      </c>
      <c r="X538" s="31">
        <v>0</v>
      </c>
      <c r="Y538" s="31">
        <v>0</v>
      </c>
      <c r="Z538" s="31">
        <v>0</v>
      </c>
      <c r="AA538" s="31">
        <v>0</v>
      </c>
      <c r="AB538" s="31">
        <v>0</v>
      </c>
      <c r="AC538" s="31">
        <f t="shared" si="134"/>
        <v>3387.62</v>
      </c>
      <c r="AD538" s="31">
        <v>0</v>
      </c>
      <c r="AE538" s="31">
        <v>0</v>
      </c>
      <c r="AF538" s="34" t="s">
        <v>270</v>
      </c>
      <c r="AG538" s="34">
        <v>2020</v>
      </c>
      <c r="AH538" s="35">
        <v>2020</v>
      </c>
      <c r="BZ538" s="71"/>
      <c r="CD538" s="20" t="e">
        <f t="shared" si="122"/>
        <v>#N/A</v>
      </c>
    </row>
    <row r="539" spans="1:82" ht="61.5" x14ac:dyDescent="0.85">
      <c r="A539" s="20">
        <v>1</v>
      </c>
      <c r="B539" s="66">
        <f>SUBTOTAL(103,$A$22:A539)</f>
        <v>455</v>
      </c>
      <c r="C539" s="24" t="s">
        <v>1279</v>
      </c>
      <c r="D539" s="31">
        <f t="shared" si="133"/>
        <v>1879750.53</v>
      </c>
      <c r="E539" s="31">
        <v>0</v>
      </c>
      <c r="F539" s="31">
        <v>0</v>
      </c>
      <c r="G539" s="39">
        <v>1851970.97</v>
      </c>
      <c r="H539" s="31">
        <v>0</v>
      </c>
      <c r="I539" s="31">
        <v>0</v>
      </c>
      <c r="J539" s="31">
        <v>0</v>
      </c>
      <c r="K539" s="33">
        <v>0</v>
      </c>
      <c r="L539" s="31">
        <v>0</v>
      </c>
      <c r="M539" s="31">
        <v>0</v>
      </c>
      <c r="N539" s="31">
        <v>0</v>
      </c>
      <c r="O539" s="31">
        <v>0</v>
      </c>
      <c r="P539" s="31">
        <v>0</v>
      </c>
      <c r="Q539" s="31">
        <v>0</v>
      </c>
      <c r="R539" s="31">
        <v>0</v>
      </c>
      <c r="S539" s="31">
        <v>0</v>
      </c>
      <c r="T539" s="31">
        <v>0</v>
      </c>
      <c r="U539" s="31">
        <v>0</v>
      </c>
      <c r="V539" s="31">
        <v>0</v>
      </c>
      <c r="W539" s="31">
        <v>0</v>
      </c>
      <c r="X539" s="31">
        <v>0</v>
      </c>
      <c r="Y539" s="31">
        <v>0</v>
      </c>
      <c r="Z539" s="31">
        <v>0</v>
      </c>
      <c r="AA539" s="31">
        <v>0</v>
      </c>
      <c r="AB539" s="31">
        <v>0</v>
      </c>
      <c r="AC539" s="31">
        <f t="shared" si="134"/>
        <v>27779.56</v>
      </c>
      <c r="AD539" s="31">
        <v>0</v>
      </c>
      <c r="AE539" s="31">
        <v>0</v>
      </c>
      <c r="AF539" s="34" t="s">
        <v>270</v>
      </c>
      <c r="AG539" s="34">
        <v>2020</v>
      </c>
      <c r="AH539" s="35">
        <v>2020</v>
      </c>
      <c r="BZ539" s="71"/>
      <c r="CD539" s="20" t="e">
        <f t="shared" si="122"/>
        <v>#N/A</v>
      </c>
    </row>
    <row r="540" spans="1:82" ht="61.5" x14ac:dyDescent="0.85">
      <c r="A540" s="20">
        <v>1</v>
      </c>
      <c r="B540" s="66">
        <f>SUBTOTAL(103,$A$22:A540)</f>
        <v>456</v>
      </c>
      <c r="C540" s="24" t="s">
        <v>218</v>
      </c>
      <c r="D540" s="31">
        <f>E540+F540+G540+H540+I540+J540+L540+N540+P540+R540+T540+U540+V540+W540+X540+Y540+Z540+AA540+AB540+AC540+AD540+AE540</f>
        <v>57236.97</v>
      </c>
      <c r="E540" s="31">
        <v>0</v>
      </c>
      <c r="F540" s="31">
        <v>0</v>
      </c>
      <c r="G540" s="31">
        <v>0</v>
      </c>
      <c r="H540" s="31">
        <v>0</v>
      </c>
      <c r="I540" s="31">
        <v>0</v>
      </c>
      <c r="J540" s="31">
        <v>0</v>
      </c>
      <c r="K540" s="33">
        <v>0</v>
      </c>
      <c r="L540" s="31">
        <v>0</v>
      </c>
      <c r="M540" s="31">
        <v>0</v>
      </c>
      <c r="N540" s="31">
        <v>0</v>
      </c>
      <c r="O540" s="31">
        <v>0</v>
      </c>
      <c r="P540" s="31">
        <v>0</v>
      </c>
      <c r="Q540" s="31">
        <v>0</v>
      </c>
      <c r="R540" s="31">
        <v>0</v>
      </c>
      <c r="S540" s="31">
        <v>0</v>
      </c>
      <c r="T540" s="31">
        <v>0</v>
      </c>
      <c r="U540" s="31">
        <v>0</v>
      </c>
      <c r="V540" s="31">
        <v>0</v>
      </c>
      <c r="W540" s="31">
        <v>0</v>
      </c>
      <c r="X540" s="31">
        <v>0</v>
      </c>
      <c r="Y540" s="31">
        <v>0</v>
      </c>
      <c r="Z540" s="31">
        <v>0</v>
      </c>
      <c r="AA540" s="31">
        <v>0</v>
      </c>
      <c r="AB540" s="31">
        <v>0</v>
      </c>
      <c r="AC540" s="31">
        <f>ROUND((E540+F540+G540+H540+I540+J540)*1.5%,2)</f>
        <v>0</v>
      </c>
      <c r="AD540" s="39">
        <v>57236.97</v>
      </c>
      <c r="AE540" s="31">
        <v>0</v>
      </c>
      <c r="AF540" s="34">
        <v>2020</v>
      </c>
      <c r="AG540" s="34" t="s">
        <v>270</v>
      </c>
      <c r="AH540" s="34" t="s">
        <v>270</v>
      </c>
      <c r="AT540" s="20" t="e">
        <f>VLOOKUP(C540,AW:AX,2,FALSE)</f>
        <v>#N/A</v>
      </c>
      <c r="BZ540" s="71"/>
      <c r="CD540" s="20" t="e">
        <f t="shared" si="122"/>
        <v>#N/A</v>
      </c>
    </row>
    <row r="541" spans="1:82" ht="61.5" x14ac:dyDescent="0.85">
      <c r="A541" s="20">
        <v>1</v>
      </c>
      <c r="B541" s="66">
        <f>SUBTOTAL(103,$A$22:A541)</f>
        <v>457</v>
      </c>
      <c r="C541" s="24" t="s">
        <v>1570</v>
      </c>
      <c r="D541" s="31">
        <f t="shared" si="133"/>
        <v>60862.57</v>
      </c>
      <c r="E541" s="31">
        <v>0</v>
      </c>
      <c r="F541" s="31">
        <v>0</v>
      </c>
      <c r="G541" s="31">
        <v>0</v>
      </c>
      <c r="H541" s="31">
        <v>0</v>
      </c>
      <c r="I541" s="31">
        <v>0</v>
      </c>
      <c r="J541" s="31">
        <v>0</v>
      </c>
      <c r="K541" s="33">
        <v>0</v>
      </c>
      <c r="L541" s="31">
        <v>0</v>
      </c>
      <c r="M541" s="31">
        <v>0</v>
      </c>
      <c r="N541" s="31">
        <v>0</v>
      </c>
      <c r="O541" s="31">
        <v>0</v>
      </c>
      <c r="P541" s="31">
        <v>0</v>
      </c>
      <c r="Q541" s="31">
        <v>0</v>
      </c>
      <c r="R541" s="31">
        <v>0</v>
      </c>
      <c r="S541" s="31">
        <v>0</v>
      </c>
      <c r="T541" s="31">
        <v>0</v>
      </c>
      <c r="U541" s="31">
        <v>0</v>
      </c>
      <c r="V541" s="31">
        <v>0</v>
      </c>
      <c r="W541" s="31">
        <v>0</v>
      </c>
      <c r="X541" s="31">
        <v>0</v>
      </c>
      <c r="Y541" s="31">
        <v>0</v>
      </c>
      <c r="Z541" s="31">
        <v>0</v>
      </c>
      <c r="AA541" s="31">
        <v>0</v>
      </c>
      <c r="AB541" s="31">
        <v>0</v>
      </c>
      <c r="AC541" s="31">
        <f t="shared" si="134"/>
        <v>0</v>
      </c>
      <c r="AD541" s="39">
        <v>60862.57</v>
      </c>
      <c r="AE541" s="31">
        <v>0</v>
      </c>
      <c r="AF541" s="34">
        <v>2020</v>
      </c>
      <c r="AG541" s="34" t="s">
        <v>270</v>
      </c>
      <c r="AH541" s="34" t="s">
        <v>270</v>
      </c>
      <c r="BZ541" s="71"/>
      <c r="CD541" s="20" t="e">
        <f t="shared" si="122"/>
        <v>#N/A</v>
      </c>
    </row>
    <row r="542" spans="1:82" ht="61.5" x14ac:dyDescent="0.85">
      <c r="A542" s="20">
        <v>1</v>
      </c>
      <c r="B542" s="66">
        <f>SUBTOTAL(103,$A$22:A542)</f>
        <v>458</v>
      </c>
      <c r="C542" s="24" t="s">
        <v>1571</v>
      </c>
      <c r="D542" s="31">
        <f t="shared" ref="D542" si="135">E542+F542+G542+H542+I542+J542+L542+N542+P542+R542+T542+U542+V542+W542+X542+Y542+Z542+AA542+AB542+AC542+AD542+AE542</f>
        <v>64885.78</v>
      </c>
      <c r="E542" s="31">
        <v>0</v>
      </c>
      <c r="F542" s="31">
        <v>0</v>
      </c>
      <c r="G542" s="31">
        <v>0</v>
      </c>
      <c r="H542" s="31">
        <v>0</v>
      </c>
      <c r="I542" s="31">
        <v>0</v>
      </c>
      <c r="J542" s="31">
        <v>0</v>
      </c>
      <c r="K542" s="33">
        <v>0</v>
      </c>
      <c r="L542" s="31">
        <v>0</v>
      </c>
      <c r="M542" s="31">
        <v>0</v>
      </c>
      <c r="N542" s="31">
        <v>0</v>
      </c>
      <c r="O542" s="31">
        <v>0</v>
      </c>
      <c r="P542" s="31">
        <v>0</v>
      </c>
      <c r="Q542" s="31">
        <v>0</v>
      </c>
      <c r="R542" s="31">
        <v>0</v>
      </c>
      <c r="S542" s="31">
        <v>0</v>
      </c>
      <c r="T542" s="31">
        <v>0</v>
      </c>
      <c r="U542" s="31">
        <v>0</v>
      </c>
      <c r="V542" s="31">
        <v>0</v>
      </c>
      <c r="W542" s="31">
        <v>0</v>
      </c>
      <c r="X542" s="31">
        <v>0</v>
      </c>
      <c r="Y542" s="31">
        <v>0</v>
      </c>
      <c r="Z542" s="31">
        <v>0</v>
      </c>
      <c r="AA542" s="31">
        <v>0</v>
      </c>
      <c r="AB542" s="31">
        <v>0</v>
      </c>
      <c r="AC542" s="31">
        <f t="shared" ref="AC542" si="136">ROUND((E542+F542+G542+H542+I542+J542)*1.5%,2)</f>
        <v>0</v>
      </c>
      <c r="AD542" s="39">
        <v>64885.78</v>
      </c>
      <c r="AE542" s="31">
        <v>0</v>
      </c>
      <c r="AF542" s="34">
        <v>2020</v>
      </c>
      <c r="AG542" s="34" t="s">
        <v>270</v>
      </c>
      <c r="AH542" s="34" t="s">
        <v>270</v>
      </c>
      <c r="BZ542" s="71"/>
      <c r="CD542" s="20" t="e">
        <f t="shared" ref="CD542:CD548" si="137">VLOOKUP(C542,CE:CF,2,FALSE)</f>
        <v>#N/A</v>
      </c>
    </row>
    <row r="543" spans="1:82" ht="61.5" x14ac:dyDescent="0.85">
      <c r="A543" s="20">
        <v>1</v>
      </c>
      <c r="B543" s="66">
        <f>SUBTOTAL(103,$A$22:A543)</f>
        <v>459</v>
      </c>
      <c r="C543" s="24" t="s">
        <v>212</v>
      </c>
      <c r="D543" s="31">
        <f>E543+F543+G543+H543+I543+J543+L543+N543+P543+R543+T543+U543+V543+W543+X543+Y543+Z543+AA543+AB543+AC543+AD543+AE543</f>
        <v>77010.039999999994</v>
      </c>
      <c r="E543" s="31">
        <v>0</v>
      </c>
      <c r="F543" s="31">
        <v>0</v>
      </c>
      <c r="G543" s="31">
        <v>0</v>
      </c>
      <c r="H543" s="31">
        <v>0</v>
      </c>
      <c r="I543" s="31">
        <v>0</v>
      </c>
      <c r="J543" s="31">
        <v>0</v>
      </c>
      <c r="K543" s="74">
        <v>0</v>
      </c>
      <c r="L543" s="31">
        <v>0</v>
      </c>
      <c r="M543" s="31">
        <v>0</v>
      </c>
      <c r="N543" s="31">
        <v>0</v>
      </c>
      <c r="O543" s="31">
        <v>0</v>
      </c>
      <c r="P543" s="31">
        <v>0</v>
      </c>
      <c r="Q543" s="31">
        <v>0</v>
      </c>
      <c r="R543" s="31">
        <v>0</v>
      </c>
      <c r="S543" s="31">
        <v>0</v>
      </c>
      <c r="T543" s="31">
        <v>0</v>
      </c>
      <c r="U543" s="31">
        <v>0</v>
      </c>
      <c r="V543" s="31">
        <v>0</v>
      </c>
      <c r="W543" s="31">
        <v>0</v>
      </c>
      <c r="X543" s="31">
        <v>0</v>
      </c>
      <c r="Y543" s="31">
        <v>0</v>
      </c>
      <c r="Z543" s="31">
        <v>0</v>
      </c>
      <c r="AA543" s="31">
        <v>0</v>
      </c>
      <c r="AB543" s="31">
        <v>0</v>
      </c>
      <c r="AC543" s="31">
        <f>ROUND(N543*1.5%,2)</f>
        <v>0</v>
      </c>
      <c r="AD543" s="31">
        <v>77010.039999999994</v>
      </c>
      <c r="AE543" s="31">
        <v>0</v>
      </c>
      <c r="AF543" s="34">
        <v>2020</v>
      </c>
      <c r="AG543" s="34" t="s">
        <v>270</v>
      </c>
      <c r="AH543" s="34" t="s">
        <v>270</v>
      </c>
      <c r="AT543" s="20" t="e">
        <f t="shared" ref="AT543:AT548" si="138">VLOOKUP(C543,AW:AX,2,FALSE)</f>
        <v>#N/A</v>
      </c>
      <c r="BZ543" s="71"/>
      <c r="CD543" s="20" t="e">
        <f t="shared" si="137"/>
        <v>#N/A</v>
      </c>
    </row>
    <row r="544" spans="1:82" ht="61.5" x14ac:dyDescent="0.85">
      <c r="A544" s="20">
        <v>1</v>
      </c>
      <c r="B544" s="66">
        <f>SUBTOTAL(103,$A$22:A544)</f>
        <v>460</v>
      </c>
      <c r="C544" s="24" t="s">
        <v>213</v>
      </c>
      <c r="D544" s="31">
        <f>E544+F544+G544+H544+I544+J544+L544+N544+P544+R544+T544+U544+V544+W544+X544+Y544+Z544+AA544+AB544+AC544+AD544+AE544</f>
        <v>34177.35</v>
      </c>
      <c r="E544" s="31">
        <v>0</v>
      </c>
      <c r="F544" s="31">
        <v>0</v>
      </c>
      <c r="G544" s="31">
        <v>0</v>
      </c>
      <c r="H544" s="31">
        <v>0</v>
      </c>
      <c r="I544" s="31">
        <v>0</v>
      </c>
      <c r="J544" s="31">
        <v>0</v>
      </c>
      <c r="K544" s="74">
        <v>0</v>
      </c>
      <c r="L544" s="31">
        <v>0</v>
      </c>
      <c r="M544" s="31">
        <v>0</v>
      </c>
      <c r="N544" s="31">
        <v>0</v>
      </c>
      <c r="O544" s="31">
        <v>0</v>
      </c>
      <c r="P544" s="31">
        <v>0</v>
      </c>
      <c r="Q544" s="31">
        <v>0</v>
      </c>
      <c r="R544" s="31">
        <v>0</v>
      </c>
      <c r="S544" s="31">
        <v>0</v>
      </c>
      <c r="T544" s="31">
        <v>0</v>
      </c>
      <c r="U544" s="31">
        <v>0</v>
      </c>
      <c r="V544" s="31">
        <v>0</v>
      </c>
      <c r="W544" s="31">
        <v>0</v>
      </c>
      <c r="X544" s="31">
        <v>0</v>
      </c>
      <c r="Y544" s="31">
        <v>0</v>
      </c>
      <c r="Z544" s="31">
        <v>0</v>
      </c>
      <c r="AA544" s="31">
        <v>0</v>
      </c>
      <c r="AB544" s="31">
        <v>0</v>
      </c>
      <c r="AC544" s="31">
        <f>ROUND(N544*1.5%,2)</f>
        <v>0</v>
      </c>
      <c r="AD544" s="31">
        <v>34177.35</v>
      </c>
      <c r="AE544" s="31">
        <v>0</v>
      </c>
      <c r="AF544" s="34">
        <v>2020</v>
      </c>
      <c r="AG544" s="34" t="s">
        <v>270</v>
      </c>
      <c r="AH544" s="34" t="s">
        <v>270</v>
      </c>
      <c r="AT544" s="20" t="e">
        <f t="shared" si="138"/>
        <v>#N/A</v>
      </c>
      <c r="BZ544" s="71"/>
      <c r="CD544" s="20" t="e">
        <f t="shared" si="137"/>
        <v>#N/A</v>
      </c>
    </row>
    <row r="545" spans="1:82" ht="61.5" x14ac:dyDescent="0.85">
      <c r="B545" s="24" t="s">
        <v>869</v>
      </c>
      <c r="C545" s="24"/>
      <c r="D545" s="195">
        <f t="shared" ref="D545:AE545" si="139">SUM(D546:D549)</f>
        <v>3506290.42</v>
      </c>
      <c r="E545" s="31">
        <f t="shared" si="139"/>
        <v>0</v>
      </c>
      <c r="F545" s="31">
        <f t="shared" si="139"/>
        <v>0</v>
      </c>
      <c r="G545" s="31">
        <f t="shared" si="139"/>
        <v>0</v>
      </c>
      <c r="H545" s="31">
        <f t="shared" si="139"/>
        <v>0</v>
      </c>
      <c r="I545" s="31">
        <f t="shared" si="139"/>
        <v>0</v>
      </c>
      <c r="J545" s="31">
        <f t="shared" si="139"/>
        <v>0</v>
      </c>
      <c r="K545" s="33">
        <f t="shared" si="139"/>
        <v>0</v>
      </c>
      <c r="L545" s="31">
        <f t="shared" si="139"/>
        <v>0</v>
      </c>
      <c r="M545" s="31">
        <f t="shared" si="139"/>
        <v>810.07999999999993</v>
      </c>
      <c r="N545" s="31">
        <f t="shared" si="139"/>
        <v>3214660.2</v>
      </c>
      <c r="O545" s="31">
        <f t="shared" si="139"/>
        <v>0</v>
      </c>
      <c r="P545" s="31">
        <f t="shared" si="139"/>
        <v>0</v>
      </c>
      <c r="Q545" s="31">
        <f t="shared" si="139"/>
        <v>0</v>
      </c>
      <c r="R545" s="31">
        <f t="shared" si="139"/>
        <v>0</v>
      </c>
      <c r="S545" s="31">
        <f t="shared" si="139"/>
        <v>0</v>
      </c>
      <c r="T545" s="31">
        <f t="shared" si="139"/>
        <v>0</v>
      </c>
      <c r="U545" s="31">
        <f t="shared" si="139"/>
        <v>0</v>
      </c>
      <c r="V545" s="31">
        <f t="shared" si="139"/>
        <v>0</v>
      </c>
      <c r="W545" s="31">
        <f t="shared" si="139"/>
        <v>0</v>
      </c>
      <c r="X545" s="31">
        <f t="shared" si="139"/>
        <v>0</v>
      </c>
      <c r="Y545" s="31">
        <f t="shared" si="139"/>
        <v>0</v>
      </c>
      <c r="Z545" s="31">
        <f t="shared" si="139"/>
        <v>0</v>
      </c>
      <c r="AA545" s="31">
        <f t="shared" si="139"/>
        <v>0</v>
      </c>
      <c r="AB545" s="31">
        <f t="shared" si="139"/>
        <v>0</v>
      </c>
      <c r="AC545" s="31">
        <f t="shared" si="139"/>
        <v>45043.53</v>
      </c>
      <c r="AD545" s="31">
        <f t="shared" si="139"/>
        <v>246586.68999999997</v>
      </c>
      <c r="AE545" s="31">
        <f t="shared" si="139"/>
        <v>0</v>
      </c>
      <c r="AF545" s="72" t="s">
        <v>757</v>
      </c>
      <c r="AG545" s="72" t="s">
        <v>757</v>
      </c>
      <c r="AH545" s="87" t="s">
        <v>757</v>
      </c>
      <c r="AT545" s="20" t="e">
        <f t="shared" si="138"/>
        <v>#N/A</v>
      </c>
      <c r="BZ545" s="71">
        <v>7944432.1499999994</v>
      </c>
      <c r="CD545" s="20" t="e">
        <f t="shared" si="137"/>
        <v>#N/A</v>
      </c>
    </row>
    <row r="546" spans="1:82" ht="61.5" x14ac:dyDescent="0.85">
      <c r="A546" s="20">
        <v>1</v>
      </c>
      <c r="B546" s="66">
        <f>SUBTOTAL(103,$A$22:A546)</f>
        <v>461</v>
      </c>
      <c r="C546" s="24" t="s">
        <v>221</v>
      </c>
      <c r="D546" s="31">
        <f>E546+F546+G546+H546+I546+J546+L546+N546+P546+R546+T546+U546+V546+W546+X546+Y546+Z546+AA546+AB546+AC546+AD546+AE546</f>
        <v>2426341.25</v>
      </c>
      <c r="E546" s="31">
        <v>0</v>
      </c>
      <c r="F546" s="31">
        <v>0</v>
      </c>
      <c r="G546" s="31">
        <v>0</v>
      </c>
      <c r="H546" s="31">
        <v>0</v>
      </c>
      <c r="I546" s="31">
        <v>0</v>
      </c>
      <c r="J546" s="31">
        <v>0</v>
      </c>
      <c r="K546" s="33">
        <v>0</v>
      </c>
      <c r="L546" s="31">
        <v>0</v>
      </c>
      <c r="M546" s="39">
        <v>618.67999999999995</v>
      </c>
      <c r="N546" s="39">
        <v>2339117.9900000002</v>
      </c>
      <c r="O546" s="31">
        <v>0</v>
      </c>
      <c r="P546" s="31">
        <v>0</v>
      </c>
      <c r="Q546" s="31">
        <v>0</v>
      </c>
      <c r="R546" s="31">
        <v>0</v>
      </c>
      <c r="S546" s="31">
        <v>0</v>
      </c>
      <c r="T546" s="31">
        <v>0</v>
      </c>
      <c r="U546" s="31">
        <v>0</v>
      </c>
      <c r="V546" s="31">
        <v>0</v>
      </c>
      <c r="W546" s="31">
        <v>0</v>
      </c>
      <c r="X546" s="31">
        <v>0</v>
      </c>
      <c r="Y546" s="31">
        <v>0</v>
      </c>
      <c r="Z546" s="31">
        <v>0</v>
      </c>
      <c r="AA546" s="31">
        <v>0</v>
      </c>
      <c r="AB546" s="31">
        <v>0</v>
      </c>
      <c r="AC546" s="39">
        <v>32806.129999999997</v>
      </c>
      <c r="AD546" s="39">
        <v>54417.13</v>
      </c>
      <c r="AE546" s="31">
        <v>0</v>
      </c>
      <c r="AF546" s="34">
        <v>2020</v>
      </c>
      <c r="AG546" s="34">
        <v>2020</v>
      </c>
      <c r="AH546" s="35">
        <v>2020</v>
      </c>
      <c r="AT546" s="20" t="e">
        <f t="shared" si="138"/>
        <v>#N/A</v>
      </c>
      <c r="BZ546" s="71"/>
      <c r="CD546" s="20">
        <f t="shared" si="137"/>
        <v>615.20000000000005</v>
      </c>
    </row>
    <row r="547" spans="1:82" ht="61.5" x14ac:dyDescent="0.85">
      <c r="A547" s="20">
        <v>1</v>
      </c>
      <c r="B547" s="66">
        <f>SUBTOTAL(103,$A$22:A547)</f>
        <v>462</v>
      </c>
      <c r="C547" s="24" t="s">
        <v>226</v>
      </c>
      <c r="D547" s="31">
        <f>E547+F547+G547+H547+I547+J547+L547+N547+P547+R547+T547+U547+V547+W547+X547+Y547+Z547+AA547+AB547+AC547+AD547+AE547</f>
        <v>112884.08</v>
      </c>
      <c r="E547" s="31">
        <v>0</v>
      </c>
      <c r="F547" s="31">
        <v>0</v>
      </c>
      <c r="G547" s="31">
        <v>0</v>
      </c>
      <c r="H547" s="31">
        <v>0</v>
      </c>
      <c r="I547" s="31">
        <v>0</v>
      </c>
      <c r="J547" s="31">
        <v>0</v>
      </c>
      <c r="K547" s="33">
        <v>0</v>
      </c>
      <c r="L547" s="31">
        <v>0</v>
      </c>
      <c r="M547" s="31">
        <v>0</v>
      </c>
      <c r="N547" s="31">
        <v>0</v>
      </c>
      <c r="O547" s="31">
        <v>0</v>
      </c>
      <c r="P547" s="31">
        <v>0</v>
      </c>
      <c r="Q547" s="31">
        <v>0</v>
      </c>
      <c r="R547" s="31">
        <v>0</v>
      </c>
      <c r="S547" s="31">
        <v>0</v>
      </c>
      <c r="T547" s="31">
        <v>0</v>
      </c>
      <c r="U547" s="31">
        <v>0</v>
      </c>
      <c r="V547" s="31">
        <v>0</v>
      </c>
      <c r="W547" s="31">
        <v>0</v>
      </c>
      <c r="X547" s="31">
        <v>0</v>
      </c>
      <c r="Y547" s="31">
        <v>0</v>
      </c>
      <c r="Z547" s="31">
        <v>0</v>
      </c>
      <c r="AA547" s="31">
        <v>0</v>
      </c>
      <c r="AB547" s="31">
        <v>0</v>
      </c>
      <c r="AC547" s="31">
        <f>ROUND(U547*1.5%,2)</f>
        <v>0</v>
      </c>
      <c r="AD547" s="39">
        <v>112884.08</v>
      </c>
      <c r="AE547" s="31">
        <v>0</v>
      </c>
      <c r="AF547" s="34">
        <v>2020</v>
      </c>
      <c r="AG547" s="34" t="s">
        <v>270</v>
      </c>
      <c r="AH547" s="34" t="s">
        <v>270</v>
      </c>
      <c r="AT547" s="20" t="e">
        <f t="shared" si="138"/>
        <v>#N/A</v>
      </c>
      <c r="BZ547" s="71"/>
      <c r="CD547" s="20" t="e">
        <f t="shared" si="137"/>
        <v>#N/A</v>
      </c>
    </row>
    <row r="548" spans="1:82" ht="61.5" x14ac:dyDescent="0.85">
      <c r="A548" s="20">
        <v>1</v>
      </c>
      <c r="B548" s="66">
        <f>SUBTOTAL(103,$A$22:A548)</f>
        <v>463</v>
      </c>
      <c r="C548" s="24" t="s">
        <v>1095</v>
      </c>
      <c r="D548" s="31">
        <f>E548+F548+G548+H548+I548+J548+L548+N548+P548+R548+T548+U548+V548+W548+X548+Y548+Z548+AA548+AB548+AC548+AD548+AE548</f>
        <v>930608.30999999994</v>
      </c>
      <c r="E548" s="31">
        <v>0</v>
      </c>
      <c r="F548" s="31">
        <v>0</v>
      </c>
      <c r="G548" s="31">
        <v>0</v>
      </c>
      <c r="H548" s="31">
        <v>0</v>
      </c>
      <c r="I548" s="31">
        <v>0</v>
      </c>
      <c r="J548" s="31">
        <v>0</v>
      </c>
      <c r="K548" s="33">
        <v>0</v>
      </c>
      <c r="L548" s="31">
        <v>0</v>
      </c>
      <c r="M548" s="39">
        <v>191.4</v>
      </c>
      <c r="N548" s="179">
        <v>875542.21</v>
      </c>
      <c r="O548" s="31">
        <v>0</v>
      </c>
      <c r="P548" s="31">
        <v>0</v>
      </c>
      <c r="Q548" s="31">
        <v>0</v>
      </c>
      <c r="R548" s="31">
        <v>0</v>
      </c>
      <c r="S548" s="31">
        <v>0</v>
      </c>
      <c r="T548" s="31">
        <v>0</v>
      </c>
      <c r="U548" s="31">
        <v>0</v>
      </c>
      <c r="V548" s="31">
        <v>0</v>
      </c>
      <c r="W548" s="31">
        <v>0</v>
      </c>
      <c r="X548" s="31">
        <v>0</v>
      </c>
      <c r="Y548" s="31">
        <v>0</v>
      </c>
      <c r="Z548" s="31">
        <v>0</v>
      </c>
      <c r="AA548" s="31">
        <v>0</v>
      </c>
      <c r="AB548" s="31">
        <v>0</v>
      </c>
      <c r="AC548" s="39">
        <v>12237.4</v>
      </c>
      <c r="AD548" s="39">
        <v>42828.7</v>
      </c>
      <c r="AE548" s="31">
        <v>0</v>
      </c>
      <c r="AF548" s="34">
        <v>2020</v>
      </c>
      <c r="AG548" s="34">
        <v>2020</v>
      </c>
      <c r="AH548" s="35">
        <v>2020</v>
      </c>
      <c r="AT548" s="20" t="e">
        <f t="shared" si="138"/>
        <v>#N/A</v>
      </c>
      <c r="BZ548" s="71"/>
      <c r="CD548" s="20" t="e">
        <f t="shared" si="137"/>
        <v>#N/A</v>
      </c>
    </row>
    <row r="549" spans="1:82" ht="61.5" x14ac:dyDescent="0.85">
      <c r="A549" s="20">
        <v>1</v>
      </c>
      <c r="B549" s="66">
        <f>SUBTOTAL(103,$A$22:A549)</f>
        <v>464</v>
      </c>
      <c r="C549" s="24" t="s">
        <v>225</v>
      </c>
      <c r="D549" s="31">
        <f>E549+F549+G549+H549+I549+J549+L549+N549+P549+R549+T549+U549+V549+W549+X549+Y549+Z549+AA549+AB549+AC549+AD549+AE549</f>
        <v>36456.78</v>
      </c>
      <c r="E549" s="31">
        <v>0</v>
      </c>
      <c r="F549" s="31">
        <v>0</v>
      </c>
      <c r="G549" s="31">
        <v>0</v>
      </c>
      <c r="H549" s="31">
        <v>0</v>
      </c>
      <c r="I549" s="31">
        <v>0</v>
      </c>
      <c r="J549" s="31">
        <v>0</v>
      </c>
      <c r="K549" s="74">
        <v>0</v>
      </c>
      <c r="L549" s="31">
        <v>0</v>
      </c>
      <c r="M549" s="31">
        <v>0</v>
      </c>
      <c r="N549" s="31">
        <v>0</v>
      </c>
      <c r="O549" s="31">
        <v>0</v>
      </c>
      <c r="P549" s="31">
        <v>0</v>
      </c>
      <c r="Q549" s="31">
        <v>0</v>
      </c>
      <c r="R549" s="31">
        <v>0</v>
      </c>
      <c r="S549" s="31">
        <v>0</v>
      </c>
      <c r="T549" s="31">
        <v>0</v>
      </c>
      <c r="U549" s="31">
        <v>0</v>
      </c>
      <c r="V549" s="31">
        <v>0</v>
      </c>
      <c r="W549" s="31">
        <v>0</v>
      </c>
      <c r="X549" s="31">
        <v>0</v>
      </c>
      <c r="Y549" s="31">
        <v>0</v>
      </c>
      <c r="Z549" s="31">
        <v>0</v>
      </c>
      <c r="AA549" s="31">
        <v>0</v>
      </c>
      <c r="AB549" s="31">
        <v>0</v>
      </c>
      <c r="AC549" s="31">
        <v>0</v>
      </c>
      <c r="AD549" s="31">
        <v>36456.78</v>
      </c>
      <c r="AE549" s="31">
        <v>0</v>
      </c>
      <c r="AF549" s="34">
        <v>2020</v>
      </c>
      <c r="AG549" s="34" t="s">
        <v>270</v>
      </c>
      <c r="AH549" s="34" t="s">
        <v>270</v>
      </c>
      <c r="AT549" s="20" t="e">
        <v>#N/A</v>
      </c>
      <c r="BZ549" s="71"/>
      <c r="CD549" s="20" t="e">
        <v>#N/A</v>
      </c>
    </row>
    <row r="550" spans="1:82" ht="61.5" x14ac:dyDescent="0.85">
      <c r="B550" s="24" t="s">
        <v>870</v>
      </c>
      <c r="C550" s="24"/>
      <c r="D550" s="195">
        <f t="shared" ref="D550:AE550" si="140">SUM(D551:D552)</f>
        <v>736217.99</v>
      </c>
      <c r="E550" s="31">
        <f t="shared" si="140"/>
        <v>0</v>
      </c>
      <c r="F550" s="31">
        <f t="shared" si="140"/>
        <v>0</v>
      </c>
      <c r="G550" s="31">
        <f t="shared" si="140"/>
        <v>0</v>
      </c>
      <c r="H550" s="31">
        <f t="shared" si="140"/>
        <v>0</v>
      </c>
      <c r="I550" s="31">
        <f t="shared" si="140"/>
        <v>0</v>
      </c>
      <c r="J550" s="31">
        <f t="shared" si="140"/>
        <v>0</v>
      </c>
      <c r="K550" s="33">
        <f t="shared" si="140"/>
        <v>0</v>
      </c>
      <c r="L550" s="31">
        <f t="shared" si="140"/>
        <v>0</v>
      </c>
      <c r="M550" s="31">
        <f t="shared" si="140"/>
        <v>0</v>
      </c>
      <c r="N550" s="31">
        <f t="shared" si="140"/>
        <v>0</v>
      </c>
      <c r="O550" s="31">
        <f t="shared" si="140"/>
        <v>263.2</v>
      </c>
      <c r="P550" s="31">
        <f t="shared" si="140"/>
        <v>423511.37</v>
      </c>
      <c r="Q550" s="31">
        <f t="shared" si="140"/>
        <v>582.4</v>
      </c>
      <c r="R550" s="31">
        <f t="shared" si="140"/>
        <v>301826.55</v>
      </c>
      <c r="S550" s="31">
        <f t="shared" si="140"/>
        <v>0</v>
      </c>
      <c r="T550" s="31">
        <f t="shared" si="140"/>
        <v>0</v>
      </c>
      <c r="U550" s="31">
        <f t="shared" si="140"/>
        <v>0</v>
      </c>
      <c r="V550" s="31">
        <f t="shared" si="140"/>
        <v>0</v>
      </c>
      <c r="W550" s="31">
        <f t="shared" si="140"/>
        <v>0</v>
      </c>
      <c r="X550" s="31">
        <f t="shared" si="140"/>
        <v>0</v>
      </c>
      <c r="Y550" s="31">
        <f t="shared" si="140"/>
        <v>0</v>
      </c>
      <c r="Z550" s="31">
        <f t="shared" si="140"/>
        <v>0</v>
      </c>
      <c r="AA550" s="31">
        <f t="shared" si="140"/>
        <v>0</v>
      </c>
      <c r="AB550" s="31">
        <f t="shared" si="140"/>
        <v>0</v>
      </c>
      <c r="AC550" s="31">
        <f t="shared" si="140"/>
        <v>10880.07</v>
      </c>
      <c r="AD550" s="31">
        <f t="shared" si="140"/>
        <v>0</v>
      </c>
      <c r="AE550" s="31">
        <f t="shared" si="140"/>
        <v>0</v>
      </c>
      <c r="AF550" s="72" t="s">
        <v>757</v>
      </c>
      <c r="AG550" s="72" t="s">
        <v>757</v>
      </c>
      <c r="AH550" s="87" t="s">
        <v>757</v>
      </c>
      <c r="AT550" s="20" t="e">
        <f>VLOOKUP(C550,AW:AX,2,FALSE)</f>
        <v>#N/A</v>
      </c>
      <c r="BZ550" s="71">
        <v>786720.65</v>
      </c>
      <c r="CB550" s="71">
        <f>BZ550-D550</f>
        <v>50502.660000000033</v>
      </c>
      <c r="CD550" s="20" t="e">
        <f>VLOOKUP(C550,CE:CF,2,FALSE)</f>
        <v>#N/A</v>
      </c>
    </row>
    <row r="551" spans="1:82" ht="61.5" x14ac:dyDescent="0.85">
      <c r="A551" s="20">
        <v>1</v>
      </c>
      <c r="B551" s="66">
        <f>SUBTOTAL(103,$A$22:A551)</f>
        <v>465</v>
      </c>
      <c r="C551" s="24" t="s">
        <v>1293</v>
      </c>
      <c r="D551" s="31">
        <f>E551+F551+G551+H551+I551+J551+L551+N551+P551+R551+T551+U551+V551+W551+X551+Y551+Z551+AA551+AB551+AC551+AD551+AE551</f>
        <v>306353.95</v>
      </c>
      <c r="E551" s="31">
        <v>0</v>
      </c>
      <c r="F551" s="31">
        <v>0</v>
      </c>
      <c r="G551" s="31">
        <v>0</v>
      </c>
      <c r="H551" s="31">
        <v>0</v>
      </c>
      <c r="I551" s="31">
        <v>0</v>
      </c>
      <c r="J551" s="31">
        <v>0</v>
      </c>
      <c r="K551" s="33">
        <v>0</v>
      </c>
      <c r="L551" s="31">
        <v>0</v>
      </c>
      <c r="M551" s="31">
        <v>0</v>
      </c>
      <c r="N551" s="31">
        <v>0</v>
      </c>
      <c r="O551" s="31">
        <v>0</v>
      </c>
      <c r="P551" s="31">
        <v>0</v>
      </c>
      <c r="Q551" s="39">
        <v>582.4</v>
      </c>
      <c r="R551" s="39">
        <v>301826.55</v>
      </c>
      <c r="S551" s="31">
        <v>0</v>
      </c>
      <c r="T551" s="31">
        <v>0</v>
      </c>
      <c r="U551" s="31">
        <v>0</v>
      </c>
      <c r="V551" s="31">
        <v>0</v>
      </c>
      <c r="W551" s="31">
        <v>0</v>
      </c>
      <c r="X551" s="31">
        <v>0</v>
      </c>
      <c r="Y551" s="31">
        <v>0</v>
      </c>
      <c r="Z551" s="31">
        <v>0</v>
      </c>
      <c r="AA551" s="31">
        <v>0</v>
      </c>
      <c r="AB551" s="31">
        <v>0</v>
      </c>
      <c r="AC551" s="31">
        <f>ROUND(R551*1.5%,2)</f>
        <v>4527.3999999999996</v>
      </c>
      <c r="AD551" s="31">
        <v>0</v>
      </c>
      <c r="AE551" s="31">
        <v>0</v>
      </c>
      <c r="AF551" s="34" t="s">
        <v>270</v>
      </c>
      <c r="AG551" s="34">
        <v>2020</v>
      </c>
      <c r="AH551" s="35">
        <v>2020</v>
      </c>
      <c r="BZ551" s="71"/>
      <c r="CD551" s="20" t="e">
        <f>VLOOKUP(C551,CE:CF,2,FALSE)</f>
        <v>#N/A</v>
      </c>
    </row>
    <row r="552" spans="1:82" ht="61.5" x14ac:dyDescent="0.85">
      <c r="A552" s="20">
        <v>1</v>
      </c>
      <c r="B552" s="66">
        <f>SUBTOTAL(103,$A$22:A552)</f>
        <v>466</v>
      </c>
      <c r="C552" s="24" t="s">
        <v>1294</v>
      </c>
      <c r="D552" s="31">
        <f>E552+F552+G552+H552+I552+J552+L552+N552+P552+R552+T552+U552+V552+W552+X552+Y552+Z552+AA552+AB552+AC552+AD552+AE552</f>
        <v>429864.04</v>
      </c>
      <c r="E552" s="31">
        <v>0</v>
      </c>
      <c r="F552" s="31">
        <v>0</v>
      </c>
      <c r="G552" s="31">
        <v>0</v>
      </c>
      <c r="H552" s="31">
        <v>0</v>
      </c>
      <c r="I552" s="31">
        <v>0</v>
      </c>
      <c r="J552" s="31">
        <v>0</v>
      </c>
      <c r="K552" s="33">
        <v>0</v>
      </c>
      <c r="L552" s="31">
        <v>0</v>
      </c>
      <c r="M552" s="31">
        <v>0</v>
      </c>
      <c r="N552" s="31">
        <v>0</v>
      </c>
      <c r="O552" s="39">
        <v>263.2</v>
      </c>
      <c r="P552" s="39">
        <v>423511.37</v>
      </c>
      <c r="Q552" s="31">
        <v>0</v>
      </c>
      <c r="R552" s="31">
        <v>0</v>
      </c>
      <c r="S552" s="31">
        <v>0</v>
      </c>
      <c r="T552" s="31">
        <v>0</v>
      </c>
      <c r="U552" s="31">
        <v>0</v>
      </c>
      <c r="V552" s="31">
        <v>0</v>
      </c>
      <c r="W552" s="31">
        <v>0</v>
      </c>
      <c r="X552" s="31">
        <v>0</v>
      </c>
      <c r="Y552" s="31">
        <v>0</v>
      </c>
      <c r="Z552" s="31">
        <v>0</v>
      </c>
      <c r="AA552" s="31">
        <v>0</v>
      </c>
      <c r="AB552" s="31">
        <v>0</v>
      </c>
      <c r="AC552" s="31">
        <f>ROUND(P552*1.5%,2)</f>
        <v>6352.67</v>
      </c>
      <c r="AD552" s="31">
        <v>0</v>
      </c>
      <c r="AE552" s="31">
        <v>0</v>
      </c>
      <c r="AF552" s="34" t="s">
        <v>270</v>
      </c>
      <c r="AG552" s="34">
        <v>2020</v>
      </c>
      <c r="AH552" s="35">
        <v>2020</v>
      </c>
      <c r="BZ552" s="71"/>
      <c r="CD552" s="20" t="e">
        <f>VLOOKUP(C552,CE:CF,2,FALSE)</f>
        <v>#N/A</v>
      </c>
    </row>
    <row r="553" spans="1:82" ht="61.5" x14ac:dyDescent="0.85">
      <c r="B553" s="24" t="s">
        <v>871</v>
      </c>
      <c r="C553" s="24"/>
      <c r="D553" s="195">
        <f>SUM(D554:D555)</f>
        <v>1270143.08</v>
      </c>
      <c r="E553" s="31">
        <f t="shared" ref="E553:AE553" si="141">SUM(E554:E555)</f>
        <v>0</v>
      </c>
      <c r="F553" s="31">
        <f t="shared" si="141"/>
        <v>0</v>
      </c>
      <c r="G553" s="31">
        <f t="shared" si="141"/>
        <v>0</v>
      </c>
      <c r="H553" s="31">
        <f t="shared" si="141"/>
        <v>0</v>
      </c>
      <c r="I553" s="31">
        <f t="shared" si="141"/>
        <v>0</v>
      </c>
      <c r="J553" s="31">
        <f t="shared" si="141"/>
        <v>0</v>
      </c>
      <c r="K553" s="33">
        <f t="shared" si="141"/>
        <v>0</v>
      </c>
      <c r="L553" s="31">
        <f t="shared" si="141"/>
        <v>0</v>
      </c>
      <c r="M553" s="31">
        <f t="shared" si="141"/>
        <v>297</v>
      </c>
      <c r="N553" s="31">
        <f t="shared" si="141"/>
        <v>1177854.29</v>
      </c>
      <c r="O553" s="31">
        <f t="shared" si="141"/>
        <v>0</v>
      </c>
      <c r="P553" s="31">
        <f t="shared" si="141"/>
        <v>0</v>
      </c>
      <c r="Q553" s="31">
        <f t="shared" si="141"/>
        <v>0</v>
      </c>
      <c r="R553" s="31">
        <f t="shared" si="141"/>
        <v>0</v>
      </c>
      <c r="S553" s="31">
        <f t="shared" si="141"/>
        <v>0</v>
      </c>
      <c r="T553" s="31">
        <f t="shared" si="141"/>
        <v>0</v>
      </c>
      <c r="U553" s="31">
        <f t="shared" si="141"/>
        <v>0</v>
      </c>
      <c r="V553" s="31">
        <f t="shared" si="141"/>
        <v>0</v>
      </c>
      <c r="W553" s="31">
        <f t="shared" si="141"/>
        <v>0</v>
      </c>
      <c r="X553" s="31">
        <f t="shared" si="141"/>
        <v>0</v>
      </c>
      <c r="Y553" s="31">
        <f t="shared" si="141"/>
        <v>0</v>
      </c>
      <c r="Z553" s="31">
        <f t="shared" si="141"/>
        <v>0</v>
      </c>
      <c r="AA553" s="31">
        <f t="shared" si="141"/>
        <v>0</v>
      </c>
      <c r="AB553" s="31">
        <f t="shared" si="141"/>
        <v>0</v>
      </c>
      <c r="AC553" s="31">
        <f t="shared" si="141"/>
        <v>17667.810000000001</v>
      </c>
      <c r="AD553" s="31">
        <f t="shared" si="141"/>
        <v>74620.98</v>
      </c>
      <c r="AE553" s="31">
        <f t="shared" si="141"/>
        <v>0</v>
      </c>
      <c r="AF553" s="72" t="s">
        <v>757</v>
      </c>
      <c r="AG553" s="72" t="s">
        <v>757</v>
      </c>
      <c r="AH553" s="87" t="s">
        <v>757</v>
      </c>
      <c r="AT553" s="20" t="e">
        <f>VLOOKUP(C553,AW:AX,2,FALSE)</f>
        <v>#N/A</v>
      </c>
      <c r="BZ553" s="31">
        <v>1568000</v>
      </c>
      <c r="CA553" s="31"/>
      <c r="CB553" s="31">
        <f>BZ553-D553</f>
        <v>297856.91999999993</v>
      </c>
      <c r="CD553" s="20" t="e">
        <f>VLOOKUP(C553,CE:CF,2,FALSE)</f>
        <v>#N/A</v>
      </c>
    </row>
    <row r="554" spans="1:82" ht="61.5" x14ac:dyDescent="0.85">
      <c r="A554" s="20">
        <v>1</v>
      </c>
      <c r="B554" s="66">
        <f>SUBTOTAL(103,$A$22:A554)</f>
        <v>467</v>
      </c>
      <c r="C554" s="24" t="s">
        <v>223</v>
      </c>
      <c r="D554" s="31">
        <f>E554+F554+G554+H554+I554+J554+L554+N554+P554+R554+T554+U554+V554+W554+X554+Y554+Z554+AA554+AB554+AC554+AD554+AE554</f>
        <v>1234425.4500000002</v>
      </c>
      <c r="E554" s="31">
        <v>0</v>
      </c>
      <c r="F554" s="31">
        <v>0</v>
      </c>
      <c r="G554" s="31">
        <v>0</v>
      </c>
      <c r="H554" s="31">
        <v>0</v>
      </c>
      <c r="I554" s="31">
        <v>0</v>
      </c>
      <c r="J554" s="31">
        <v>0</v>
      </c>
      <c r="K554" s="33">
        <v>0</v>
      </c>
      <c r="L554" s="31">
        <v>0</v>
      </c>
      <c r="M554" s="39">
        <v>297</v>
      </c>
      <c r="N554" s="39">
        <v>1177854.29</v>
      </c>
      <c r="O554" s="31">
        <v>0</v>
      </c>
      <c r="P554" s="31">
        <v>0</v>
      </c>
      <c r="Q554" s="31">
        <v>0</v>
      </c>
      <c r="R554" s="31">
        <v>0</v>
      </c>
      <c r="S554" s="31">
        <v>0</v>
      </c>
      <c r="T554" s="31">
        <v>0</v>
      </c>
      <c r="U554" s="31">
        <v>0</v>
      </c>
      <c r="V554" s="31">
        <v>0</v>
      </c>
      <c r="W554" s="31">
        <v>0</v>
      </c>
      <c r="X554" s="31">
        <v>0</v>
      </c>
      <c r="Y554" s="31">
        <v>0</v>
      </c>
      <c r="Z554" s="31">
        <v>0</v>
      </c>
      <c r="AA554" s="31">
        <v>0</v>
      </c>
      <c r="AB554" s="31">
        <v>0</v>
      </c>
      <c r="AC554" s="31">
        <f>ROUND(N554*1.5%,2)</f>
        <v>17667.810000000001</v>
      </c>
      <c r="AD554" s="39">
        <v>38903.35</v>
      </c>
      <c r="AE554" s="31">
        <v>0</v>
      </c>
      <c r="AF554" s="34">
        <v>2020</v>
      </c>
      <c r="AG554" s="34">
        <v>2020</v>
      </c>
      <c r="AH554" s="35">
        <v>2020</v>
      </c>
      <c r="AT554" s="20" t="e">
        <f>VLOOKUP(C554,AW:AX,2,FALSE)</f>
        <v>#N/A</v>
      </c>
      <c r="BZ554" s="71"/>
      <c r="CD554" s="20">
        <f>VLOOKUP(C554,CE:CF,2,FALSE)</f>
        <v>289.86</v>
      </c>
    </row>
    <row r="555" spans="1:82" ht="61.5" x14ac:dyDescent="0.85">
      <c r="A555" s="20">
        <v>1</v>
      </c>
      <c r="B555" s="66">
        <f>SUBTOTAL(103,$A$22:A555)</f>
        <v>468</v>
      </c>
      <c r="C555" s="24" t="s">
        <v>219</v>
      </c>
      <c r="D555" s="31">
        <f>E555+F555+G555+H555+I555+J555+L555+N555+P555+R555+T555+U555+V555+W555+X555+Y555+Z555+AA555+AB555+AC555+AD555+AE555</f>
        <v>35717.629999999997</v>
      </c>
      <c r="E555" s="31">
        <v>0</v>
      </c>
      <c r="F555" s="31">
        <v>0</v>
      </c>
      <c r="G555" s="31">
        <v>0</v>
      </c>
      <c r="H555" s="31">
        <v>0</v>
      </c>
      <c r="I555" s="31">
        <v>0</v>
      </c>
      <c r="J555" s="31">
        <v>0</v>
      </c>
      <c r="K555" s="74">
        <v>0</v>
      </c>
      <c r="L555" s="31">
        <v>0</v>
      </c>
      <c r="M555" s="31">
        <v>0</v>
      </c>
      <c r="N555" s="31">
        <v>0</v>
      </c>
      <c r="O555" s="31">
        <v>0</v>
      </c>
      <c r="P555" s="31">
        <v>0</v>
      </c>
      <c r="Q555" s="31">
        <v>0</v>
      </c>
      <c r="R555" s="31">
        <v>0</v>
      </c>
      <c r="S555" s="31">
        <v>0</v>
      </c>
      <c r="T555" s="31">
        <v>0</v>
      </c>
      <c r="U555" s="31">
        <v>0</v>
      </c>
      <c r="V555" s="31">
        <v>0</v>
      </c>
      <c r="W555" s="31">
        <v>0</v>
      </c>
      <c r="X555" s="31">
        <v>0</v>
      </c>
      <c r="Y555" s="31">
        <v>0</v>
      </c>
      <c r="Z555" s="31">
        <v>0</v>
      </c>
      <c r="AA555" s="31">
        <v>0</v>
      </c>
      <c r="AB555" s="31">
        <v>0</v>
      </c>
      <c r="AC555" s="31">
        <f>ROUND(N555*1.5%,2)</f>
        <v>0</v>
      </c>
      <c r="AD555" s="31">
        <v>35717.629999999997</v>
      </c>
      <c r="AE555" s="31">
        <v>0</v>
      </c>
      <c r="AF555" s="34">
        <v>2020</v>
      </c>
      <c r="AG555" s="34" t="s">
        <v>270</v>
      </c>
      <c r="AH555" s="34" t="s">
        <v>270</v>
      </c>
      <c r="AT555" s="20" t="e">
        <v>#N/A</v>
      </c>
      <c r="BZ555" s="71"/>
      <c r="CD555" s="20" t="e">
        <v>#N/A</v>
      </c>
    </row>
    <row r="556" spans="1:82" ht="61.5" x14ac:dyDescent="0.85">
      <c r="B556" s="24" t="s">
        <v>760</v>
      </c>
      <c r="C556" s="24"/>
      <c r="D556" s="195">
        <f>D557+D647+D678+D718+D737+D745+D771+D779+D787+D792+D794+D798+D800+D802+D817+D828+D835+D837+D839+D841+D843+D845+D852+D867+D871+D874+D877+D880+D889+D893+D895+D899+D901+D903+D905+D910+D915+D921+D925+D927+D935+D941+D944+D946+D950+D954+D960+D966+D970+D972+D976+D978+D984+D988+D995+D1000+D913+D986+D831+D850+D864+D939+D948+D974+D1002</f>
        <v>1363886777.0699999</v>
      </c>
      <c r="E556" s="31">
        <f t="shared" ref="E556:AE556" si="142">E557+E647+E678+E718+E737+E745+E771+E779+E787+E792+E794+E798+E800+E802+E817+E828+E835+E837+E839+E841+E843+E845+E852+E867+E871+E874+E877+E880+E889+E893+E895+E899+E901+E903+E905+E910+E915+E921+E925+E927+E935+E941+E944+E946+E950+E954+E960+E966+E970+E972+E976+E978+E984+E988+E995+E1000+E913+E986+E831+E850+E864+E939+E948+E974+E1002</f>
        <v>5025151.3899999997</v>
      </c>
      <c r="F556" s="31">
        <f t="shared" si="142"/>
        <v>6376262.6000000006</v>
      </c>
      <c r="G556" s="31">
        <f t="shared" si="142"/>
        <v>44741537.079999998</v>
      </c>
      <c r="H556" s="31">
        <f t="shared" si="142"/>
        <v>12365513.34</v>
      </c>
      <c r="I556" s="31">
        <f t="shared" si="142"/>
        <v>24562224.669999998</v>
      </c>
      <c r="J556" s="31">
        <f t="shared" si="142"/>
        <v>0</v>
      </c>
      <c r="K556" s="76">
        <f t="shared" si="142"/>
        <v>23</v>
      </c>
      <c r="L556" s="31">
        <f t="shared" si="142"/>
        <v>47196259.059999995</v>
      </c>
      <c r="M556" s="31">
        <f t="shared" si="142"/>
        <v>202980.46999999997</v>
      </c>
      <c r="N556" s="31">
        <f t="shared" si="142"/>
        <v>952132671.41000032</v>
      </c>
      <c r="O556" s="31">
        <f t="shared" si="142"/>
        <v>1058</v>
      </c>
      <c r="P556" s="31">
        <f t="shared" si="142"/>
        <v>2360078.6100000003</v>
      </c>
      <c r="Q556" s="31">
        <f t="shared" si="142"/>
        <v>52079.659999999989</v>
      </c>
      <c r="R556" s="31">
        <f t="shared" si="142"/>
        <v>150741381.96000001</v>
      </c>
      <c r="S556" s="31">
        <f t="shared" si="142"/>
        <v>928.69999999999993</v>
      </c>
      <c r="T556" s="31">
        <f t="shared" si="142"/>
        <v>17270717.439999998</v>
      </c>
      <c r="U556" s="31">
        <f t="shared" si="142"/>
        <v>50789041.350000009</v>
      </c>
      <c r="V556" s="31">
        <f t="shared" si="142"/>
        <v>210000</v>
      </c>
      <c r="W556" s="31">
        <f t="shared" si="142"/>
        <v>0</v>
      </c>
      <c r="X556" s="31">
        <f t="shared" si="142"/>
        <v>0</v>
      </c>
      <c r="Y556" s="31">
        <f t="shared" si="142"/>
        <v>0</v>
      </c>
      <c r="Z556" s="31">
        <f t="shared" si="142"/>
        <v>0</v>
      </c>
      <c r="AA556" s="31">
        <f t="shared" si="142"/>
        <v>400000</v>
      </c>
      <c r="AB556" s="31">
        <f t="shared" si="142"/>
        <v>0</v>
      </c>
      <c r="AC556" s="31">
        <f t="shared" si="142"/>
        <v>18793323.510000002</v>
      </c>
      <c r="AD556" s="31">
        <f t="shared" si="142"/>
        <v>28882614.650000002</v>
      </c>
      <c r="AE556" s="31">
        <f t="shared" si="142"/>
        <v>2040000</v>
      </c>
      <c r="AF556" s="72" t="s">
        <v>757</v>
      </c>
      <c r="AG556" s="72" t="s">
        <v>757</v>
      </c>
      <c r="AH556" s="87" t="s">
        <v>757</v>
      </c>
      <c r="AT556" s="20" t="e">
        <f>VLOOKUP(C556,AW:AX,2,FALSE)</f>
        <v>#N/A</v>
      </c>
      <c r="BZ556" s="71">
        <v>799638471.25999999</v>
      </c>
      <c r="CD556" s="20" t="e">
        <f t="shared" ref="CD556:CD587" si="143">VLOOKUP(C556,CE:CF,2,FALSE)</f>
        <v>#N/A</v>
      </c>
    </row>
    <row r="557" spans="1:82" ht="61.5" x14ac:dyDescent="0.85">
      <c r="B557" s="24" t="s">
        <v>1094</v>
      </c>
      <c r="C557" s="108"/>
      <c r="D557" s="195">
        <f t="shared" ref="D557:AE557" si="144">SUM(D558:D646)</f>
        <v>300973468.33999985</v>
      </c>
      <c r="E557" s="31">
        <f t="shared" si="144"/>
        <v>102509.44</v>
      </c>
      <c r="F557" s="31">
        <f t="shared" si="144"/>
        <v>0</v>
      </c>
      <c r="G557" s="31">
        <f t="shared" si="144"/>
        <v>600000</v>
      </c>
      <c r="H557" s="31">
        <f t="shared" si="144"/>
        <v>115886.17</v>
      </c>
      <c r="I557" s="31">
        <f t="shared" si="144"/>
        <v>0</v>
      </c>
      <c r="J557" s="31">
        <f t="shared" si="144"/>
        <v>0</v>
      </c>
      <c r="K557" s="33">
        <f t="shared" si="144"/>
        <v>6</v>
      </c>
      <c r="L557" s="31">
        <f t="shared" si="144"/>
        <v>11777446.5</v>
      </c>
      <c r="M557" s="31">
        <f t="shared" si="144"/>
        <v>57884.42</v>
      </c>
      <c r="N557" s="31">
        <f t="shared" si="144"/>
        <v>252927643.31</v>
      </c>
      <c r="O557" s="31">
        <f t="shared" si="144"/>
        <v>1058</v>
      </c>
      <c r="P557" s="31">
        <f t="shared" si="144"/>
        <v>2360078.6100000003</v>
      </c>
      <c r="Q557" s="31">
        <f t="shared" si="144"/>
        <v>8482.4599999999991</v>
      </c>
      <c r="R557" s="31">
        <f t="shared" si="144"/>
        <v>23469072.489999998</v>
      </c>
      <c r="S557" s="31">
        <f t="shared" si="144"/>
        <v>0</v>
      </c>
      <c r="T557" s="31">
        <f t="shared" si="144"/>
        <v>0</v>
      </c>
      <c r="U557" s="31">
        <f t="shared" si="144"/>
        <v>0</v>
      </c>
      <c r="V557" s="31">
        <f t="shared" si="144"/>
        <v>0</v>
      </c>
      <c r="W557" s="31">
        <f t="shared" si="144"/>
        <v>0</v>
      </c>
      <c r="X557" s="31">
        <f t="shared" si="144"/>
        <v>0</v>
      </c>
      <c r="Y557" s="31">
        <f t="shared" si="144"/>
        <v>0</v>
      </c>
      <c r="Z557" s="31">
        <f t="shared" si="144"/>
        <v>0</v>
      </c>
      <c r="AA557" s="31">
        <f t="shared" si="144"/>
        <v>0</v>
      </c>
      <c r="AB557" s="31">
        <f t="shared" si="144"/>
        <v>0</v>
      </c>
      <c r="AC557" s="31">
        <f t="shared" si="144"/>
        <v>4189331.8399999994</v>
      </c>
      <c r="AD557" s="31">
        <f t="shared" si="144"/>
        <v>5431499.9800000004</v>
      </c>
      <c r="AE557" s="31">
        <f t="shared" si="144"/>
        <v>0</v>
      </c>
      <c r="AF557" s="72" t="s">
        <v>757</v>
      </c>
      <c r="AG557" s="72" t="s">
        <v>757</v>
      </c>
      <c r="AH557" s="87" t="s">
        <v>757</v>
      </c>
      <c r="AT557" s="20" t="e">
        <f>VLOOKUP(C557,AW:AX,2,FALSE)</f>
        <v>#N/A</v>
      </c>
      <c r="BZ557" s="71">
        <v>225509821.20999989</v>
      </c>
      <c r="CD557" s="20" t="e">
        <f t="shared" si="143"/>
        <v>#N/A</v>
      </c>
    </row>
    <row r="558" spans="1:82" ht="61.5" x14ac:dyDescent="0.85">
      <c r="A558" s="20">
        <v>1</v>
      </c>
      <c r="B558" s="66">
        <f>SUBTOTAL(103,$A$558:A558)</f>
        <v>1</v>
      </c>
      <c r="C558" s="24" t="s">
        <v>531</v>
      </c>
      <c r="D558" s="31">
        <f t="shared" ref="D558:D639" si="145">E558+F558+G558+H558+I558+J558+L558+N558+P558+R558+T558+U558+V558+W558+X558+Y558+Z558+AA558+AB558+AC558+AD558+AE558</f>
        <v>4549323.9899999993</v>
      </c>
      <c r="E558" s="31">
        <v>0</v>
      </c>
      <c r="F558" s="31">
        <v>0</v>
      </c>
      <c r="G558" s="31">
        <v>0</v>
      </c>
      <c r="H558" s="31">
        <v>0</v>
      </c>
      <c r="I558" s="31">
        <v>0</v>
      </c>
      <c r="J558" s="31">
        <v>0</v>
      </c>
      <c r="K558" s="33">
        <v>0</v>
      </c>
      <c r="L558" s="31">
        <v>0</v>
      </c>
      <c r="M558" s="31">
        <v>960</v>
      </c>
      <c r="N558" s="31">
        <v>4383570.43</v>
      </c>
      <c r="O558" s="31">
        <v>0</v>
      </c>
      <c r="P558" s="31">
        <v>0</v>
      </c>
      <c r="Q558" s="31">
        <v>0</v>
      </c>
      <c r="R558" s="31">
        <v>0</v>
      </c>
      <c r="S558" s="31">
        <v>0</v>
      </c>
      <c r="T558" s="31">
        <v>0</v>
      </c>
      <c r="U558" s="31">
        <v>0</v>
      </c>
      <c r="V558" s="31">
        <v>0</v>
      </c>
      <c r="W558" s="31">
        <v>0</v>
      </c>
      <c r="X558" s="31">
        <v>0</v>
      </c>
      <c r="Y558" s="31">
        <v>0</v>
      </c>
      <c r="Z558" s="31">
        <v>0</v>
      </c>
      <c r="AA558" s="31">
        <v>0</v>
      </c>
      <c r="AB558" s="31">
        <v>0</v>
      </c>
      <c r="AC558" s="31">
        <v>65753.56</v>
      </c>
      <c r="AD558" s="31">
        <v>100000</v>
      </c>
      <c r="AE558" s="31">
        <v>0</v>
      </c>
      <c r="AF558" s="34">
        <v>2021</v>
      </c>
      <c r="AG558" s="34">
        <v>2021</v>
      </c>
      <c r="AH558" s="35">
        <v>2021</v>
      </c>
      <c r="AT558" s="20" t="e">
        <f>VLOOKUP(C558,AW:AX,2,FALSE)</f>
        <v>#N/A</v>
      </c>
      <c r="BZ558" s="71"/>
      <c r="CD558" s="20" t="e">
        <f t="shared" si="143"/>
        <v>#N/A</v>
      </c>
    </row>
    <row r="559" spans="1:82" ht="61.5" x14ac:dyDescent="0.85">
      <c r="A559" s="20">
        <v>1</v>
      </c>
      <c r="B559" s="66">
        <f>SUBTOTAL(103,$A$558:A559)</f>
        <v>2</v>
      </c>
      <c r="C559" s="24" t="s">
        <v>532</v>
      </c>
      <c r="D559" s="31">
        <f t="shared" si="145"/>
        <v>4549323.9899999993</v>
      </c>
      <c r="E559" s="31">
        <v>0</v>
      </c>
      <c r="F559" s="31">
        <v>0</v>
      </c>
      <c r="G559" s="31">
        <v>0</v>
      </c>
      <c r="H559" s="31">
        <v>0</v>
      </c>
      <c r="I559" s="31">
        <v>0</v>
      </c>
      <c r="J559" s="31">
        <v>0</v>
      </c>
      <c r="K559" s="33">
        <v>0</v>
      </c>
      <c r="L559" s="31">
        <v>0</v>
      </c>
      <c r="M559" s="31">
        <v>960</v>
      </c>
      <c r="N559" s="31">
        <v>4383570.43</v>
      </c>
      <c r="O559" s="31">
        <v>0</v>
      </c>
      <c r="P559" s="31">
        <v>0</v>
      </c>
      <c r="Q559" s="31">
        <v>0</v>
      </c>
      <c r="R559" s="31">
        <v>0</v>
      </c>
      <c r="S559" s="31">
        <v>0</v>
      </c>
      <c r="T559" s="31">
        <v>0</v>
      </c>
      <c r="U559" s="31">
        <v>0</v>
      </c>
      <c r="V559" s="31">
        <v>0</v>
      </c>
      <c r="W559" s="31">
        <v>0</v>
      </c>
      <c r="X559" s="31">
        <v>0</v>
      </c>
      <c r="Y559" s="31">
        <v>0</v>
      </c>
      <c r="Z559" s="31">
        <v>0</v>
      </c>
      <c r="AA559" s="31">
        <v>0</v>
      </c>
      <c r="AB559" s="31">
        <v>0</v>
      </c>
      <c r="AC559" s="31">
        <v>65753.56</v>
      </c>
      <c r="AD559" s="31">
        <v>100000</v>
      </c>
      <c r="AE559" s="31">
        <v>0</v>
      </c>
      <c r="AF559" s="34">
        <v>2021</v>
      </c>
      <c r="AG559" s="34">
        <v>2021</v>
      </c>
      <c r="AH559" s="35">
        <v>2021</v>
      </c>
      <c r="AT559" s="20" t="e">
        <f>VLOOKUP(C559,AW:AX,2,FALSE)</f>
        <v>#N/A</v>
      </c>
      <c r="BZ559" s="71"/>
      <c r="CD559" s="20" t="e">
        <f t="shared" si="143"/>
        <v>#N/A</v>
      </c>
    </row>
    <row r="560" spans="1:82" ht="61.5" x14ac:dyDescent="0.85">
      <c r="A560" s="20">
        <v>1</v>
      </c>
      <c r="B560" s="66">
        <f>SUBTOTAL(103,$A$558:A560)</f>
        <v>3</v>
      </c>
      <c r="C560" s="24" t="s">
        <v>533</v>
      </c>
      <c r="D560" s="31">
        <f t="shared" si="145"/>
        <v>3263607.5799999996</v>
      </c>
      <c r="E560" s="31">
        <v>0</v>
      </c>
      <c r="F560" s="31">
        <v>0</v>
      </c>
      <c r="G560" s="31">
        <v>0</v>
      </c>
      <c r="H560" s="31">
        <v>0</v>
      </c>
      <c r="I560" s="31">
        <v>0</v>
      </c>
      <c r="J560" s="31">
        <v>0</v>
      </c>
      <c r="K560" s="33">
        <v>0</v>
      </c>
      <c r="L560" s="31">
        <v>0</v>
      </c>
      <c r="M560" s="31">
        <v>657.1</v>
      </c>
      <c r="N560" s="31">
        <v>3116854.76</v>
      </c>
      <c r="O560" s="31">
        <v>0</v>
      </c>
      <c r="P560" s="31">
        <v>0</v>
      </c>
      <c r="Q560" s="31">
        <v>0</v>
      </c>
      <c r="R560" s="31">
        <v>0</v>
      </c>
      <c r="S560" s="31">
        <v>0</v>
      </c>
      <c r="T560" s="31">
        <v>0</v>
      </c>
      <c r="U560" s="31">
        <v>0</v>
      </c>
      <c r="V560" s="31">
        <v>0</v>
      </c>
      <c r="W560" s="31">
        <v>0</v>
      </c>
      <c r="X560" s="31">
        <v>0</v>
      </c>
      <c r="Y560" s="31">
        <v>0</v>
      </c>
      <c r="Z560" s="31">
        <v>0</v>
      </c>
      <c r="AA560" s="31">
        <v>0</v>
      </c>
      <c r="AB560" s="31">
        <v>0</v>
      </c>
      <c r="AC560" s="31">
        <v>46752.82</v>
      </c>
      <c r="AD560" s="31">
        <v>100000</v>
      </c>
      <c r="AE560" s="31">
        <v>0</v>
      </c>
      <c r="AF560" s="34">
        <v>2021</v>
      </c>
      <c r="AG560" s="34">
        <v>2021</v>
      </c>
      <c r="AH560" s="35">
        <v>2021</v>
      </c>
      <c r="BZ560" s="71"/>
      <c r="CD560" s="20" t="e">
        <f t="shared" si="143"/>
        <v>#N/A</v>
      </c>
    </row>
    <row r="561" spans="1:82" ht="61.5" x14ac:dyDescent="0.85">
      <c r="A561" s="20">
        <v>1</v>
      </c>
      <c r="B561" s="66">
        <f>SUBTOTAL(103,$A$558:A561)</f>
        <v>4</v>
      </c>
      <c r="C561" s="24" t="s">
        <v>537</v>
      </c>
      <c r="D561" s="31">
        <f t="shared" si="145"/>
        <v>3518296.02</v>
      </c>
      <c r="E561" s="31">
        <v>0</v>
      </c>
      <c r="F561" s="31">
        <v>0</v>
      </c>
      <c r="G561" s="31">
        <v>0</v>
      </c>
      <c r="H561" s="31">
        <v>0</v>
      </c>
      <c r="I561" s="31">
        <v>0</v>
      </c>
      <c r="J561" s="31">
        <v>0</v>
      </c>
      <c r="K561" s="33">
        <v>0</v>
      </c>
      <c r="L561" s="31">
        <v>0</v>
      </c>
      <c r="M561" s="31">
        <v>710</v>
      </c>
      <c r="N561" s="31">
        <v>3367779.33</v>
      </c>
      <c r="O561" s="31">
        <v>0</v>
      </c>
      <c r="P561" s="31">
        <v>0</v>
      </c>
      <c r="Q561" s="31">
        <v>0</v>
      </c>
      <c r="R561" s="31">
        <v>0</v>
      </c>
      <c r="S561" s="31">
        <v>0</v>
      </c>
      <c r="T561" s="31">
        <v>0</v>
      </c>
      <c r="U561" s="31">
        <v>0</v>
      </c>
      <c r="V561" s="31">
        <v>0</v>
      </c>
      <c r="W561" s="31">
        <v>0</v>
      </c>
      <c r="X561" s="31">
        <v>0</v>
      </c>
      <c r="Y561" s="31">
        <v>0</v>
      </c>
      <c r="Z561" s="31">
        <v>0</v>
      </c>
      <c r="AA561" s="31">
        <v>0</v>
      </c>
      <c r="AB561" s="31">
        <v>0</v>
      </c>
      <c r="AC561" s="31">
        <v>50516.69</v>
      </c>
      <c r="AD561" s="31">
        <v>100000</v>
      </c>
      <c r="AE561" s="31">
        <v>0</v>
      </c>
      <c r="AF561" s="34">
        <v>2021</v>
      </c>
      <c r="AG561" s="34">
        <v>2021</v>
      </c>
      <c r="AH561" s="35">
        <v>2021</v>
      </c>
      <c r="AT561" s="20" t="e">
        <f t="shared" ref="AT561:AT571" si="146">VLOOKUP(C561,AW:AX,2,FALSE)</f>
        <v>#N/A</v>
      </c>
      <c r="BZ561" s="71"/>
      <c r="CD561" s="20" t="e">
        <f t="shared" si="143"/>
        <v>#N/A</v>
      </c>
    </row>
    <row r="562" spans="1:82" ht="61.5" x14ac:dyDescent="0.85">
      <c r="A562" s="20">
        <v>1</v>
      </c>
      <c r="B562" s="66">
        <f>SUBTOTAL(103,$A$558:A562)</f>
        <v>5</v>
      </c>
      <c r="C562" s="24" t="s">
        <v>538</v>
      </c>
      <c r="D562" s="31">
        <f t="shared" si="145"/>
        <v>2570383.31</v>
      </c>
      <c r="E562" s="31">
        <v>0</v>
      </c>
      <c r="F562" s="31">
        <v>0</v>
      </c>
      <c r="G562" s="31">
        <v>0</v>
      </c>
      <c r="H562" s="31">
        <v>0</v>
      </c>
      <c r="I562" s="31">
        <v>0</v>
      </c>
      <c r="J562" s="31">
        <v>0</v>
      </c>
      <c r="K562" s="33">
        <v>0</v>
      </c>
      <c r="L562" s="31">
        <v>0</v>
      </c>
      <c r="M562" s="31">
        <v>520</v>
      </c>
      <c r="N562" s="31">
        <v>2433875.1800000002</v>
      </c>
      <c r="O562" s="31">
        <v>0</v>
      </c>
      <c r="P562" s="31">
        <v>0</v>
      </c>
      <c r="Q562" s="31">
        <v>0</v>
      </c>
      <c r="R562" s="31">
        <v>0</v>
      </c>
      <c r="S562" s="31">
        <v>0</v>
      </c>
      <c r="T562" s="31">
        <v>0</v>
      </c>
      <c r="U562" s="31">
        <v>0</v>
      </c>
      <c r="V562" s="31">
        <v>0</v>
      </c>
      <c r="W562" s="31">
        <v>0</v>
      </c>
      <c r="X562" s="31">
        <v>0</v>
      </c>
      <c r="Y562" s="31">
        <v>0</v>
      </c>
      <c r="Z562" s="31">
        <v>0</v>
      </c>
      <c r="AA562" s="31">
        <v>0</v>
      </c>
      <c r="AB562" s="31">
        <v>0</v>
      </c>
      <c r="AC562" s="31">
        <v>36508.129999999997</v>
      </c>
      <c r="AD562" s="31">
        <v>100000</v>
      </c>
      <c r="AE562" s="31">
        <v>0</v>
      </c>
      <c r="AF562" s="34">
        <v>2021</v>
      </c>
      <c r="AG562" s="34">
        <v>2021</v>
      </c>
      <c r="AH562" s="35">
        <v>2021</v>
      </c>
      <c r="AT562" s="20" t="e">
        <f t="shared" si="146"/>
        <v>#N/A</v>
      </c>
      <c r="BZ562" s="71"/>
      <c r="CD562" s="20" t="e">
        <f t="shared" si="143"/>
        <v>#N/A</v>
      </c>
    </row>
    <row r="563" spans="1:82" ht="61.5" x14ac:dyDescent="0.85">
      <c r="A563" s="20">
        <v>1</v>
      </c>
      <c r="B563" s="66">
        <f>SUBTOTAL(103,$A$558:A563)</f>
        <v>6</v>
      </c>
      <c r="C563" s="24" t="s">
        <v>539</v>
      </c>
      <c r="D563" s="31">
        <f t="shared" si="145"/>
        <v>4554037.87</v>
      </c>
      <c r="E563" s="31">
        <v>0</v>
      </c>
      <c r="F563" s="31">
        <v>0</v>
      </c>
      <c r="G563" s="31">
        <v>0</v>
      </c>
      <c r="H563" s="31">
        <v>0</v>
      </c>
      <c r="I563" s="31">
        <v>0</v>
      </c>
      <c r="J563" s="31">
        <v>0</v>
      </c>
      <c r="K563" s="33">
        <v>0</v>
      </c>
      <c r="L563" s="31">
        <v>0</v>
      </c>
      <c r="M563" s="31">
        <v>925.13</v>
      </c>
      <c r="N563" s="31">
        <v>4388214.6500000004</v>
      </c>
      <c r="O563" s="31">
        <v>0</v>
      </c>
      <c r="P563" s="31">
        <v>0</v>
      </c>
      <c r="Q563" s="31">
        <v>0</v>
      </c>
      <c r="R563" s="31">
        <v>0</v>
      </c>
      <c r="S563" s="31">
        <v>0</v>
      </c>
      <c r="T563" s="31">
        <v>0</v>
      </c>
      <c r="U563" s="31">
        <v>0</v>
      </c>
      <c r="V563" s="31">
        <v>0</v>
      </c>
      <c r="W563" s="31">
        <v>0</v>
      </c>
      <c r="X563" s="31">
        <v>0</v>
      </c>
      <c r="Y563" s="31">
        <v>0</v>
      </c>
      <c r="Z563" s="31">
        <v>0</v>
      </c>
      <c r="AA563" s="31">
        <v>0</v>
      </c>
      <c r="AB563" s="31">
        <v>0</v>
      </c>
      <c r="AC563" s="31">
        <v>65823.22</v>
      </c>
      <c r="AD563" s="31">
        <v>100000</v>
      </c>
      <c r="AE563" s="31">
        <v>0</v>
      </c>
      <c r="AF563" s="34">
        <v>2021</v>
      </c>
      <c r="AG563" s="34">
        <v>2021</v>
      </c>
      <c r="AH563" s="35">
        <v>2021</v>
      </c>
      <c r="AT563" s="20" t="e">
        <f t="shared" si="146"/>
        <v>#N/A</v>
      </c>
      <c r="BZ563" s="71"/>
      <c r="CD563" s="20" t="e">
        <f t="shared" si="143"/>
        <v>#N/A</v>
      </c>
    </row>
    <row r="564" spans="1:82" ht="61.5" x14ac:dyDescent="0.85">
      <c r="A564" s="20">
        <v>1</v>
      </c>
      <c r="B564" s="66">
        <f>SUBTOTAL(103,$A$558:A564)</f>
        <v>7</v>
      </c>
      <c r="C564" s="24" t="s">
        <v>540</v>
      </c>
      <c r="D564" s="31">
        <f t="shared" si="145"/>
        <v>3759019.5700000003</v>
      </c>
      <c r="E564" s="31">
        <v>0</v>
      </c>
      <c r="F564" s="31">
        <v>0</v>
      </c>
      <c r="G564" s="31">
        <v>0</v>
      </c>
      <c r="H564" s="31">
        <v>0</v>
      </c>
      <c r="I564" s="31">
        <v>0</v>
      </c>
      <c r="J564" s="31">
        <v>0</v>
      </c>
      <c r="K564" s="33">
        <v>0</v>
      </c>
      <c r="L564" s="31">
        <v>0</v>
      </c>
      <c r="M564" s="31">
        <v>760</v>
      </c>
      <c r="N564" s="31">
        <v>3604945.39</v>
      </c>
      <c r="O564" s="31">
        <v>0</v>
      </c>
      <c r="P564" s="31">
        <v>0</v>
      </c>
      <c r="Q564" s="31">
        <v>0</v>
      </c>
      <c r="R564" s="31">
        <v>0</v>
      </c>
      <c r="S564" s="31">
        <v>0</v>
      </c>
      <c r="T564" s="31">
        <v>0</v>
      </c>
      <c r="U564" s="31">
        <v>0</v>
      </c>
      <c r="V564" s="31">
        <v>0</v>
      </c>
      <c r="W564" s="31">
        <v>0</v>
      </c>
      <c r="X564" s="31">
        <v>0</v>
      </c>
      <c r="Y564" s="31">
        <v>0</v>
      </c>
      <c r="Z564" s="31">
        <v>0</v>
      </c>
      <c r="AA564" s="31">
        <v>0</v>
      </c>
      <c r="AB564" s="31">
        <v>0</v>
      </c>
      <c r="AC564" s="31">
        <v>54074.18</v>
      </c>
      <c r="AD564" s="31">
        <v>100000</v>
      </c>
      <c r="AE564" s="31">
        <v>0</v>
      </c>
      <c r="AF564" s="34">
        <v>2021</v>
      </c>
      <c r="AG564" s="34">
        <v>2021</v>
      </c>
      <c r="AH564" s="35">
        <v>2021</v>
      </c>
      <c r="AT564" s="20" t="e">
        <f t="shared" si="146"/>
        <v>#N/A</v>
      </c>
      <c r="BZ564" s="71"/>
      <c r="CD564" s="20" t="e">
        <f t="shared" si="143"/>
        <v>#N/A</v>
      </c>
    </row>
    <row r="565" spans="1:82" ht="61.5" x14ac:dyDescent="0.85">
      <c r="A565" s="20">
        <v>1</v>
      </c>
      <c r="B565" s="66">
        <f>SUBTOTAL(103,$A$558:A565)</f>
        <v>8</v>
      </c>
      <c r="C565" s="24" t="s">
        <v>541</v>
      </c>
      <c r="D565" s="31">
        <f t="shared" si="145"/>
        <v>3604386.26</v>
      </c>
      <c r="E565" s="31">
        <v>0</v>
      </c>
      <c r="F565" s="31">
        <v>0</v>
      </c>
      <c r="G565" s="31">
        <v>0</v>
      </c>
      <c r="H565" s="31">
        <v>0</v>
      </c>
      <c r="I565" s="31">
        <v>0</v>
      </c>
      <c r="J565" s="31">
        <v>0</v>
      </c>
      <c r="K565" s="33">
        <v>0</v>
      </c>
      <c r="L565" s="31">
        <v>0</v>
      </c>
      <c r="M565" s="31">
        <v>524</v>
      </c>
      <c r="N565" s="31">
        <v>3452597.3</v>
      </c>
      <c r="O565" s="31">
        <v>0</v>
      </c>
      <c r="P565" s="31">
        <v>0</v>
      </c>
      <c r="Q565" s="31">
        <v>0</v>
      </c>
      <c r="R565" s="31">
        <v>0</v>
      </c>
      <c r="S565" s="31">
        <v>0</v>
      </c>
      <c r="T565" s="31">
        <v>0</v>
      </c>
      <c r="U565" s="31">
        <v>0</v>
      </c>
      <c r="V565" s="31">
        <v>0</v>
      </c>
      <c r="W565" s="31">
        <v>0</v>
      </c>
      <c r="X565" s="31">
        <v>0</v>
      </c>
      <c r="Y565" s="31">
        <v>0</v>
      </c>
      <c r="Z565" s="31">
        <v>0</v>
      </c>
      <c r="AA565" s="31">
        <v>0</v>
      </c>
      <c r="AB565" s="31">
        <v>0</v>
      </c>
      <c r="AC565" s="31">
        <v>51788.959999999999</v>
      </c>
      <c r="AD565" s="31">
        <v>100000</v>
      </c>
      <c r="AE565" s="31">
        <v>0</v>
      </c>
      <c r="AF565" s="34">
        <v>2021</v>
      </c>
      <c r="AG565" s="34">
        <v>2021</v>
      </c>
      <c r="AH565" s="35">
        <v>2021</v>
      </c>
      <c r="AT565" s="20" t="e">
        <f t="shared" si="146"/>
        <v>#N/A</v>
      </c>
      <c r="BZ565" s="71"/>
      <c r="CD565" s="20" t="e">
        <f t="shared" si="143"/>
        <v>#N/A</v>
      </c>
    </row>
    <row r="566" spans="1:82" ht="61.5" x14ac:dyDescent="0.85">
      <c r="A566" s="20">
        <v>1</v>
      </c>
      <c r="B566" s="66">
        <f>SUBTOTAL(103,$A$558:A566)</f>
        <v>9</v>
      </c>
      <c r="C566" s="24" t="s">
        <v>542</v>
      </c>
      <c r="D566" s="31">
        <f t="shared" si="145"/>
        <v>5092635.92</v>
      </c>
      <c r="E566" s="31">
        <v>0</v>
      </c>
      <c r="F566" s="31">
        <v>0</v>
      </c>
      <c r="G566" s="31">
        <v>0</v>
      </c>
      <c r="H566" s="31">
        <v>0</v>
      </c>
      <c r="I566" s="31">
        <v>0</v>
      </c>
      <c r="J566" s="31">
        <v>0</v>
      </c>
      <c r="K566" s="33">
        <v>0</v>
      </c>
      <c r="L566" s="31">
        <v>0</v>
      </c>
      <c r="M566" s="31">
        <v>1037</v>
      </c>
      <c r="N566" s="31">
        <v>4918853.12</v>
      </c>
      <c r="O566" s="31">
        <v>0</v>
      </c>
      <c r="P566" s="31">
        <v>0</v>
      </c>
      <c r="Q566" s="31">
        <v>0</v>
      </c>
      <c r="R566" s="31">
        <v>0</v>
      </c>
      <c r="S566" s="31">
        <v>0</v>
      </c>
      <c r="T566" s="31">
        <v>0</v>
      </c>
      <c r="U566" s="31">
        <v>0</v>
      </c>
      <c r="V566" s="31">
        <v>0</v>
      </c>
      <c r="W566" s="31">
        <v>0</v>
      </c>
      <c r="X566" s="31">
        <v>0</v>
      </c>
      <c r="Y566" s="31">
        <v>0</v>
      </c>
      <c r="Z566" s="31">
        <v>0</v>
      </c>
      <c r="AA566" s="31">
        <v>0</v>
      </c>
      <c r="AB566" s="31">
        <v>0</v>
      </c>
      <c r="AC566" s="31">
        <v>73782.8</v>
      </c>
      <c r="AD566" s="31">
        <v>100000</v>
      </c>
      <c r="AE566" s="31">
        <v>0</v>
      </c>
      <c r="AF566" s="34">
        <v>2021</v>
      </c>
      <c r="AG566" s="34">
        <v>2021</v>
      </c>
      <c r="AH566" s="35">
        <v>2021</v>
      </c>
      <c r="AT566" s="20" t="e">
        <f t="shared" si="146"/>
        <v>#N/A</v>
      </c>
      <c r="BZ566" s="71"/>
      <c r="CD566" s="20" t="e">
        <f t="shared" si="143"/>
        <v>#N/A</v>
      </c>
    </row>
    <row r="567" spans="1:82" ht="61.5" x14ac:dyDescent="0.85">
      <c r="A567" s="20">
        <v>1</v>
      </c>
      <c r="B567" s="66">
        <f>SUBTOTAL(103,$A$558:A567)</f>
        <v>10</v>
      </c>
      <c r="C567" s="24" t="s">
        <v>545</v>
      </c>
      <c r="D567" s="31">
        <f>E567+F567+G567+H567+I567+J567+L567+N567+P567+R567+T567+U567+V567+W567+X567+Y567+Z567+AA567+AB567+AC567+AD567+AE567</f>
        <v>5145091.9399999995</v>
      </c>
      <c r="E567" s="31">
        <v>0</v>
      </c>
      <c r="F567" s="31">
        <v>0</v>
      </c>
      <c r="G567" s="31">
        <v>0</v>
      </c>
      <c r="H567" s="31">
        <v>0</v>
      </c>
      <c r="I567" s="31">
        <v>0</v>
      </c>
      <c r="J567" s="31">
        <v>0</v>
      </c>
      <c r="K567" s="33">
        <v>0</v>
      </c>
      <c r="L567" s="31">
        <v>0</v>
      </c>
      <c r="M567" s="31">
        <v>1062</v>
      </c>
      <c r="N567" s="31">
        <v>4970533.93</v>
      </c>
      <c r="O567" s="31">
        <v>0</v>
      </c>
      <c r="P567" s="31">
        <v>0</v>
      </c>
      <c r="Q567" s="31">
        <v>0</v>
      </c>
      <c r="R567" s="31">
        <v>0</v>
      </c>
      <c r="S567" s="31">
        <v>0</v>
      </c>
      <c r="T567" s="31">
        <v>0</v>
      </c>
      <c r="U567" s="31">
        <v>0</v>
      </c>
      <c r="V567" s="31">
        <v>0</v>
      </c>
      <c r="W567" s="31">
        <v>0</v>
      </c>
      <c r="X567" s="31">
        <v>0</v>
      </c>
      <c r="Y567" s="31">
        <v>0</v>
      </c>
      <c r="Z567" s="31">
        <v>0</v>
      </c>
      <c r="AA567" s="31">
        <v>0</v>
      </c>
      <c r="AB567" s="31">
        <v>0</v>
      </c>
      <c r="AC567" s="31">
        <v>74558.009999999995</v>
      </c>
      <c r="AD567" s="31">
        <v>100000</v>
      </c>
      <c r="AE567" s="31">
        <v>0</v>
      </c>
      <c r="AF567" s="34">
        <v>2021</v>
      </c>
      <c r="AG567" s="34">
        <v>2021</v>
      </c>
      <c r="AH567" s="35">
        <v>2021</v>
      </c>
      <c r="AT567" s="20" t="e">
        <f t="shared" si="146"/>
        <v>#N/A</v>
      </c>
      <c r="BZ567" s="71"/>
      <c r="CD567" s="20" t="e">
        <f t="shared" si="143"/>
        <v>#N/A</v>
      </c>
    </row>
    <row r="568" spans="1:82" ht="61.5" x14ac:dyDescent="0.85">
      <c r="A568" s="20">
        <v>1</v>
      </c>
      <c r="B568" s="66">
        <f>SUBTOTAL(103,$A$558:A568)</f>
        <v>11</v>
      </c>
      <c r="C568" s="24" t="s">
        <v>544</v>
      </c>
      <c r="D568" s="31">
        <f t="shared" si="145"/>
        <v>5398710.1299999999</v>
      </c>
      <c r="E568" s="31">
        <v>0</v>
      </c>
      <c r="F568" s="31">
        <v>0</v>
      </c>
      <c r="G568" s="31">
        <v>0</v>
      </c>
      <c r="H568" s="31">
        <v>0</v>
      </c>
      <c r="I568" s="31">
        <v>0</v>
      </c>
      <c r="J568" s="31">
        <v>0</v>
      </c>
      <c r="K568" s="33">
        <v>0</v>
      </c>
      <c r="L568" s="31">
        <v>0</v>
      </c>
      <c r="M568" s="31">
        <v>1068</v>
      </c>
      <c r="N568" s="31">
        <v>5220404.07</v>
      </c>
      <c r="O568" s="31">
        <v>0</v>
      </c>
      <c r="P568" s="31">
        <v>0</v>
      </c>
      <c r="Q568" s="31">
        <v>0</v>
      </c>
      <c r="R568" s="31">
        <v>0</v>
      </c>
      <c r="S568" s="31">
        <v>0</v>
      </c>
      <c r="T568" s="31">
        <v>0</v>
      </c>
      <c r="U568" s="31">
        <v>0</v>
      </c>
      <c r="V568" s="31">
        <v>0</v>
      </c>
      <c r="W568" s="31">
        <v>0</v>
      </c>
      <c r="X568" s="31">
        <v>0</v>
      </c>
      <c r="Y568" s="31">
        <v>0</v>
      </c>
      <c r="Z568" s="31">
        <v>0</v>
      </c>
      <c r="AA568" s="31">
        <v>0</v>
      </c>
      <c r="AB568" s="31">
        <v>0</v>
      </c>
      <c r="AC568" s="31">
        <v>78306.06</v>
      </c>
      <c r="AD568" s="31">
        <v>100000</v>
      </c>
      <c r="AE568" s="31">
        <v>0</v>
      </c>
      <c r="AF568" s="34">
        <v>2021</v>
      </c>
      <c r="AG568" s="34">
        <v>2021</v>
      </c>
      <c r="AH568" s="35">
        <v>2021</v>
      </c>
      <c r="AT568" s="20" t="e">
        <f t="shared" si="146"/>
        <v>#N/A</v>
      </c>
      <c r="BZ568" s="71"/>
      <c r="CD568" s="20" t="e">
        <f t="shared" si="143"/>
        <v>#N/A</v>
      </c>
    </row>
    <row r="569" spans="1:82" ht="61.5" x14ac:dyDescent="0.85">
      <c r="A569" s="20">
        <v>1</v>
      </c>
      <c r="B569" s="66">
        <f>SUBTOTAL(103,$A$558:A569)</f>
        <v>12</v>
      </c>
      <c r="C569" s="24" t="s">
        <v>803</v>
      </c>
      <c r="D569" s="31">
        <f t="shared" si="145"/>
        <v>2799900</v>
      </c>
      <c r="E569" s="31">
        <v>0</v>
      </c>
      <c r="F569" s="31">
        <v>0</v>
      </c>
      <c r="G569" s="31">
        <v>0</v>
      </c>
      <c r="H569" s="31">
        <v>0</v>
      </c>
      <c r="I569" s="31">
        <v>0</v>
      </c>
      <c r="J569" s="31">
        <v>0</v>
      </c>
      <c r="K569" s="33">
        <v>0</v>
      </c>
      <c r="L569" s="31">
        <v>0</v>
      </c>
      <c r="M569" s="31">
        <v>635</v>
      </c>
      <c r="N569" s="31">
        <v>2660000</v>
      </c>
      <c r="O569" s="31">
        <v>0</v>
      </c>
      <c r="P569" s="31">
        <v>0</v>
      </c>
      <c r="Q569" s="31">
        <v>0</v>
      </c>
      <c r="R569" s="31">
        <v>0</v>
      </c>
      <c r="S569" s="31">
        <v>0</v>
      </c>
      <c r="T569" s="31">
        <v>0</v>
      </c>
      <c r="U569" s="31">
        <v>0</v>
      </c>
      <c r="V569" s="31">
        <v>0</v>
      </c>
      <c r="W569" s="31">
        <v>0</v>
      </c>
      <c r="X569" s="31">
        <v>0</v>
      </c>
      <c r="Y569" s="31">
        <v>0</v>
      </c>
      <c r="Z569" s="31">
        <v>0</v>
      </c>
      <c r="AA569" s="31">
        <v>0</v>
      </c>
      <c r="AB569" s="31">
        <v>0</v>
      </c>
      <c r="AC569" s="31">
        <v>39900</v>
      </c>
      <c r="AD569" s="31">
        <v>100000</v>
      </c>
      <c r="AE569" s="31">
        <v>0</v>
      </c>
      <c r="AF569" s="34">
        <v>2021</v>
      </c>
      <c r="AG569" s="34">
        <v>2021</v>
      </c>
      <c r="AH569" s="35">
        <v>2021</v>
      </c>
      <c r="AT569" s="20" t="e">
        <f t="shared" si="146"/>
        <v>#N/A</v>
      </c>
      <c r="BZ569" s="71"/>
      <c r="CD569" s="20" t="e">
        <f t="shared" si="143"/>
        <v>#N/A</v>
      </c>
    </row>
    <row r="570" spans="1:82" ht="61.5" x14ac:dyDescent="0.85">
      <c r="A570" s="20">
        <v>1</v>
      </c>
      <c r="B570" s="66">
        <f>SUBTOTAL(103,$A$558:A570)</f>
        <v>13</v>
      </c>
      <c r="C570" s="24" t="s">
        <v>547</v>
      </c>
      <c r="D570" s="31">
        <f t="shared" si="145"/>
        <v>5017349.92</v>
      </c>
      <c r="E570" s="31">
        <v>0</v>
      </c>
      <c r="F570" s="31">
        <v>0</v>
      </c>
      <c r="G570" s="31">
        <v>0</v>
      </c>
      <c r="H570" s="31">
        <v>0</v>
      </c>
      <c r="I570" s="31">
        <v>0</v>
      </c>
      <c r="J570" s="31">
        <v>0</v>
      </c>
      <c r="K570" s="33">
        <v>0</v>
      </c>
      <c r="L570" s="31">
        <v>0</v>
      </c>
      <c r="M570" s="31">
        <v>960</v>
      </c>
      <c r="N570" s="31">
        <v>4943201.8899999997</v>
      </c>
      <c r="O570" s="31">
        <v>0</v>
      </c>
      <c r="P570" s="31">
        <v>0</v>
      </c>
      <c r="Q570" s="31">
        <v>0</v>
      </c>
      <c r="R570" s="31">
        <v>0</v>
      </c>
      <c r="S570" s="31">
        <v>0</v>
      </c>
      <c r="T570" s="31">
        <v>0</v>
      </c>
      <c r="U570" s="31">
        <v>0</v>
      </c>
      <c r="V570" s="31">
        <v>0</v>
      </c>
      <c r="W570" s="31">
        <v>0</v>
      </c>
      <c r="X570" s="31">
        <v>0</v>
      </c>
      <c r="Y570" s="31">
        <v>0</v>
      </c>
      <c r="Z570" s="31">
        <v>0</v>
      </c>
      <c r="AA570" s="31">
        <v>0</v>
      </c>
      <c r="AB570" s="31">
        <v>0</v>
      </c>
      <c r="AC570" s="31">
        <v>74148.03</v>
      </c>
      <c r="AD570" s="31">
        <v>0</v>
      </c>
      <c r="AE570" s="31">
        <v>0</v>
      </c>
      <c r="AF570" s="34" t="s">
        <v>270</v>
      </c>
      <c r="AG570" s="34">
        <v>2021</v>
      </c>
      <c r="AH570" s="35">
        <v>2021</v>
      </c>
      <c r="AT570" s="20" t="e">
        <f t="shared" si="146"/>
        <v>#N/A</v>
      </c>
      <c r="BZ570" s="71"/>
      <c r="CD570" s="20" t="e">
        <f t="shared" si="143"/>
        <v>#N/A</v>
      </c>
    </row>
    <row r="571" spans="1:82" ht="61.5" x14ac:dyDescent="0.85">
      <c r="A571" s="20">
        <v>1</v>
      </c>
      <c r="B571" s="66">
        <f>SUBTOTAL(103,$A$558:A571)</f>
        <v>14</v>
      </c>
      <c r="C571" s="24" t="s">
        <v>548</v>
      </c>
      <c r="D571" s="31">
        <f t="shared" si="145"/>
        <v>4076909.2800000003</v>
      </c>
      <c r="E571" s="31">
        <v>0</v>
      </c>
      <c r="F571" s="31">
        <v>0</v>
      </c>
      <c r="G571" s="31">
        <v>0</v>
      </c>
      <c r="H571" s="31">
        <v>0</v>
      </c>
      <c r="I571" s="31">
        <v>0</v>
      </c>
      <c r="J571" s="31">
        <v>0</v>
      </c>
      <c r="K571" s="33">
        <v>0</v>
      </c>
      <c r="L571" s="31">
        <v>0</v>
      </c>
      <c r="M571" s="31">
        <v>732.9</v>
      </c>
      <c r="N571" s="31">
        <v>4016659.39</v>
      </c>
      <c r="O571" s="31">
        <v>0</v>
      </c>
      <c r="P571" s="31">
        <v>0</v>
      </c>
      <c r="Q571" s="31">
        <v>0</v>
      </c>
      <c r="R571" s="31">
        <v>0</v>
      </c>
      <c r="S571" s="31">
        <v>0</v>
      </c>
      <c r="T571" s="31">
        <v>0</v>
      </c>
      <c r="U571" s="31">
        <v>0</v>
      </c>
      <c r="V571" s="31">
        <v>0</v>
      </c>
      <c r="W571" s="31">
        <v>0</v>
      </c>
      <c r="X571" s="31">
        <v>0</v>
      </c>
      <c r="Y571" s="31">
        <v>0</v>
      </c>
      <c r="Z571" s="31">
        <v>0</v>
      </c>
      <c r="AA571" s="31">
        <v>0</v>
      </c>
      <c r="AB571" s="31">
        <v>0</v>
      </c>
      <c r="AC571" s="31">
        <v>60249.89</v>
      </c>
      <c r="AD571" s="31">
        <v>0</v>
      </c>
      <c r="AE571" s="31">
        <v>0</v>
      </c>
      <c r="AF571" s="34" t="s">
        <v>270</v>
      </c>
      <c r="AG571" s="34">
        <v>2021</v>
      </c>
      <c r="AH571" s="35">
        <v>2021</v>
      </c>
      <c r="AT571" s="20" t="e">
        <f t="shared" si="146"/>
        <v>#N/A</v>
      </c>
      <c r="BZ571" s="71"/>
      <c r="CD571" s="20" t="e">
        <f t="shared" si="143"/>
        <v>#N/A</v>
      </c>
    </row>
    <row r="572" spans="1:82" ht="61.5" x14ac:dyDescent="0.85">
      <c r="A572" s="20">
        <v>1</v>
      </c>
      <c r="B572" s="66">
        <f>SUBTOTAL(103,$A$558:A572)</f>
        <v>15</v>
      </c>
      <c r="C572" s="24" t="s">
        <v>1405</v>
      </c>
      <c r="D572" s="31">
        <f t="shared" si="145"/>
        <v>5684659.8300000001</v>
      </c>
      <c r="E572" s="31">
        <v>0</v>
      </c>
      <c r="F572" s="31">
        <v>0</v>
      </c>
      <c r="G572" s="31">
        <v>0</v>
      </c>
      <c r="H572" s="31">
        <v>0</v>
      </c>
      <c r="I572" s="31">
        <v>0</v>
      </c>
      <c r="J572" s="31">
        <v>0</v>
      </c>
      <c r="K572" s="33">
        <v>0</v>
      </c>
      <c r="L572" s="31">
        <v>0</v>
      </c>
      <c r="M572" s="31">
        <v>1207.0999999999999</v>
      </c>
      <c r="N572" s="31">
        <v>5600650.0800000001</v>
      </c>
      <c r="O572" s="31">
        <v>0</v>
      </c>
      <c r="P572" s="31">
        <v>0</v>
      </c>
      <c r="Q572" s="31">
        <v>0</v>
      </c>
      <c r="R572" s="31">
        <v>0</v>
      </c>
      <c r="S572" s="31">
        <v>0</v>
      </c>
      <c r="T572" s="31">
        <v>0</v>
      </c>
      <c r="U572" s="31">
        <v>0</v>
      </c>
      <c r="V572" s="31">
        <v>0</v>
      </c>
      <c r="W572" s="31">
        <v>0</v>
      </c>
      <c r="X572" s="31">
        <v>0</v>
      </c>
      <c r="Y572" s="31">
        <v>0</v>
      </c>
      <c r="Z572" s="31">
        <v>0</v>
      </c>
      <c r="AA572" s="31">
        <v>0</v>
      </c>
      <c r="AB572" s="31">
        <v>0</v>
      </c>
      <c r="AC572" s="31">
        <v>84009.75</v>
      </c>
      <c r="AD572" s="31">
        <v>0</v>
      </c>
      <c r="AE572" s="31">
        <v>0</v>
      </c>
      <c r="AF572" s="34" t="s">
        <v>270</v>
      </c>
      <c r="AG572" s="34">
        <v>2021</v>
      </c>
      <c r="AH572" s="35">
        <v>2021</v>
      </c>
      <c r="BZ572" s="71"/>
      <c r="CD572" s="20" t="e">
        <f t="shared" si="143"/>
        <v>#N/A</v>
      </c>
    </row>
    <row r="573" spans="1:82" ht="61.5" x14ac:dyDescent="0.85">
      <c r="A573" s="20">
        <v>1</v>
      </c>
      <c r="B573" s="66">
        <f>SUBTOTAL(103,$A$558:A573)</f>
        <v>16</v>
      </c>
      <c r="C573" s="24" t="s">
        <v>804</v>
      </c>
      <c r="D573" s="31">
        <f t="shared" si="145"/>
        <v>3010127.71</v>
      </c>
      <c r="E573" s="31">
        <v>0</v>
      </c>
      <c r="F573" s="31">
        <v>0</v>
      </c>
      <c r="G573" s="31">
        <v>0</v>
      </c>
      <c r="H573" s="31">
        <v>0</v>
      </c>
      <c r="I573" s="31">
        <v>0</v>
      </c>
      <c r="J573" s="31">
        <v>0</v>
      </c>
      <c r="K573" s="33">
        <v>0</v>
      </c>
      <c r="L573" s="31">
        <v>0</v>
      </c>
      <c r="M573" s="31">
        <v>700</v>
      </c>
      <c r="N573" s="31">
        <v>2867120.9</v>
      </c>
      <c r="O573" s="31">
        <v>0</v>
      </c>
      <c r="P573" s="31">
        <v>0</v>
      </c>
      <c r="Q573" s="31">
        <v>0</v>
      </c>
      <c r="R573" s="31">
        <v>0</v>
      </c>
      <c r="S573" s="31">
        <v>0</v>
      </c>
      <c r="T573" s="31">
        <v>0</v>
      </c>
      <c r="U573" s="31">
        <v>0</v>
      </c>
      <c r="V573" s="31">
        <v>0</v>
      </c>
      <c r="W573" s="31">
        <v>0</v>
      </c>
      <c r="X573" s="31">
        <v>0</v>
      </c>
      <c r="Y573" s="31">
        <v>0</v>
      </c>
      <c r="Z573" s="31">
        <v>0</v>
      </c>
      <c r="AA573" s="31">
        <v>0</v>
      </c>
      <c r="AB573" s="31">
        <v>0</v>
      </c>
      <c r="AC573" s="31">
        <v>43006.81</v>
      </c>
      <c r="AD573" s="31">
        <v>100000</v>
      </c>
      <c r="AE573" s="31">
        <v>0</v>
      </c>
      <c r="AF573" s="34">
        <v>2021</v>
      </c>
      <c r="AG573" s="34">
        <v>2021</v>
      </c>
      <c r="AH573" s="35">
        <v>2021</v>
      </c>
      <c r="AT573" s="20" t="e">
        <f t="shared" ref="AT573:AT581" si="147">VLOOKUP(C573,AW:AX,2,FALSE)</f>
        <v>#N/A</v>
      </c>
      <c r="BZ573" s="71"/>
      <c r="CD573" s="20" t="e">
        <f t="shared" si="143"/>
        <v>#N/A</v>
      </c>
    </row>
    <row r="574" spans="1:82" ht="61.5" x14ac:dyDescent="0.85">
      <c r="A574" s="20">
        <v>1</v>
      </c>
      <c r="B574" s="66">
        <f>SUBTOTAL(103,$A$558:A574)</f>
        <v>17</v>
      </c>
      <c r="C574" s="24" t="s">
        <v>550</v>
      </c>
      <c r="D574" s="31">
        <f t="shared" si="145"/>
        <v>1126135.8999999999</v>
      </c>
      <c r="E574" s="31">
        <v>0</v>
      </c>
      <c r="F574" s="31">
        <v>0</v>
      </c>
      <c r="G574" s="31">
        <v>0</v>
      </c>
      <c r="H574" s="31">
        <v>0</v>
      </c>
      <c r="I574" s="31">
        <v>0</v>
      </c>
      <c r="J574" s="31">
        <v>0</v>
      </c>
      <c r="K574" s="33">
        <v>0</v>
      </c>
      <c r="L574" s="31">
        <v>0</v>
      </c>
      <c r="M574" s="31">
        <v>210</v>
      </c>
      <c r="N574" s="31">
        <v>996103.33</v>
      </c>
      <c r="O574" s="31">
        <v>0</v>
      </c>
      <c r="P574" s="31">
        <v>0</v>
      </c>
      <c r="Q574" s="31">
        <v>0</v>
      </c>
      <c r="R574" s="31">
        <v>0</v>
      </c>
      <c r="S574" s="31">
        <v>0</v>
      </c>
      <c r="T574" s="31">
        <v>0</v>
      </c>
      <c r="U574" s="31">
        <v>0</v>
      </c>
      <c r="V574" s="31">
        <v>0</v>
      </c>
      <c r="W574" s="31">
        <v>0</v>
      </c>
      <c r="X574" s="31">
        <v>0</v>
      </c>
      <c r="Y574" s="31">
        <v>0</v>
      </c>
      <c r="Z574" s="31">
        <v>0</v>
      </c>
      <c r="AA574" s="31">
        <v>0</v>
      </c>
      <c r="AB574" s="31">
        <v>0</v>
      </c>
      <c r="AC574" s="31">
        <v>14941.55</v>
      </c>
      <c r="AD574" s="31">
        <v>115091.02</v>
      </c>
      <c r="AE574" s="31">
        <v>0</v>
      </c>
      <c r="AF574" s="34">
        <v>2021</v>
      </c>
      <c r="AG574" s="34">
        <v>2021</v>
      </c>
      <c r="AH574" s="35">
        <v>2021</v>
      </c>
      <c r="AT574" s="20" t="e">
        <f t="shared" si="147"/>
        <v>#N/A</v>
      </c>
      <c r="BZ574" s="71"/>
      <c r="CD574" s="20" t="e">
        <f t="shared" si="143"/>
        <v>#N/A</v>
      </c>
    </row>
    <row r="575" spans="1:82" ht="61.5" x14ac:dyDescent="0.85">
      <c r="A575" s="20">
        <v>1</v>
      </c>
      <c r="B575" s="66">
        <f>SUBTOTAL(103,$A$558:A575)</f>
        <v>18</v>
      </c>
      <c r="C575" s="24" t="s">
        <v>806</v>
      </c>
      <c r="D575" s="31">
        <f t="shared" si="145"/>
        <v>5592560.8499999996</v>
      </c>
      <c r="E575" s="31">
        <v>0</v>
      </c>
      <c r="F575" s="31">
        <v>0</v>
      </c>
      <c r="G575" s="31">
        <v>0</v>
      </c>
      <c r="H575" s="31">
        <v>0</v>
      </c>
      <c r="I575" s="31">
        <v>0</v>
      </c>
      <c r="J575" s="31">
        <v>0</v>
      </c>
      <c r="K575" s="74">
        <v>0</v>
      </c>
      <c r="L575" s="31">
        <v>0</v>
      </c>
      <c r="M575" s="31">
        <v>1391</v>
      </c>
      <c r="N575" s="31">
        <v>5411390</v>
      </c>
      <c r="O575" s="31">
        <v>0</v>
      </c>
      <c r="P575" s="31">
        <v>0</v>
      </c>
      <c r="Q575" s="31">
        <v>0</v>
      </c>
      <c r="R575" s="31">
        <v>0</v>
      </c>
      <c r="S575" s="31">
        <v>0</v>
      </c>
      <c r="T575" s="31">
        <v>0</v>
      </c>
      <c r="U575" s="31">
        <v>0</v>
      </c>
      <c r="V575" s="31">
        <v>0</v>
      </c>
      <c r="W575" s="31">
        <v>0</v>
      </c>
      <c r="X575" s="31">
        <v>0</v>
      </c>
      <c r="Y575" s="31">
        <v>0</v>
      </c>
      <c r="Z575" s="31">
        <v>0</v>
      </c>
      <c r="AA575" s="31">
        <v>0</v>
      </c>
      <c r="AB575" s="31">
        <v>0</v>
      </c>
      <c r="AC575" s="31">
        <v>81170.850000000006</v>
      </c>
      <c r="AD575" s="31">
        <v>100000</v>
      </c>
      <c r="AE575" s="31">
        <v>0</v>
      </c>
      <c r="AF575" s="34">
        <v>2021</v>
      </c>
      <c r="AG575" s="34">
        <v>2021</v>
      </c>
      <c r="AH575" s="35">
        <v>2021</v>
      </c>
      <c r="AT575" s="20" t="e">
        <f t="shared" si="147"/>
        <v>#N/A</v>
      </c>
      <c r="BZ575" s="71"/>
      <c r="CD575" s="20" t="e">
        <f t="shared" si="143"/>
        <v>#N/A</v>
      </c>
    </row>
    <row r="576" spans="1:82" ht="61.5" x14ac:dyDescent="0.85">
      <c r="A576" s="20">
        <v>1</v>
      </c>
      <c r="B576" s="66">
        <f>SUBTOTAL(103,$A$558:A576)</f>
        <v>19</v>
      </c>
      <c r="C576" s="24" t="s">
        <v>553</v>
      </c>
      <c r="D576" s="31">
        <f t="shared" si="145"/>
        <v>4005106.45</v>
      </c>
      <c r="E576" s="31">
        <v>0</v>
      </c>
      <c r="F576" s="31">
        <v>0</v>
      </c>
      <c r="G576" s="31">
        <v>0</v>
      </c>
      <c r="H576" s="31">
        <v>0</v>
      </c>
      <c r="I576" s="31">
        <v>0</v>
      </c>
      <c r="J576" s="31">
        <v>0</v>
      </c>
      <c r="K576" s="33">
        <v>0</v>
      </c>
      <c r="L576" s="31">
        <v>0</v>
      </c>
      <c r="M576" s="31">
        <v>822</v>
      </c>
      <c r="N576" s="31">
        <v>3847395.52</v>
      </c>
      <c r="O576" s="31">
        <v>0</v>
      </c>
      <c r="P576" s="31">
        <v>0</v>
      </c>
      <c r="Q576" s="31">
        <v>0</v>
      </c>
      <c r="R576" s="31">
        <v>0</v>
      </c>
      <c r="S576" s="31">
        <v>0</v>
      </c>
      <c r="T576" s="31">
        <v>0</v>
      </c>
      <c r="U576" s="31">
        <v>0</v>
      </c>
      <c r="V576" s="31">
        <v>0</v>
      </c>
      <c r="W576" s="31">
        <v>0</v>
      </c>
      <c r="X576" s="31">
        <v>0</v>
      </c>
      <c r="Y576" s="31">
        <v>0</v>
      </c>
      <c r="Z576" s="31">
        <v>0</v>
      </c>
      <c r="AA576" s="31">
        <v>0</v>
      </c>
      <c r="AB576" s="31">
        <v>0</v>
      </c>
      <c r="AC576" s="31">
        <v>57710.93</v>
      </c>
      <c r="AD576" s="31">
        <v>100000</v>
      </c>
      <c r="AE576" s="31">
        <v>0</v>
      </c>
      <c r="AF576" s="34">
        <v>2021</v>
      </c>
      <c r="AG576" s="34">
        <v>2021</v>
      </c>
      <c r="AH576" s="35">
        <v>2021</v>
      </c>
      <c r="AT576" s="20" t="e">
        <f t="shared" si="147"/>
        <v>#N/A</v>
      </c>
      <c r="BZ576" s="71"/>
      <c r="CD576" s="20" t="e">
        <f t="shared" si="143"/>
        <v>#N/A</v>
      </c>
    </row>
    <row r="577" spans="1:82" ht="61.5" x14ac:dyDescent="0.85">
      <c r="A577" s="20">
        <v>1</v>
      </c>
      <c r="B577" s="66">
        <f>SUBTOTAL(103,$A$558:A577)</f>
        <v>20</v>
      </c>
      <c r="C577" s="24" t="s">
        <v>1640</v>
      </c>
      <c r="D577" s="31">
        <f t="shared" si="145"/>
        <v>2397304.5699999998</v>
      </c>
      <c r="E577" s="31">
        <v>0</v>
      </c>
      <c r="F577" s="31">
        <v>0</v>
      </c>
      <c r="G577" s="31">
        <v>0</v>
      </c>
      <c r="H577" s="31">
        <v>0</v>
      </c>
      <c r="I577" s="31">
        <v>0</v>
      </c>
      <c r="J577" s="31">
        <v>0</v>
      </c>
      <c r="K577" s="33">
        <v>0</v>
      </c>
      <c r="L577" s="31">
        <v>0</v>
      </c>
      <c r="M577" s="31">
        <v>485</v>
      </c>
      <c r="N577" s="31">
        <v>2263354.2599999998</v>
      </c>
      <c r="O577" s="31">
        <v>0</v>
      </c>
      <c r="P577" s="31">
        <v>0</v>
      </c>
      <c r="Q577" s="31">
        <v>0</v>
      </c>
      <c r="R577" s="31">
        <v>0</v>
      </c>
      <c r="S577" s="31">
        <v>0</v>
      </c>
      <c r="T577" s="31">
        <v>0</v>
      </c>
      <c r="U577" s="31">
        <v>0</v>
      </c>
      <c r="V577" s="31">
        <v>0</v>
      </c>
      <c r="W577" s="31">
        <v>0</v>
      </c>
      <c r="X577" s="31">
        <v>0</v>
      </c>
      <c r="Y577" s="31">
        <v>0</v>
      </c>
      <c r="Z577" s="31">
        <v>0</v>
      </c>
      <c r="AA577" s="31">
        <v>0</v>
      </c>
      <c r="AB577" s="31">
        <v>0</v>
      </c>
      <c r="AC577" s="31">
        <v>33950.31</v>
      </c>
      <c r="AD577" s="31">
        <v>100000</v>
      </c>
      <c r="AE577" s="31">
        <v>0</v>
      </c>
      <c r="AF577" s="34">
        <v>2021</v>
      </c>
      <c r="AG577" s="34">
        <v>2021</v>
      </c>
      <c r="AH577" s="35">
        <v>2021</v>
      </c>
      <c r="AT577" s="20" t="e">
        <f t="shared" si="147"/>
        <v>#N/A</v>
      </c>
      <c r="BZ577" s="71"/>
      <c r="CD577" s="20" t="e">
        <f t="shared" si="143"/>
        <v>#N/A</v>
      </c>
    </row>
    <row r="578" spans="1:82" ht="61.5" x14ac:dyDescent="0.85">
      <c r="A578" s="20">
        <v>1</v>
      </c>
      <c r="B578" s="66">
        <f>SUBTOTAL(103,$A$558:A578)</f>
        <v>21</v>
      </c>
      <c r="C578" s="24" t="s">
        <v>556</v>
      </c>
      <c r="D578" s="31">
        <f t="shared" si="145"/>
        <v>2564514.5199999996</v>
      </c>
      <c r="E578" s="31">
        <v>0</v>
      </c>
      <c r="F578" s="31">
        <v>0</v>
      </c>
      <c r="G578" s="31">
        <v>0</v>
      </c>
      <c r="H578" s="31">
        <v>0</v>
      </c>
      <c r="I578" s="31">
        <v>0</v>
      </c>
      <c r="J578" s="31">
        <v>0</v>
      </c>
      <c r="K578" s="33">
        <v>0</v>
      </c>
      <c r="L578" s="31">
        <v>0</v>
      </c>
      <c r="M578" s="31">
        <v>606</v>
      </c>
      <c r="N578" s="31">
        <v>2425477.84</v>
      </c>
      <c r="O578" s="31">
        <v>0</v>
      </c>
      <c r="P578" s="31">
        <v>0</v>
      </c>
      <c r="Q578" s="31">
        <v>0</v>
      </c>
      <c r="R578" s="31">
        <v>0</v>
      </c>
      <c r="S578" s="31">
        <v>0</v>
      </c>
      <c r="T578" s="31">
        <v>0</v>
      </c>
      <c r="U578" s="31">
        <v>0</v>
      </c>
      <c r="V578" s="31">
        <v>0</v>
      </c>
      <c r="W578" s="31">
        <v>0</v>
      </c>
      <c r="X578" s="31">
        <v>0</v>
      </c>
      <c r="Y578" s="31">
        <v>0</v>
      </c>
      <c r="Z578" s="31">
        <v>0</v>
      </c>
      <c r="AA578" s="31">
        <v>0</v>
      </c>
      <c r="AB578" s="31">
        <v>0</v>
      </c>
      <c r="AC578" s="31">
        <v>36382.17</v>
      </c>
      <c r="AD578" s="31">
        <v>102654.51</v>
      </c>
      <c r="AE578" s="31">
        <v>0</v>
      </c>
      <c r="AF578" s="34">
        <v>2021</v>
      </c>
      <c r="AG578" s="34">
        <v>2021</v>
      </c>
      <c r="AH578" s="35">
        <v>2021</v>
      </c>
      <c r="AT578" s="20" t="e">
        <f t="shared" si="147"/>
        <v>#N/A</v>
      </c>
      <c r="BZ578" s="71"/>
      <c r="CD578" s="20" t="e">
        <f t="shared" si="143"/>
        <v>#N/A</v>
      </c>
    </row>
    <row r="579" spans="1:82" ht="61.5" x14ac:dyDescent="0.85">
      <c r="A579" s="20">
        <v>1</v>
      </c>
      <c r="B579" s="66">
        <f>SUBTOTAL(103,$A$558:A579)</f>
        <v>22</v>
      </c>
      <c r="C579" s="24" t="s">
        <v>559</v>
      </c>
      <c r="D579" s="31">
        <f t="shared" si="145"/>
        <v>2201781.17</v>
      </c>
      <c r="E579" s="31">
        <v>0</v>
      </c>
      <c r="F579" s="31">
        <v>0</v>
      </c>
      <c r="G579" s="31">
        <v>0</v>
      </c>
      <c r="H579" s="31">
        <v>0</v>
      </c>
      <c r="I579" s="31">
        <v>0</v>
      </c>
      <c r="J579" s="31">
        <v>0</v>
      </c>
      <c r="K579" s="33">
        <v>0</v>
      </c>
      <c r="L579" s="31">
        <v>0</v>
      </c>
      <c r="M579" s="31">
        <v>432.6</v>
      </c>
      <c r="N579" s="31">
        <v>2070720.36</v>
      </c>
      <c r="O579" s="31">
        <v>0</v>
      </c>
      <c r="P579" s="31">
        <v>0</v>
      </c>
      <c r="Q579" s="31">
        <v>0</v>
      </c>
      <c r="R579" s="31">
        <v>0</v>
      </c>
      <c r="S579" s="31">
        <v>0</v>
      </c>
      <c r="T579" s="31">
        <v>0</v>
      </c>
      <c r="U579" s="31">
        <v>0</v>
      </c>
      <c r="V579" s="31">
        <v>0</v>
      </c>
      <c r="W579" s="31">
        <v>0</v>
      </c>
      <c r="X579" s="31">
        <v>0</v>
      </c>
      <c r="Y579" s="31">
        <v>0</v>
      </c>
      <c r="Z579" s="31">
        <v>0</v>
      </c>
      <c r="AA579" s="31">
        <v>0</v>
      </c>
      <c r="AB579" s="31">
        <v>0</v>
      </c>
      <c r="AC579" s="31">
        <v>31060.81</v>
      </c>
      <c r="AD579" s="31">
        <v>100000</v>
      </c>
      <c r="AE579" s="31">
        <v>0</v>
      </c>
      <c r="AF579" s="34">
        <v>2021</v>
      </c>
      <c r="AG579" s="34">
        <v>2021</v>
      </c>
      <c r="AH579" s="35">
        <v>2021</v>
      </c>
      <c r="AT579" s="20" t="e">
        <f t="shared" si="147"/>
        <v>#N/A</v>
      </c>
      <c r="BZ579" s="71"/>
      <c r="CD579" s="20" t="e">
        <f t="shared" si="143"/>
        <v>#N/A</v>
      </c>
    </row>
    <row r="580" spans="1:82" ht="61.5" x14ac:dyDescent="0.85">
      <c r="A580" s="20">
        <v>1</v>
      </c>
      <c r="B580" s="66">
        <f>SUBTOTAL(103,$A$558:A580)</f>
        <v>23</v>
      </c>
      <c r="C580" s="24" t="s">
        <v>560</v>
      </c>
      <c r="D580" s="31">
        <f t="shared" si="145"/>
        <v>763048.75</v>
      </c>
      <c r="E580" s="31">
        <v>0</v>
      </c>
      <c r="F580" s="31">
        <v>0</v>
      </c>
      <c r="G580" s="31">
        <v>0</v>
      </c>
      <c r="H580" s="31">
        <v>0</v>
      </c>
      <c r="I580" s="31">
        <v>0</v>
      </c>
      <c r="J580" s="31">
        <v>0</v>
      </c>
      <c r="K580" s="33">
        <v>0</v>
      </c>
      <c r="L580" s="31">
        <v>0</v>
      </c>
      <c r="M580" s="31">
        <v>185.8</v>
      </c>
      <c r="N580" s="31">
        <v>653250</v>
      </c>
      <c r="O580" s="31">
        <v>0</v>
      </c>
      <c r="P580" s="31">
        <v>0</v>
      </c>
      <c r="Q580" s="31">
        <v>0</v>
      </c>
      <c r="R580" s="31">
        <v>0</v>
      </c>
      <c r="S580" s="31">
        <v>0</v>
      </c>
      <c r="T580" s="31">
        <v>0</v>
      </c>
      <c r="U580" s="31">
        <v>0</v>
      </c>
      <c r="V580" s="31">
        <v>0</v>
      </c>
      <c r="W580" s="31">
        <v>0</v>
      </c>
      <c r="X580" s="31">
        <v>0</v>
      </c>
      <c r="Y580" s="31">
        <v>0</v>
      </c>
      <c r="Z580" s="31">
        <v>0</v>
      </c>
      <c r="AA580" s="31">
        <v>0</v>
      </c>
      <c r="AB580" s="31">
        <v>0</v>
      </c>
      <c r="AC580" s="31">
        <v>9798.75</v>
      </c>
      <c r="AD580" s="31">
        <v>100000</v>
      </c>
      <c r="AE580" s="31">
        <v>0</v>
      </c>
      <c r="AF580" s="34">
        <v>2021</v>
      </c>
      <c r="AG580" s="34">
        <v>2021</v>
      </c>
      <c r="AH580" s="35">
        <v>2021</v>
      </c>
      <c r="AT580" s="20" t="e">
        <f t="shared" si="147"/>
        <v>#N/A</v>
      </c>
      <c r="BZ580" s="71"/>
      <c r="CD580" s="20" t="e">
        <f t="shared" si="143"/>
        <v>#N/A</v>
      </c>
    </row>
    <row r="581" spans="1:82" ht="61.5" x14ac:dyDescent="0.85">
      <c r="A581" s="20">
        <v>1</v>
      </c>
      <c r="B581" s="66">
        <f>SUBTOTAL(103,$A$558:A581)</f>
        <v>24</v>
      </c>
      <c r="C581" s="24" t="s">
        <v>561</v>
      </c>
      <c r="D581" s="31">
        <f t="shared" si="145"/>
        <v>2794940.58</v>
      </c>
      <c r="E581" s="31">
        <v>0</v>
      </c>
      <c r="F581" s="31">
        <v>0</v>
      </c>
      <c r="G581" s="31">
        <v>0</v>
      </c>
      <c r="H581" s="31">
        <v>0</v>
      </c>
      <c r="I581" s="31">
        <v>0</v>
      </c>
      <c r="J581" s="31">
        <v>0</v>
      </c>
      <c r="K581" s="33">
        <v>0</v>
      </c>
      <c r="L581" s="31">
        <v>0</v>
      </c>
      <c r="M581" s="31">
        <v>642</v>
      </c>
      <c r="N581" s="31">
        <v>2655113.87</v>
      </c>
      <c r="O581" s="31">
        <v>0</v>
      </c>
      <c r="P581" s="31">
        <v>0</v>
      </c>
      <c r="Q581" s="31">
        <v>0</v>
      </c>
      <c r="R581" s="31">
        <v>0</v>
      </c>
      <c r="S581" s="31">
        <v>0</v>
      </c>
      <c r="T581" s="31">
        <v>0</v>
      </c>
      <c r="U581" s="31">
        <v>0</v>
      </c>
      <c r="V581" s="31">
        <v>0</v>
      </c>
      <c r="W581" s="31">
        <v>0</v>
      </c>
      <c r="X581" s="31">
        <v>0</v>
      </c>
      <c r="Y581" s="31">
        <v>0</v>
      </c>
      <c r="Z581" s="31">
        <v>0</v>
      </c>
      <c r="AA581" s="31">
        <v>0</v>
      </c>
      <c r="AB581" s="31">
        <v>0</v>
      </c>
      <c r="AC581" s="31">
        <v>39826.71</v>
      </c>
      <c r="AD581" s="31">
        <v>100000</v>
      </c>
      <c r="AE581" s="31">
        <v>0</v>
      </c>
      <c r="AF581" s="34">
        <v>2021</v>
      </c>
      <c r="AG581" s="34">
        <v>2021</v>
      </c>
      <c r="AH581" s="35">
        <v>2021</v>
      </c>
      <c r="AT581" s="20" t="e">
        <f t="shared" si="147"/>
        <v>#N/A</v>
      </c>
      <c r="BZ581" s="71"/>
      <c r="CD581" s="20" t="e">
        <f t="shared" si="143"/>
        <v>#N/A</v>
      </c>
    </row>
    <row r="582" spans="1:82" ht="61.5" x14ac:dyDescent="0.85">
      <c r="A582" s="20">
        <v>1</v>
      </c>
      <c r="B582" s="66">
        <f>SUBTOTAL(103,$A$558:A582)</f>
        <v>25</v>
      </c>
      <c r="C582" s="24" t="s">
        <v>1625</v>
      </c>
      <c r="D582" s="31">
        <f t="shared" si="145"/>
        <v>9602513.2699999996</v>
      </c>
      <c r="E582" s="31">
        <v>0</v>
      </c>
      <c r="F582" s="31">
        <v>0</v>
      </c>
      <c r="G582" s="31">
        <v>0</v>
      </c>
      <c r="H582" s="31">
        <v>0</v>
      </c>
      <c r="I582" s="31">
        <v>0</v>
      </c>
      <c r="J582" s="31">
        <v>0</v>
      </c>
      <c r="K582" s="33">
        <v>0</v>
      </c>
      <c r="L582" s="31">
        <v>0</v>
      </c>
      <c r="M582" s="31">
        <v>2300</v>
      </c>
      <c r="N582" s="31">
        <v>9362082.0399999991</v>
      </c>
      <c r="O582" s="31">
        <v>0</v>
      </c>
      <c r="P582" s="31">
        <v>0</v>
      </c>
      <c r="Q582" s="31">
        <v>0</v>
      </c>
      <c r="R582" s="31">
        <v>0</v>
      </c>
      <c r="S582" s="31">
        <v>0</v>
      </c>
      <c r="T582" s="31">
        <v>0</v>
      </c>
      <c r="U582" s="31">
        <v>0</v>
      </c>
      <c r="V582" s="31">
        <v>0</v>
      </c>
      <c r="W582" s="31">
        <v>0</v>
      </c>
      <c r="X582" s="31">
        <v>0</v>
      </c>
      <c r="Y582" s="31">
        <v>0</v>
      </c>
      <c r="Z582" s="31">
        <v>0</v>
      </c>
      <c r="AA582" s="31">
        <v>0</v>
      </c>
      <c r="AB582" s="31">
        <v>0</v>
      </c>
      <c r="AC582" s="31">
        <v>140431.23000000001</v>
      </c>
      <c r="AD582" s="31">
        <v>100000</v>
      </c>
      <c r="AE582" s="31">
        <v>0</v>
      </c>
      <c r="AF582" s="34">
        <v>2021</v>
      </c>
      <c r="AG582" s="34">
        <v>2021</v>
      </c>
      <c r="AH582" s="35">
        <v>2021</v>
      </c>
      <c r="BZ582" s="71"/>
      <c r="CD582" s="20" t="e">
        <f t="shared" si="143"/>
        <v>#N/A</v>
      </c>
    </row>
    <row r="583" spans="1:82" ht="61.5" x14ac:dyDescent="0.85">
      <c r="A583" s="20">
        <v>1</v>
      </c>
      <c r="B583" s="66">
        <f>SUBTOTAL(103,$A$558:A583)</f>
        <v>26</v>
      </c>
      <c r="C583" s="24" t="s">
        <v>562</v>
      </c>
      <c r="D583" s="31">
        <f t="shared" si="145"/>
        <v>5877399.3300000001</v>
      </c>
      <c r="E583" s="31">
        <v>0</v>
      </c>
      <c r="F583" s="31">
        <v>0</v>
      </c>
      <c r="G583" s="31">
        <v>0</v>
      </c>
      <c r="H583" s="31">
        <v>0</v>
      </c>
      <c r="I583" s="31">
        <v>0</v>
      </c>
      <c r="J583" s="31">
        <v>0</v>
      </c>
      <c r="K583" s="33">
        <v>0</v>
      </c>
      <c r="L583" s="31">
        <v>0</v>
      </c>
      <c r="M583" s="31">
        <v>1200</v>
      </c>
      <c r="N583" s="31">
        <v>5692019.04</v>
      </c>
      <c r="O583" s="31">
        <v>0</v>
      </c>
      <c r="P583" s="31">
        <v>0</v>
      </c>
      <c r="Q583" s="31">
        <v>0</v>
      </c>
      <c r="R583" s="31">
        <v>0</v>
      </c>
      <c r="S583" s="31">
        <v>0</v>
      </c>
      <c r="T583" s="31">
        <v>0</v>
      </c>
      <c r="U583" s="31">
        <v>0</v>
      </c>
      <c r="V583" s="31">
        <v>0</v>
      </c>
      <c r="W583" s="31">
        <v>0</v>
      </c>
      <c r="X583" s="31">
        <v>0</v>
      </c>
      <c r="Y583" s="31">
        <v>0</v>
      </c>
      <c r="Z583" s="31">
        <v>0</v>
      </c>
      <c r="AA583" s="31">
        <v>0</v>
      </c>
      <c r="AB583" s="31">
        <v>0</v>
      </c>
      <c r="AC583" s="31">
        <v>85380.29</v>
      </c>
      <c r="AD583" s="31">
        <v>100000</v>
      </c>
      <c r="AE583" s="31">
        <v>0</v>
      </c>
      <c r="AF583" s="34">
        <v>2021</v>
      </c>
      <c r="AG583" s="34">
        <v>2021</v>
      </c>
      <c r="AH583" s="35">
        <v>2021</v>
      </c>
      <c r="AT583" s="20" t="e">
        <f>VLOOKUP(C583,AW:AX,2,FALSE)</f>
        <v>#N/A</v>
      </c>
      <c r="BZ583" s="71"/>
      <c r="CD583" s="20" t="e">
        <f t="shared" si="143"/>
        <v>#N/A</v>
      </c>
    </row>
    <row r="584" spans="1:82" ht="61.5" x14ac:dyDescent="0.85">
      <c r="A584" s="20">
        <v>1</v>
      </c>
      <c r="B584" s="66">
        <f>SUBTOTAL(103,$A$558:A584)</f>
        <v>27</v>
      </c>
      <c r="C584" s="24" t="s">
        <v>563</v>
      </c>
      <c r="D584" s="31">
        <f t="shared" si="145"/>
        <v>2102735.67</v>
      </c>
      <c r="E584" s="31">
        <v>0</v>
      </c>
      <c r="F584" s="31">
        <v>0</v>
      </c>
      <c r="G584" s="31">
        <v>0</v>
      </c>
      <c r="H584" s="31">
        <v>0</v>
      </c>
      <c r="I584" s="31">
        <v>0</v>
      </c>
      <c r="J584" s="31">
        <v>0</v>
      </c>
      <c r="K584" s="33">
        <v>0</v>
      </c>
      <c r="L584" s="31">
        <v>0</v>
      </c>
      <c r="M584" s="31">
        <v>483</v>
      </c>
      <c r="N584" s="31">
        <v>1973138.59</v>
      </c>
      <c r="O584" s="31">
        <v>0</v>
      </c>
      <c r="P584" s="31">
        <v>0</v>
      </c>
      <c r="Q584" s="31">
        <v>0</v>
      </c>
      <c r="R584" s="31">
        <v>0</v>
      </c>
      <c r="S584" s="31">
        <v>0</v>
      </c>
      <c r="T584" s="31">
        <v>0</v>
      </c>
      <c r="U584" s="31">
        <v>0</v>
      </c>
      <c r="V584" s="31">
        <v>0</v>
      </c>
      <c r="W584" s="31">
        <v>0</v>
      </c>
      <c r="X584" s="31">
        <v>0</v>
      </c>
      <c r="Y584" s="31">
        <v>0</v>
      </c>
      <c r="Z584" s="31">
        <v>0</v>
      </c>
      <c r="AA584" s="31">
        <v>0</v>
      </c>
      <c r="AB584" s="31">
        <v>0</v>
      </c>
      <c r="AC584" s="31">
        <v>29597.08</v>
      </c>
      <c r="AD584" s="31">
        <v>100000</v>
      </c>
      <c r="AE584" s="31">
        <v>0</v>
      </c>
      <c r="AF584" s="34">
        <v>2021</v>
      </c>
      <c r="AG584" s="34">
        <v>2021</v>
      </c>
      <c r="AH584" s="35">
        <v>2021</v>
      </c>
      <c r="AT584" s="20" t="e">
        <f>VLOOKUP(C584,AW:AX,2,FALSE)</f>
        <v>#N/A</v>
      </c>
      <c r="BZ584" s="71"/>
      <c r="CD584" s="20" t="e">
        <f t="shared" si="143"/>
        <v>#N/A</v>
      </c>
    </row>
    <row r="585" spans="1:82" ht="61.5" x14ac:dyDescent="0.85">
      <c r="A585" s="20">
        <v>1</v>
      </c>
      <c r="B585" s="66">
        <f>SUBTOTAL(103,$A$558:A585)</f>
        <v>28</v>
      </c>
      <c r="C585" s="24" t="s">
        <v>564</v>
      </c>
      <c r="D585" s="31">
        <f t="shared" si="145"/>
        <v>2323274.2000000002</v>
      </c>
      <c r="E585" s="31">
        <v>0</v>
      </c>
      <c r="F585" s="31">
        <v>0</v>
      </c>
      <c r="G585" s="31">
        <v>0</v>
      </c>
      <c r="H585" s="31">
        <v>0</v>
      </c>
      <c r="I585" s="31">
        <v>0</v>
      </c>
      <c r="J585" s="31">
        <v>0</v>
      </c>
      <c r="K585" s="33">
        <v>0</v>
      </c>
      <c r="L585" s="31">
        <v>0</v>
      </c>
      <c r="M585" s="31">
        <v>506.2</v>
      </c>
      <c r="N585" s="31">
        <v>2190417.9300000002</v>
      </c>
      <c r="O585" s="31">
        <v>0</v>
      </c>
      <c r="P585" s="31">
        <v>0</v>
      </c>
      <c r="Q585" s="31">
        <v>0</v>
      </c>
      <c r="R585" s="31">
        <v>0</v>
      </c>
      <c r="S585" s="31">
        <v>0</v>
      </c>
      <c r="T585" s="31">
        <v>0</v>
      </c>
      <c r="U585" s="31">
        <v>0</v>
      </c>
      <c r="V585" s="31">
        <v>0</v>
      </c>
      <c r="W585" s="31">
        <v>0</v>
      </c>
      <c r="X585" s="31">
        <v>0</v>
      </c>
      <c r="Y585" s="31">
        <v>0</v>
      </c>
      <c r="Z585" s="31">
        <v>0</v>
      </c>
      <c r="AA585" s="31">
        <v>0</v>
      </c>
      <c r="AB585" s="31">
        <v>0</v>
      </c>
      <c r="AC585" s="31">
        <v>32856.269999999997</v>
      </c>
      <c r="AD585" s="31">
        <v>100000</v>
      </c>
      <c r="AE585" s="31">
        <v>0</v>
      </c>
      <c r="AF585" s="34">
        <v>2021</v>
      </c>
      <c r="AG585" s="34">
        <v>2021</v>
      </c>
      <c r="AH585" s="35">
        <v>2021</v>
      </c>
      <c r="AT585" s="20" t="e">
        <f>VLOOKUP(C585,AW:AX,2,FALSE)</f>
        <v>#N/A</v>
      </c>
      <c r="BZ585" s="71"/>
      <c r="CD585" s="20" t="e">
        <f t="shared" si="143"/>
        <v>#N/A</v>
      </c>
    </row>
    <row r="586" spans="1:82" ht="61.5" x14ac:dyDescent="0.85">
      <c r="A586" s="20">
        <v>1</v>
      </c>
      <c r="B586" s="66">
        <f>SUBTOTAL(103,$A$558:A586)</f>
        <v>29</v>
      </c>
      <c r="C586" s="24" t="s">
        <v>565</v>
      </c>
      <c r="D586" s="31">
        <f t="shared" si="145"/>
        <v>4748603.68</v>
      </c>
      <c r="E586" s="31">
        <v>0</v>
      </c>
      <c r="F586" s="31">
        <v>0</v>
      </c>
      <c r="G586" s="31">
        <v>0</v>
      </c>
      <c r="H586" s="31">
        <v>0</v>
      </c>
      <c r="I586" s="31">
        <v>0</v>
      </c>
      <c r="J586" s="31">
        <v>0</v>
      </c>
      <c r="K586" s="33">
        <v>0</v>
      </c>
      <c r="L586" s="31">
        <v>0</v>
      </c>
      <c r="M586" s="31">
        <v>960</v>
      </c>
      <c r="N586" s="31">
        <v>4579905.0999999996</v>
      </c>
      <c r="O586" s="31">
        <v>0</v>
      </c>
      <c r="P586" s="31">
        <v>0</v>
      </c>
      <c r="Q586" s="31">
        <v>0</v>
      </c>
      <c r="R586" s="31">
        <v>0</v>
      </c>
      <c r="S586" s="31">
        <v>0</v>
      </c>
      <c r="T586" s="31">
        <v>0</v>
      </c>
      <c r="U586" s="31">
        <v>0</v>
      </c>
      <c r="V586" s="31">
        <v>0</v>
      </c>
      <c r="W586" s="31">
        <v>0</v>
      </c>
      <c r="X586" s="31">
        <v>0</v>
      </c>
      <c r="Y586" s="31">
        <v>0</v>
      </c>
      <c r="Z586" s="31">
        <v>0</v>
      </c>
      <c r="AA586" s="31">
        <v>0</v>
      </c>
      <c r="AB586" s="31">
        <v>0</v>
      </c>
      <c r="AC586" s="31">
        <v>68698.58</v>
      </c>
      <c r="AD586" s="31">
        <v>100000</v>
      </c>
      <c r="AE586" s="31">
        <v>0</v>
      </c>
      <c r="AF586" s="34">
        <v>2021</v>
      </c>
      <c r="AG586" s="34">
        <v>2021</v>
      </c>
      <c r="AH586" s="35">
        <v>2021</v>
      </c>
      <c r="BZ586" s="71"/>
      <c r="CD586" s="20" t="e">
        <f t="shared" si="143"/>
        <v>#N/A</v>
      </c>
    </row>
    <row r="587" spans="1:82" ht="61.5" x14ac:dyDescent="0.85">
      <c r="A587" s="20">
        <v>1</v>
      </c>
      <c r="B587" s="66">
        <f>SUBTOTAL(103,$A$558:A587)</f>
        <v>30</v>
      </c>
      <c r="C587" s="24" t="s">
        <v>566</v>
      </c>
      <c r="D587" s="31">
        <f t="shared" si="145"/>
        <v>3977535.51</v>
      </c>
      <c r="E587" s="31">
        <v>0</v>
      </c>
      <c r="F587" s="31">
        <v>0</v>
      </c>
      <c r="G587" s="31">
        <v>0</v>
      </c>
      <c r="H587" s="31">
        <v>0</v>
      </c>
      <c r="I587" s="31">
        <v>0</v>
      </c>
      <c r="J587" s="31">
        <v>0</v>
      </c>
      <c r="K587" s="33">
        <v>0</v>
      </c>
      <c r="L587" s="31">
        <v>0</v>
      </c>
      <c r="M587" s="31">
        <v>651</v>
      </c>
      <c r="N587" s="31">
        <v>3820232.32</v>
      </c>
      <c r="O587" s="31">
        <v>0</v>
      </c>
      <c r="P587" s="31">
        <v>0</v>
      </c>
      <c r="Q587" s="31">
        <v>0</v>
      </c>
      <c r="R587" s="31">
        <v>0</v>
      </c>
      <c r="S587" s="31">
        <v>0</v>
      </c>
      <c r="T587" s="31">
        <v>0</v>
      </c>
      <c r="U587" s="31">
        <v>0</v>
      </c>
      <c r="V587" s="31">
        <v>0</v>
      </c>
      <c r="W587" s="31">
        <v>0</v>
      </c>
      <c r="X587" s="31">
        <v>0</v>
      </c>
      <c r="Y587" s="31">
        <v>0</v>
      </c>
      <c r="Z587" s="31">
        <v>0</v>
      </c>
      <c r="AA587" s="31">
        <v>0</v>
      </c>
      <c r="AB587" s="31">
        <v>0</v>
      </c>
      <c r="AC587" s="31">
        <f>57303.48-0.29</f>
        <v>57303.19</v>
      </c>
      <c r="AD587" s="31">
        <v>100000</v>
      </c>
      <c r="AE587" s="31">
        <v>0</v>
      </c>
      <c r="AF587" s="34">
        <v>2021</v>
      </c>
      <c r="AG587" s="34">
        <v>2021</v>
      </c>
      <c r="AH587" s="35">
        <v>2021</v>
      </c>
      <c r="AT587" s="20" t="e">
        <f>VLOOKUP(C587,AW:AX,2,FALSE)</f>
        <v>#N/A</v>
      </c>
      <c r="BZ587" s="71"/>
      <c r="CD587" s="20" t="e">
        <f t="shared" si="143"/>
        <v>#N/A</v>
      </c>
    </row>
    <row r="588" spans="1:82" ht="61.5" x14ac:dyDescent="0.85">
      <c r="A588" s="20">
        <v>1</v>
      </c>
      <c r="B588" s="66">
        <f>SUBTOTAL(103,$A$558:A588)</f>
        <v>31</v>
      </c>
      <c r="C588" s="24" t="s">
        <v>567</v>
      </c>
      <c r="D588" s="31">
        <f t="shared" si="145"/>
        <v>1265842.2</v>
      </c>
      <c r="E588" s="31">
        <v>0</v>
      </c>
      <c r="F588" s="31">
        <v>0</v>
      </c>
      <c r="G588" s="31">
        <v>0</v>
      </c>
      <c r="H588" s="31">
        <v>0</v>
      </c>
      <c r="I588" s="31">
        <v>0</v>
      </c>
      <c r="J588" s="31">
        <v>0</v>
      </c>
      <c r="K588" s="33">
        <v>0</v>
      </c>
      <c r="L588" s="31">
        <v>0</v>
      </c>
      <c r="M588" s="31">
        <v>287</v>
      </c>
      <c r="N588" s="31">
        <v>1148613</v>
      </c>
      <c r="O588" s="31">
        <v>0</v>
      </c>
      <c r="P588" s="31">
        <v>0</v>
      </c>
      <c r="Q588" s="31">
        <v>0</v>
      </c>
      <c r="R588" s="31">
        <v>0</v>
      </c>
      <c r="S588" s="31">
        <v>0</v>
      </c>
      <c r="T588" s="31">
        <v>0</v>
      </c>
      <c r="U588" s="31">
        <v>0</v>
      </c>
      <c r="V588" s="31">
        <v>0</v>
      </c>
      <c r="W588" s="31">
        <v>0</v>
      </c>
      <c r="X588" s="31">
        <v>0</v>
      </c>
      <c r="Y588" s="31">
        <v>0</v>
      </c>
      <c r="Z588" s="31">
        <v>0</v>
      </c>
      <c r="AA588" s="31">
        <v>0</v>
      </c>
      <c r="AB588" s="31">
        <v>0</v>
      </c>
      <c r="AC588" s="31">
        <v>17229.2</v>
      </c>
      <c r="AD588" s="31">
        <v>100000</v>
      </c>
      <c r="AE588" s="31">
        <v>0</v>
      </c>
      <c r="AF588" s="34">
        <v>2021</v>
      </c>
      <c r="AG588" s="34">
        <v>2021</v>
      </c>
      <c r="AH588" s="35">
        <v>2021</v>
      </c>
      <c r="AT588" s="20" t="e">
        <f>VLOOKUP(C588,AW:AX,2,FALSE)</f>
        <v>#N/A</v>
      </c>
      <c r="BZ588" s="71"/>
      <c r="CD588" s="20" t="e">
        <f t="shared" ref="CD588:CD619" si="148">VLOOKUP(C588,CE:CF,2,FALSE)</f>
        <v>#N/A</v>
      </c>
    </row>
    <row r="589" spans="1:82" ht="61.5" x14ac:dyDescent="0.85">
      <c r="A589" s="20">
        <v>1</v>
      </c>
      <c r="B589" s="66">
        <f>SUBTOTAL(103,$A$558:A589)</f>
        <v>32</v>
      </c>
      <c r="C589" s="24" t="s">
        <v>568</v>
      </c>
      <c r="D589" s="31">
        <f t="shared" si="145"/>
        <v>3576070.0900000003</v>
      </c>
      <c r="E589" s="31">
        <v>0</v>
      </c>
      <c r="F589" s="31">
        <v>0</v>
      </c>
      <c r="G589" s="31">
        <v>0</v>
      </c>
      <c r="H589" s="31">
        <v>0</v>
      </c>
      <c r="I589" s="31">
        <v>0</v>
      </c>
      <c r="J589" s="31">
        <v>0</v>
      </c>
      <c r="K589" s="33">
        <v>0</v>
      </c>
      <c r="L589" s="31">
        <v>0</v>
      </c>
      <c r="M589" s="31">
        <v>722</v>
      </c>
      <c r="N589" s="31">
        <v>3424699.6</v>
      </c>
      <c r="O589" s="31">
        <v>0</v>
      </c>
      <c r="P589" s="31">
        <v>0</v>
      </c>
      <c r="Q589" s="31">
        <v>0</v>
      </c>
      <c r="R589" s="31">
        <v>0</v>
      </c>
      <c r="S589" s="31">
        <v>0</v>
      </c>
      <c r="T589" s="31">
        <v>0</v>
      </c>
      <c r="U589" s="31">
        <v>0</v>
      </c>
      <c r="V589" s="31">
        <v>0</v>
      </c>
      <c r="W589" s="31">
        <v>0</v>
      </c>
      <c r="X589" s="31">
        <v>0</v>
      </c>
      <c r="Y589" s="31">
        <v>0</v>
      </c>
      <c r="Z589" s="31">
        <v>0</v>
      </c>
      <c r="AA589" s="31">
        <v>0</v>
      </c>
      <c r="AB589" s="31">
        <v>0</v>
      </c>
      <c r="AC589" s="31">
        <v>51370.49</v>
      </c>
      <c r="AD589" s="31">
        <v>100000</v>
      </c>
      <c r="AE589" s="31">
        <v>0</v>
      </c>
      <c r="AF589" s="34">
        <v>2021</v>
      </c>
      <c r="AG589" s="34">
        <v>2021</v>
      </c>
      <c r="AH589" s="35">
        <v>2021</v>
      </c>
      <c r="AT589" s="20" t="e">
        <f>VLOOKUP(C589,AW:AX,2,FALSE)</f>
        <v>#N/A</v>
      </c>
      <c r="BZ589" s="71"/>
      <c r="CD589" s="20" t="e">
        <f t="shared" si="148"/>
        <v>#N/A</v>
      </c>
    </row>
    <row r="590" spans="1:82" ht="61.5" x14ac:dyDescent="0.85">
      <c r="A590" s="20">
        <v>1</v>
      </c>
      <c r="B590" s="66">
        <f>SUBTOTAL(103,$A$558:A590)</f>
        <v>33</v>
      </c>
      <c r="C590" s="24" t="s">
        <v>569</v>
      </c>
      <c r="D590" s="31">
        <f t="shared" si="145"/>
        <v>5440026.9199999999</v>
      </c>
      <c r="E590" s="31">
        <v>0</v>
      </c>
      <c r="F590" s="31">
        <v>0</v>
      </c>
      <c r="G590" s="31">
        <v>0</v>
      </c>
      <c r="H590" s="31">
        <v>0</v>
      </c>
      <c r="I590" s="31">
        <v>0</v>
      </c>
      <c r="J590" s="31">
        <v>0</v>
      </c>
      <c r="K590" s="33">
        <v>0</v>
      </c>
      <c r="L590" s="31">
        <v>0</v>
      </c>
      <c r="M590" s="31">
        <v>1688</v>
      </c>
      <c r="N590" s="31">
        <v>5261110.2699999996</v>
      </c>
      <c r="O590" s="31">
        <v>0</v>
      </c>
      <c r="P590" s="31">
        <v>0</v>
      </c>
      <c r="Q590" s="31">
        <v>0</v>
      </c>
      <c r="R590" s="31">
        <v>0</v>
      </c>
      <c r="S590" s="31">
        <v>0</v>
      </c>
      <c r="T590" s="31">
        <v>0</v>
      </c>
      <c r="U590" s="31">
        <v>0</v>
      </c>
      <c r="V590" s="31">
        <v>0</v>
      </c>
      <c r="W590" s="31">
        <v>0</v>
      </c>
      <c r="X590" s="31">
        <v>0</v>
      </c>
      <c r="Y590" s="31">
        <v>0</v>
      </c>
      <c r="Z590" s="31">
        <v>0</v>
      </c>
      <c r="AA590" s="31">
        <v>0</v>
      </c>
      <c r="AB590" s="31">
        <v>0</v>
      </c>
      <c r="AC590" s="31">
        <v>78916.649999999994</v>
      </c>
      <c r="AD590" s="31">
        <v>100000</v>
      </c>
      <c r="AE590" s="31">
        <v>0</v>
      </c>
      <c r="AF590" s="34">
        <v>2021</v>
      </c>
      <c r="AG590" s="34">
        <v>2021</v>
      </c>
      <c r="AH590" s="35">
        <v>2021</v>
      </c>
      <c r="AT590" s="20" t="e">
        <f>VLOOKUP(C590,AW:AX,2,FALSE)</f>
        <v>#N/A</v>
      </c>
      <c r="BZ590" s="71"/>
      <c r="CD590" s="20" t="e">
        <f t="shared" si="148"/>
        <v>#N/A</v>
      </c>
    </row>
    <row r="591" spans="1:82" ht="61.5" x14ac:dyDescent="0.85">
      <c r="A591" s="20">
        <v>1</v>
      </c>
      <c r="B591" s="66">
        <f>SUBTOTAL(103,$A$558:A591)</f>
        <v>34</v>
      </c>
      <c r="C591" s="24" t="s">
        <v>570</v>
      </c>
      <c r="D591" s="31">
        <f t="shared" si="145"/>
        <v>5458332.7699999996</v>
      </c>
      <c r="E591" s="31">
        <v>0</v>
      </c>
      <c r="F591" s="31">
        <v>0</v>
      </c>
      <c r="G591" s="31">
        <v>0</v>
      </c>
      <c r="H591" s="31">
        <v>0</v>
      </c>
      <c r="I591" s="31">
        <v>0</v>
      </c>
      <c r="J591" s="31">
        <v>0</v>
      </c>
      <c r="K591" s="33">
        <v>0</v>
      </c>
      <c r="L591" s="31">
        <v>0</v>
      </c>
      <c r="M591" s="31">
        <v>1130</v>
      </c>
      <c r="N591" s="31">
        <v>5288997.8</v>
      </c>
      <c r="O591" s="31">
        <v>0</v>
      </c>
      <c r="P591" s="31">
        <v>0</v>
      </c>
      <c r="Q591" s="31">
        <v>0</v>
      </c>
      <c r="R591" s="31">
        <v>0</v>
      </c>
      <c r="S591" s="31">
        <v>0</v>
      </c>
      <c r="T591" s="31">
        <v>0</v>
      </c>
      <c r="U591" s="31">
        <v>0</v>
      </c>
      <c r="V591" s="31">
        <v>0</v>
      </c>
      <c r="W591" s="31">
        <v>0</v>
      </c>
      <c r="X591" s="31">
        <v>0</v>
      </c>
      <c r="Y591" s="31">
        <v>0</v>
      </c>
      <c r="Z591" s="31">
        <v>0</v>
      </c>
      <c r="AA591" s="31">
        <v>0</v>
      </c>
      <c r="AB591" s="31">
        <v>0</v>
      </c>
      <c r="AC591" s="31">
        <v>79334.97</v>
      </c>
      <c r="AD591" s="31">
        <v>90000</v>
      </c>
      <c r="AE591" s="31">
        <v>0</v>
      </c>
      <c r="AF591" s="34">
        <v>2021</v>
      </c>
      <c r="AG591" s="34">
        <v>2021</v>
      </c>
      <c r="AH591" s="35">
        <v>2021</v>
      </c>
      <c r="AT591" s="20" t="e">
        <f>VLOOKUP(C591,AW:AX,2,FALSE)</f>
        <v>#N/A</v>
      </c>
      <c r="BZ591" s="71"/>
      <c r="CD591" s="20" t="e">
        <f t="shared" si="148"/>
        <v>#N/A</v>
      </c>
    </row>
    <row r="592" spans="1:82" ht="61.5" x14ac:dyDescent="0.85">
      <c r="A592" s="20">
        <v>1</v>
      </c>
      <c r="B592" s="66">
        <f>SUBTOTAL(103,$A$558:A592)</f>
        <v>35</v>
      </c>
      <c r="C592" s="24" t="s">
        <v>1381</v>
      </c>
      <c r="D592" s="31">
        <f t="shared" si="145"/>
        <v>4022975</v>
      </c>
      <c r="E592" s="31">
        <v>0</v>
      </c>
      <c r="F592" s="31">
        <v>0</v>
      </c>
      <c r="G592" s="31">
        <v>0</v>
      </c>
      <c r="H592" s="31">
        <v>0</v>
      </c>
      <c r="I592" s="31">
        <v>0</v>
      </c>
      <c r="J592" s="31">
        <v>0</v>
      </c>
      <c r="K592" s="33">
        <v>0</v>
      </c>
      <c r="L592" s="31">
        <v>0</v>
      </c>
      <c r="M592" s="31">
        <v>756</v>
      </c>
      <c r="N592" s="31">
        <v>3865000</v>
      </c>
      <c r="O592" s="31">
        <v>0</v>
      </c>
      <c r="P592" s="31">
        <v>0</v>
      </c>
      <c r="Q592" s="31">
        <v>0</v>
      </c>
      <c r="R592" s="31">
        <v>0</v>
      </c>
      <c r="S592" s="31">
        <v>0</v>
      </c>
      <c r="T592" s="31">
        <v>0</v>
      </c>
      <c r="U592" s="31">
        <v>0</v>
      </c>
      <c r="V592" s="31">
        <v>0</v>
      </c>
      <c r="W592" s="31">
        <v>0</v>
      </c>
      <c r="X592" s="31">
        <v>0</v>
      </c>
      <c r="Y592" s="31">
        <v>0</v>
      </c>
      <c r="Z592" s="31">
        <v>0</v>
      </c>
      <c r="AA592" s="31">
        <v>0</v>
      </c>
      <c r="AB592" s="31">
        <v>0</v>
      </c>
      <c r="AC592" s="31">
        <v>57975</v>
      </c>
      <c r="AD592" s="31">
        <v>100000</v>
      </c>
      <c r="AE592" s="31">
        <v>0</v>
      </c>
      <c r="AF592" s="34">
        <v>2021</v>
      </c>
      <c r="AG592" s="34">
        <v>2021</v>
      </c>
      <c r="AH592" s="35">
        <v>2021</v>
      </c>
      <c r="BZ592" s="71"/>
      <c r="CD592" s="20" t="e">
        <f t="shared" si="148"/>
        <v>#N/A</v>
      </c>
    </row>
    <row r="593" spans="1:82" ht="61.5" x14ac:dyDescent="0.85">
      <c r="A593" s="20">
        <v>1</v>
      </c>
      <c r="B593" s="66">
        <f>SUBTOTAL(103,$A$558:A593)</f>
        <v>36</v>
      </c>
      <c r="C593" s="24" t="s">
        <v>1382</v>
      </c>
      <c r="D593" s="31">
        <f t="shared" si="145"/>
        <v>3214943.65</v>
      </c>
      <c r="E593" s="31">
        <v>0</v>
      </c>
      <c r="F593" s="31">
        <v>0</v>
      </c>
      <c r="G593" s="31">
        <v>0</v>
      </c>
      <c r="H593" s="31">
        <v>0</v>
      </c>
      <c r="I593" s="31">
        <v>0</v>
      </c>
      <c r="J593" s="31">
        <v>0</v>
      </c>
      <c r="K593" s="33">
        <v>0</v>
      </c>
      <c r="L593" s="31">
        <v>0</v>
      </c>
      <c r="M593" s="31">
        <v>670</v>
      </c>
      <c r="N593" s="31">
        <v>3068910</v>
      </c>
      <c r="O593" s="31">
        <v>0</v>
      </c>
      <c r="P593" s="31">
        <v>0</v>
      </c>
      <c r="Q593" s="31">
        <v>0</v>
      </c>
      <c r="R593" s="31">
        <v>0</v>
      </c>
      <c r="S593" s="31">
        <v>0</v>
      </c>
      <c r="T593" s="31">
        <v>0</v>
      </c>
      <c r="U593" s="31">
        <v>0</v>
      </c>
      <c r="V593" s="31">
        <v>0</v>
      </c>
      <c r="W593" s="31">
        <v>0</v>
      </c>
      <c r="X593" s="31">
        <v>0</v>
      </c>
      <c r="Y593" s="31">
        <v>0</v>
      </c>
      <c r="Z593" s="31">
        <v>0</v>
      </c>
      <c r="AA593" s="31">
        <v>0</v>
      </c>
      <c r="AB593" s="31">
        <v>0</v>
      </c>
      <c r="AC593" s="31">
        <v>46033.65</v>
      </c>
      <c r="AD593" s="31">
        <v>100000</v>
      </c>
      <c r="AE593" s="31">
        <v>0</v>
      </c>
      <c r="AF593" s="34">
        <v>2021</v>
      </c>
      <c r="AG593" s="34">
        <v>2021</v>
      </c>
      <c r="AH593" s="35">
        <v>2021</v>
      </c>
      <c r="BZ593" s="71"/>
      <c r="CD593" s="20" t="e">
        <f t="shared" si="148"/>
        <v>#N/A</v>
      </c>
    </row>
    <row r="594" spans="1:82" ht="61.5" x14ac:dyDescent="0.85">
      <c r="A594" s="20">
        <v>1</v>
      </c>
      <c r="B594" s="66">
        <f>SUBTOTAL(103,$A$558:A594)</f>
        <v>37</v>
      </c>
      <c r="C594" s="24" t="s">
        <v>1383</v>
      </c>
      <c r="D594" s="31">
        <f t="shared" si="145"/>
        <v>1335035.1000000001</v>
      </c>
      <c r="E594" s="31">
        <v>0</v>
      </c>
      <c r="F594" s="31">
        <v>0</v>
      </c>
      <c r="G594" s="31">
        <v>0</v>
      </c>
      <c r="H594" s="31">
        <v>0</v>
      </c>
      <c r="I594" s="31">
        <v>0</v>
      </c>
      <c r="J594" s="31">
        <v>0</v>
      </c>
      <c r="K594" s="33">
        <v>0</v>
      </c>
      <c r="L594" s="31">
        <v>0</v>
      </c>
      <c r="M594" s="31">
        <v>272.05</v>
      </c>
      <c r="N594" s="31">
        <v>1246340</v>
      </c>
      <c r="O594" s="31">
        <v>0</v>
      </c>
      <c r="P594" s="31">
        <v>0</v>
      </c>
      <c r="Q594" s="31">
        <v>0</v>
      </c>
      <c r="R594" s="31">
        <v>0</v>
      </c>
      <c r="S594" s="31">
        <v>0</v>
      </c>
      <c r="T594" s="31">
        <v>0</v>
      </c>
      <c r="U594" s="31">
        <v>0</v>
      </c>
      <c r="V594" s="31">
        <v>0</v>
      </c>
      <c r="W594" s="31">
        <v>0</v>
      </c>
      <c r="X594" s="31">
        <v>0</v>
      </c>
      <c r="Y594" s="31">
        <v>0</v>
      </c>
      <c r="Z594" s="31">
        <v>0</v>
      </c>
      <c r="AA594" s="31">
        <v>0</v>
      </c>
      <c r="AB594" s="31">
        <v>0</v>
      </c>
      <c r="AC594" s="31">
        <v>18695.099999999999</v>
      </c>
      <c r="AD594" s="31">
        <v>70000</v>
      </c>
      <c r="AE594" s="31">
        <v>0</v>
      </c>
      <c r="AF594" s="34">
        <v>2021</v>
      </c>
      <c r="AG594" s="34">
        <v>2021</v>
      </c>
      <c r="AH594" s="35">
        <v>2021</v>
      </c>
      <c r="BZ594" s="71"/>
      <c r="CD594" s="20" t="e">
        <f t="shared" si="148"/>
        <v>#N/A</v>
      </c>
    </row>
    <row r="595" spans="1:82" ht="61.5" x14ac:dyDescent="0.85">
      <c r="A595" s="20">
        <v>1</v>
      </c>
      <c r="B595" s="66">
        <f>SUBTOTAL(103,$A$558:A595)</f>
        <v>38</v>
      </c>
      <c r="C595" s="24" t="s">
        <v>1384</v>
      </c>
      <c r="D595" s="31">
        <f t="shared" si="145"/>
        <v>4219164.3499999996</v>
      </c>
      <c r="E595" s="31">
        <v>0</v>
      </c>
      <c r="F595" s="31">
        <v>0</v>
      </c>
      <c r="G595" s="31">
        <v>0</v>
      </c>
      <c r="H595" s="31">
        <v>0</v>
      </c>
      <c r="I595" s="31">
        <v>0</v>
      </c>
      <c r="J595" s="31">
        <v>0</v>
      </c>
      <c r="K595" s="33">
        <v>0</v>
      </c>
      <c r="L595" s="31">
        <v>0</v>
      </c>
      <c r="M595" s="31">
        <v>886</v>
      </c>
      <c r="N595" s="31">
        <v>4058290</v>
      </c>
      <c r="O595" s="31">
        <v>0</v>
      </c>
      <c r="P595" s="31">
        <v>0</v>
      </c>
      <c r="Q595" s="31">
        <v>0</v>
      </c>
      <c r="R595" s="31">
        <v>0</v>
      </c>
      <c r="S595" s="31">
        <v>0</v>
      </c>
      <c r="T595" s="31">
        <v>0</v>
      </c>
      <c r="U595" s="31">
        <v>0</v>
      </c>
      <c r="V595" s="31">
        <v>0</v>
      </c>
      <c r="W595" s="31">
        <v>0</v>
      </c>
      <c r="X595" s="31">
        <v>0</v>
      </c>
      <c r="Y595" s="31">
        <v>0</v>
      </c>
      <c r="Z595" s="31">
        <v>0</v>
      </c>
      <c r="AA595" s="31">
        <v>0</v>
      </c>
      <c r="AB595" s="31">
        <v>0</v>
      </c>
      <c r="AC595" s="31">
        <v>60874.35</v>
      </c>
      <c r="AD595" s="31">
        <v>100000</v>
      </c>
      <c r="AE595" s="31">
        <v>0</v>
      </c>
      <c r="AF595" s="34">
        <v>2021</v>
      </c>
      <c r="AG595" s="34">
        <v>2021</v>
      </c>
      <c r="AH595" s="35">
        <v>2021</v>
      </c>
      <c r="BZ595" s="71"/>
      <c r="CD595" s="20" t="e">
        <f t="shared" si="148"/>
        <v>#N/A</v>
      </c>
    </row>
    <row r="596" spans="1:82" ht="61.5" x14ac:dyDescent="0.85">
      <c r="A596" s="20">
        <v>1</v>
      </c>
      <c r="B596" s="66">
        <f>SUBTOTAL(103,$A$558:A596)</f>
        <v>39</v>
      </c>
      <c r="C596" s="24" t="s">
        <v>1385</v>
      </c>
      <c r="D596" s="31">
        <f t="shared" si="145"/>
        <v>3434742.09</v>
      </c>
      <c r="E596" s="31">
        <v>0</v>
      </c>
      <c r="F596" s="31">
        <v>0</v>
      </c>
      <c r="G596" s="31">
        <v>0</v>
      </c>
      <c r="H596" s="31">
        <v>0</v>
      </c>
      <c r="I596" s="31">
        <v>0</v>
      </c>
      <c r="J596" s="31">
        <v>0</v>
      </c>
      <c r="K596" s="33">
        <v>0</v>
      </c>
      <c r="L596" s="31">
        <v>0</v>
      </c>
      <c r="M596" s="31">
        <v>630</v>
      </c>
      <c r="N596" s="31">
        <v>3285460.19</v>
      </c>
      <c r="O596" s="31">
        <v>0</v>
      </c>
      <c r="P596" s="31">
        <v>0</v>
      </c>
      <c r="Q596" s="31">
        <v>0</v>
      </c>
      <c r="R596" s="31">
        <v>0</v>
      </c>
      <c r="S596" s="31">
        <v>0</v>
      </c>
      <c r="T596" s="31">
        <v>0</v>
      </c>
      <c r="U596" s="31">
        <v>0</v>
      </c>
      <c r="V596" s="31">
        <v>0</v>
      </c>
      <c r="W596" s="31">
        <v>0</v>
      </c>
      <c r="X596" s="31">
        <v>0</v>
      </c>
      <c r="Y596" s="31">
        <v>0</v>
      </c>
      <c r="Z596" s="31">
        <v>0</v>
      </c>
      <c r="AA596" s="31">
        <v>0</v>
      </c>
      <c r="AB596" s="31">
        <v>0</v>
      </c>
      <c r="AC596" s="31">
        <v>49281.9</v>
      </c>
      <c r="AD596" s="31">
        <v>100000</v>
      </c>
      <c r="AE596" s="31">
        <v>0</v>
      </c>
      <c r="AF596" s="34">
        <v>2021</v>
      </c>
      <c r="AG596" s="34">
        <v>2021</v>
      </c>
      <c r="AH596" s="35">
        <v>2021</v>
      </c>
      <c r="BZ596" s="71"/>
      <c r="CD596" s="20" t="e">
        <f t="shared" si="148"/>
        <v>#N/A</v>
      </c>
    </row>
    <row r="597" spans="1:82" ht="61.5" x14ac:dyDescent="0.85">
      <c r="A597" s="20">
        <v>1</v>
      </c>
      <c r="B597" s="66">
        <f>SUBTOTAL(103,$A$558:A597)</f>
        <v>40</v>
      </c>
      <c r="C597" s="24" t="s">
        <v>501</v>
      </c>
      <c r="D597" s="31">
        <f t="shared" si="145"/>
        <v>5709375</v>
      </c>
      <c r="E597" s="31">
        <v>0</v>
      </c>
      <c r="F597" s="31">
        <v>0</v>
      </c>
      <c r="G597" s="31">
        <v>0</v>
      </c>
      <c r="H597" s="31">
        <v>0</v>
      </c>
      <c r="I597" s="31">
        <v>0</v>
      </c>
      <c r="J597" s="31">
        <v>0</v>
      </c>
      <c r="K597" s="33">
        <v>0</v>
      </c>
      <c r="L597" s="31">
        <v>0</v>
      </c>
      <c r="M597" s="31">
        <v>0</v>
      </c>
      <c r="N597" s="31">
        <v>0</v>
      </c>
      <c r="O597" s="31">
        <v>0</v>
      </c>
      <c r="P597" s="31">
        <v>0</v>
      </c>
      <c r="Q597" s="31">
        <v>2002</v>
      </c>
      <c r="R597" s="31">
        <v>5625000</v>
      </c>
      <c r="S597" s="31">
        <v>0</v>
      </c>
      <c r="T597" s="31">
        <v>0</v>
      </c>
      <c r="U597" s="31">
        <v>0</v>
      </c>
      <c r="V597" s="31">
        <v>0</v>
      </c>
      <c r="W597" s="31">
        <v>0</v>
      </c>
      <c r="X597" s="31">
        <v>0</v>
      </c>
      <c r="Y597" s="31">
        <v>0</v>
      </c>
      <c r="Z597" s="31">
        <v>0</v>
      </c>
      <c r="AA597" s="31">
        <v>0</v>
      </c>
      <c r="AB597" s="31">
        <v>0</v>
      </c>
      <c r="AC597" s="31">
        <v>84375</v>
      </c>
      <c r="AD597" s="31">
        <v>0</v>
      </c>
      <c r="AE597" s="31">
        <v>0</v>
      </c>
      <c r="AF597" s="34" t="s">
        <v>270</v>
      </c>
      <c r="AG597" s="34">
        <v>2021</v>
      </c>
      <c r="AH597" s="35">
        <v>2021</v>
      </c>
      <c r="BZ597" s="71"/>
      <c r="CD597" s="20" t="e">
        <f t="shared" si="148"/>
        <v>#N/A</v>
      </c>
    </row>
    <row r="598" spans="1:82" ht="61.5" x14ac:dyDescent="0.85">
      <c r="A598" s="20">
        <v>1</v>
      </c>
      <c r="B598" s="66">
        <f>SUBTOTAL(103,$A$558:A598)</f>
        <v>41</v>
      </c>
      <c r="C598" s="24" t="s">
        <v>1071</v>
      </c>
      <c r="D598" s="31">
        <f t="shared" si="145"/>
        <v>2783418.81</v>
      </c>
      <c r="E598" s="31">
        <v>0</v>
      </c>
      <c r="F598" s="31">
        <v>0</v>
      </c>
      <c r="G598" s="31">
        <v>0</v>
      </c>
      <c r="H598" s="31">
        <v>0</v>
      </c>
      <c r="I598" s="31">
        <v>0</v>
      </c>
      <c r="J598" s="31">
        <v>0</v>
      </c>
      <c r="K598" s="33">
        <v>0</v>
      </c>
      <c r="L598" s="31">
        <v>0</v>
      </c>
      <c r="M598" s="31">
        <v>0</v>
      </c>
      <c r="N598" s="31">
        <v>0</v>
      </c>
      <c r="O598" s="31">
        <v>0</v>
      </c>
      <c r="P598" s="31">
        <v>0</v>
      </c>
      <c r="Q598" s="31">
        <v>860</v>
      </c>
      <c r="R598" s="31">
        <v>2742284.54</v>
      </c>
      <c r="S598" s="31">
        <v>0</v>
      </c>
      <c r="T598" s="31">
        <v>0</v>
      </c>
      <c r="U598" s="31">
        <v>0</v>
      </c>
      <c r="V598" s="31">
        <v>0</v>
      </c>
      <c r="W598" s="31">
        <v>0</v>
      </c>
      <c r="X598" s="31">
        <v>0</v>
      </c>
      <c r="Y598" s="31">
        <v>0</v>
      </c>
      <c r="Z598" s="31">
        <v>0</v>
      </c>
      <c r="AA598" s="31">
        <v>0</v>
      </c>
      <c r="AB598" s="31">
        <v>0</v>
      </c>
      <c r="AC598" s="31">
        <v>41134.269999999997</v>
      </c>
      <c r="AD598" s="31">
        <v>0</v>
      </c>
      <c r="AE598" s="31">
        <v>0</v>
      </c>
      <c r="AF598" s="34" t="s">
        <v>270</v>
      </c>
      <c r="AG598" s="34">
        <v>2021</v>
      </c>
      <c r="AH598" s="35">
        <v>2021</v>
      </c>
      <c r="BZ598" s="71"/>
      <c r="CD598" s="20" t="e">
        <f t="shared" si="148"/>
        <v>#N/A</v>
      </c>
    </row>
    <row r="599" spans="1:82" ht="61.5" x14ac:dyDescent="0.85">
      <c r="A599" s="20">
        <v>1</v>
      </c>
      <c r="B599" s="66">
        <f>SUBTOTAL(103,$A$558:A599)</f>
        <v>42</v>
      </c>
      <c r="C599" s="24" t="s">
        <v>1404</v>
      </c>
      <c r="D599" s="31">
        <f t="shared" si="145"/>
        <v>3863646.31</v>
      </c>
      <c r="E599" s="31">
        <v>0</v>
      </c>
      <c r="F599" s="31">
        <v>0</v>
      </c>
      <c r="G599" s="31">
        <v>0</v>
      </c>
      <c r="H599" s="31">
        <v>0</v>
      </c>
      <c r="I599" s="31">
        <v>0</v>
      </c>
      <c r="J599" s="31">
        <v>0</v>
      </c>
      <c r="K599" s="33">
        <v>0</v>
      </c>
      <c r="L599" s="31">
        <v>0</v>
      </c>
      <c r="M599" s="31">
        <v>931.14</v>
      </c>
      <c r="N599" s="31">
        <v>3806548.09</v>
      </c>
      <c r="O599" s="31">
        <v>0</v>
      </c>
      <c r="P599" s="31">
        <v>0</v>
      </c>
      <c r="Q599" s="31">
        <v>0</v>
      </c>
      <c r="R599" s="31">
        <v>0</v>
      </c>
      <c r="S599" s="31">
        <v>0</v>
      </c>
      <c r="T599" s="31">
        <v>0</v>
      </c>
      <c r="U599" s="31">
        <v>0</v>
      </c>
      <c r="V599" s="31">
        <v>0</v>
      </c>
      <c r="W599" s="31">
        <v>0</v>
      </c>
      <c r="X599" s="31">
        <v>0</v>
      </c>
      <c r="Y599" s="31">
        <v>0</v>
      </c>
      <c r="Z599" s="31">
        <v>0</v>
      </c>
      <c r="AA599" s="31">
        <v>0</v>
      </c>
      <c r="AB599" s="31">
        <v>0</v>
      </c>
      <c r="AC599" s="31">
        <v>57098.22</v>
      </c>
      <c r="AD599" s="31">
        <v>0</v>
      </c>
      <c r="AE599" s="31">
        <v>0</v>
      </c>
      <c r="AF599" s="34" t="s">
        <v>270</v>
      </c>
      <c r="AG599" s="34">
        <v>2021</v>
      </c>
      <c r="AH599" s="35">
        <v>2021</v>
      </c>
      <c r="BZ599" s="71"/>
      <c r="CD599" s="20" t="e">
        <f t="shared" si="148"/>
        <v>#N/A</v>
      </c>
    </row>
    <row r="600" spans="1:82" ht="61.5" x14ac:dyDescent="0.85">
      <c r="A600" s="20">
        <v>1</v>
      </c>
      <c r="B600" s="66">
        <f>SUBTOTAL(103,$A$558:A600)</f>
        <v>43</v>
      </c>
      <c r="C600" s="24" t="s">
        <v>1377</v>
      </c>
      <c r="D600" s="31">
        <f t="shared" si="145"/>
        <v>1040953.78</v>
      </c>
      <c r="E600" s="31">
        <v>0</v>
      </c>
      <c r="F600" s="31">
        <v>0</v>
      </c>
      <c r="G600" s="31">
        <v>0</v>
      </c>
      <c r="H600" s="31">
        <v>0</v>
      </c>
      <c r="I600" s="31">
        <v>0</v>
      </c>
      <c r="J600" s="31">
        <v>0</v>
      </c>
      <c r="K600" s="33">
        <v>0</v>
      </c>
      <c r="L600" s="31">
        <v>0</v>
      </c>
      <c r="M600" s="31">
        <v>0</v>
      </c>
      <c r="N600" s="31">
        <v>0</v>
      </c>
      <c r="O600" s="31">
        <v>0</v>
      </c>
      <c r="P600" s="31">
        <v>0</v>
      </c>
      <c r="Q600" s="31">
        <v>554</v>
      </c>
      <c r="R600" s="31">
        <v>1025570.23</v>
      </c>
      <c r="S600" s="31">
        <v>0</v>
      </c>
      <c r="T600" s="31">
        <v>0</v>
      </c>
      <c r="U600" s="31">
        <v>0</v>
      </c>
      <c r="V600" s="31">
        <v>0</v>
      </c>
      <c r="W600" s="31">
        <v>0</v>
      </c>
      <c r="X600" s="31">
        <v>0</v>
      </c>
      <c r="Y600" s="31">
        <v>0</v>
      </c>
      <c r="Z600" s="31">
        <v>0</v>
      </c>
      <c r="AA600" s="31">
        <v>0</v>
      </c>
      <c r="AB600" s="31">
        <v>0</v>
      </c>
      <c r="AC600" s="31">
        <v>15383.55</v>
      </c>
      <c r="AD600" s="31">
        <v>0</v>
      </c>
      <c r="AE600" s="31">
        <v>0</v>
      </c>
      <c r="AF600" s="34" t="s">
        <v>270</v>
      </c>
      <c r="AG600" s="34">
        <v>2021</v>
      </c>
      <c r="AH600" s="35">
        <v>2021</v>
      </c>
      <c r="BZ600" s="71"/>
      <c r="CD600" s="20" t="e">
        <f t="shared" si="148"/>
        <v>#N/A</v>
      </c>
    </row>
    <row r="601" spans="1:82" ht="61.5" x14ac:dyDescent="0.85">
      <c r="A601" s="20">
        <v>1</v>
      </c>
      <c r="B601" s="66">
        <f>SUBTOTAL(103,$A$558:A601)</f>
        <v>44</v>
      </c>
      <c r="C601" s="24" t="s">
        <v>1119</v>
      </c>
      <c r="D601" s="31">
        <f t="shared" si="145"/>
        <v>1338055.4100000001</v>
      </c>
      <c r="E601" s="31">
        <v>0</v>
      </c>
      <c r="F601" s="31">
        <v>0</v>
      </c>
      <c r="G601" s="31">
        <v>0</v>
      </c>
      <c r="H601" s="31">
        <v>0</v>
      </c>
      <c r="I601" s="31">
        <v>0</v>
      </c>
      <c r="J601" s="31">
        <v>0</v>
      </c>
      <c r="K601" s="33">
        <v>0</v>
      </c>
      <c r="L601" s="31">
        <v>0</v>
      </c>
      <c r="M601" s="31">
        <v>0</v>
      </c>
      <c r="N601" s="31">
        <v>0</v>
      </c>
      <c r="O601" s="31">
        <v>278</v>
      </c>
      <c r="P601" s="31">
        <v>1318378.6100000001</v>
      </c>
      <c r="Q601" s="31">
        <v>0</v>
      </c>
      <c r="R601" s="31">
        <v>0</v>
      </c>
      <c r="S601" s="31">
        <v>0</v>
      </c>
      <c r="T601" s="31">
        <v>0</v>
      </c>
      <c r="U601" s="31">
        <v>0</v>
      </c>
      <c r="V601" s="31">
        <v>0</v>
      </c>
      <c r="W601" s="31">
        <v>0</v>
      </c>
      <c r="X601" s="31">
        <v>0</v>
      </c>
      <c r="Y601" s="31">
        <v>0</v>
      </c>
      <c r="Z601" s="31">
        <v>0</v>
      </c>
      <c r="AA601" s="31">
        <v>0</v>
      </c>
      <c r="AB601" s="31">
        <v>0</v>
      </c>
      <c r="AC601" s="31">
        <v>19676.8</v>
      </c>
      <c r="AD601" s="31">
        <v>0</v>
      </c>
      <c r="AE601" s="31">
        <v>0</v>
      </c>
      <c r="AF601" s="34" t="s">
        <v>270</v>
      </c>
      <c r="AG601" s="34">
        <v>2021</v>
      </c>
      <c r="AH601" s="35">
        <v>2021</v>
      </c>
      <c r="BZ601" s="71"/>
      <c r="CD601" s="20" t="e">
        <f t="shared" si="148"/>
        <v>#N/A</v>
      </c>
    </row>
    <row r="602" spans="1:82" ht="61.5" x14ac:dyDescent="0.85">
      <c r="A602" s="20">
        <v>1</v>
      </c>
      <c r="B602" s="66">
        <f>SUBTOTAL(103,$A$558:A602)</f>
        <v>45</v>
      </c>
      <c r="C602" s="24" t="s">
        <v>1120</v>
      </c>
      <c r="D602" s="31">
        <f t="shared" si="145"/>
        <v>221655.15999999997</v>
      </c>
      <c r="E602" s="31">
        <v>102509.44</v>
      </c>
      <c r="F602" s="31">
        <v>0</v>
      </c>
      <c r="G602" s="31">
        <v>0</v>
      </c>
      <c r="H602" s="31">
        <v>115886.17</v>
      </c>
      <c r="I602" s="31">
        <v>0</v>
      </c>
      <c r="J602" s="31">
        <v>0</v>
      </c>
      <c r="K602" s="33">
        <v>0</v>
      </c>
      <c r="L602" s="31">
        <v>0</v>
      </c>
      <c r="M602" s="31">
        <v>0</v>
      </c>
      <c r="N602" s="31">
        <v>0</v>
      </c>
      <c r="O602" s="31">
        <v>0</v>
      </c>
      <c r="P602" s="31">
        <v>0</v>
      </c>
      <c r="Q602" s="31">
        <v>0</v>
      </c>
      <c r="R602" s="31">
        <v>0</v>
      </c>
      <c r="S602" s="31">
        <v>0</v>
      </c>
      <c r="T602" s="31">
        <v>0</v>
      </c>
      <c r="U602" s="31">
        <v>0</v>
      </c>
      <c r="V602" s="31">
        <v>0</v>
      </c>
      <c r="W602" s="31">
        <v>0</v>
      </c>
      <c r="X602" s="31">
        <v>0</v>
      </c>
      <c r="Y602" s="31">
        <v>0</v>
      </c>
      <c r="Z602" s="31">
        <v>0</v>
      </c>
      <c r="AA602" s="31">
        <v>0</v>
      </c>
      <c r="AB602" s="31">
        <v>0</v>
      </c>
      <c r="AC602" s="31">
        <v>3259.55</v>
      </c>
      <c r="AD602" s="31">
        <v>0</v>
      </c>
      <c r="AE602" s="31">
        <v>0</v>
      </c>
      <c r="AF602" s="34" t="s">
        <v>270</v>
      </c>
      <c r="AG602" s="34">
        <v>2021</v>
      </c>
      <c r="AH602" s="35">
        <v>2021</v>
      </c>
      <c r="BZ602" s="71"/>
      <c r="CD602" s="20" t="e">
        <f t="shared" si="148"/>
        <v>#N/A</v>
      </c>
    </row>
    <row r="603" spans="1:82" ht="61.5" x14ac:dyDescent="0.85">
      <c r="A603" s="20">
        <v>1</v>
      </c>
      <c r="B603" s="66">
        <f>SUBTOTAL(103,$A$558:A603)</f>
        <v>46</v>
      </c>
      <c r="C603" s="24" t="s">
        <v>1122</v>
      </c>
      <c r="D603" s="31">
        <f t="shared" si="145"/>
        <v>2839946.57</v>
      </c>
      <c r="E603" s="31">
        <v>0</v>
      </c>
      <c r="F603" s="31">
        <v>0</v>
      </c>
      <c r="G603" s="31">
        <v>0</v>
      </c>
      <c r="H603" s="31">
        <v>0</v>
      </c>
      <c r="I603" s="31">
        <v>0</v>
      </c>
      <c r="J603" s="31">
        <v>0</v>
      </c>
      <c r="K603" s="33">
        <v>0</v>
      </c>
      <c r="L603" s="31">
        <v>0</v>
      </c>
      <c r="M603" s="31">
        <v>453.4</v>
      </c>
      <c r="N603" s="31">
        <v>2797976.92</v>
      </c>
      <c r="O603" s="31">
        <v>0</v>
      </c>
      <c r="P603" s="31">
        <v>0</v>
      </c>
      <c r="Q603" s="31">
        <v>0</v>
      </c>
      <c r="R603" s="31">
        <v>0</v>
      </c>
      <c r="S603" s="31">
        <v>0</v>
      </c>
      <c r="T603" s="31">
        <v>0</v>
      </c>
      <c r="U603" s="31">
        <v>0</v>
      </c>
      <c r="V603" s="31">
        <v>0</v>
      </c>
      <c r="W603" s="31">
        <v>0</v>
      </c>
      <c r="X603" s="31">
        <v>0</v>
      </c>
      <c r="Y603" s="31">
        <v>0</v>
      </c>
      <c r="Z603" s="31">
        <v>0</v>
      </c>
      <c r="AA603" s="31">
        <v>0</v>
      </c>
      <c r="AB603" s="31">
        <v>0</v>
      </c>
      <c r="AC603" s="31">
        <v>41969.65</v>
      </c>
      <c r="AD603" s="31">
        <v>0</v>
      </c>
      <c r="AE603" s="31">
        <v>0</v>
      </c>
      <c r="AF603" s="34" t="s">
        <v>270</v>
      </c>
      <c r="AG603" s="34">
        <v>2021</v>
      </c>
      <c r="AH603" s="35">
        <v>2021</v>
      </c>
      <c r="BZ603" s="71"/>
      <c r="CD603" s="20">
        <f t="shared" si="148"/>
        <v>453.4</v>
      </c>
    </row>
    <row r="604" spans="1:82" ht="61.5" x14ac:dyDescent="0.85">
      <c r="A604" s="20">
        <v>1</v>
      </c>
      <c r="B604" s="66">
        <f>SUBTOTAL(103,$A$558:A604)</f>
        <v>47</v>
      </c>
      <c r="C604" s="24" t="s">
        <v>1125</v>
      </c>
      <c r="D604" s="31">
        <f t="shared" si="145"/>
        <v>3246745.9499999997</v>
      </c>
      <c r="E604" s="31">
        <v>0</v>
      </c>
      <c r="F604" s="31">
        <v>0</v>
      </c>
      <c r="G604" s="31">
        <v>0</v>
      </c>
      <c r="H604" s="31">
        <v>0</v>
      </c>
      <c r="I604" s="31">
        <v>0</v>
      </c>
      <c r="J604" s="31">
        <v>0</v>
      </c>
      <c r="K604" s="33">
        <v>0</v>
      </c>
      <c r="L604" s="31">
        <v>0</v>
      </c>
      <c r="M604" s="31">
        <v>1093</v>
      </c>
      <c r="N604" s="31">
        <v>3199000.86</v>
      </c>
      <c r="O604" s="31">
        <v>0</v>
      </c>
      <c r="P604" s="31">
        <v>0</v>
      </c>
      <c r="Q604" s="31">
        <v>0</v>
      </c>
      <c r="R604" s="31">
        <v>0</v>
      </c>
      <c r="S604" s="31">
        <v>0</v>
      </c>
      <c r="T604" s="31">
        <v>0</v>
      </c>
      <c r="U604" s="31">
        <v>0</v>
      </c>
      <c r="V604" s="31">
        <v>0</v>
      </c>
      <c r="W604" s="31">
        <v>0</v>
      </c>
      <c r="X604" s="31">
        <v>0</v>
      </c>
      <c r="Y604" s="31">
        <v>0</v>
      </c>
      <c r="Z604" s="31">
        <v>0</v>
      </c>
      <c r="AA604" s="31">
        <v>0</v>
      </c>
      <c r="AB604" s="31">
        <v>0</v>
      </c>
      <c r="AC604" s="31">
        <v>47745.09</v>
      </c>
      <c r="AD604" s="31">
        <v>0</v>
      </c>
      <c r="AE604" s="31">
        <v>0</v>
      </c>
      <c r="AF604" s="34" t="s">
        <v>270</v>
      </c>
      <c r="AG604" s="34">
        <v>2021</v>
      </c>
      <c r="AH604" s="35">
        <v>2021</v>
      </c>
      <c r="BZ604" s="71"/>
      <c r="CD604" s="20">
        <f t="shared" si="148"/>
        <v>1093</v>
      </c>
    </row>
    <row r="605" spans="1:82" ht="61.5" x14ac:dyDescent="0.85">
      <c r="A605" s="20">
        <v>1</v>
      </c>
      <c r="B605" s="66">
        <f>SUBTOTAL(103,$A$558:A605)</f>
        <v>48</v>
      </c>
      <c r="C605" s="24" t="s">
        <v>1136</v>
      </c>
      <c r="D605" s="31">
        <f t="shared" si="145"/>
        <v>2490072.1</v>
      </c>
      <c r="E605" s="31">
        <v>0</v>
      </c>
      <c r="F605" s="31">
        <v>0</v>
      </c>
      <c r="G605" s="31">
        <v>0</v>
      </c>
      <c r="H605" s="31">
        <v>0</v>
      </c>
      <c r="I605" s="31">
        <v>0</v>
      </c>
      <c r="J605" s="31">
        <v>0</v>
      </c>
      <c r="K605" s="33">
        <v>0</v>
      </c>
      <c r="L605" s="31">
        <v>0</v>
      </c>
      <c r="M605" s="31">
        <v>543.4</v>
      </c>
      <c r="N605" s="31">
        <v>2453273</v>
      </c>
      <c r="O605" s="31">
        <v>0</v>
      </c>
      <c r="P605" s="31">
        <v>0</v>
      </c>
      <c r="Q605" s="31">
        <v>0</v>
      </c>
      <c r="R605" s="31">
        <v>0</v>
      </c>
      <c r="S605" s="31">
        <v>0</v>
      </c>
      <c r="T605" s="31">
        <v>0</v>
      </c>
      <c r="U605" s="31">
        <v>0</v>
      </c>
      <c r="V605" s="31">
        <v>0</v>
      </c>
      <c r="W605" s="31">
        <v>0</v>
      </c>
      <c r="X605" s="31">
        <v>0</v>
      </c>
      <c r="Y605" s="31">
        <v>0</v>
      </c>
      <c r="Z605" s="31">
        <v>0</v>
      </c>
      <c r="AA605" s="31">
        <v>0</v>
      </c>
      <c r="AB605" s="31">
        <v>0</v>
      </c>
      <c r="AC605" s="31">
        <v>36799.1</v>
      </c>
      <c r="AD605" s="31">
        <v>0</v>
      </c>
      <c r="AE605" s="31">
        <v>0</v>
      </c>
      <c r="AF605" s="34" t="s">
        <v>270</v>
      </c>
      <c r="AG605" s="34">
        <v>2021</v>
      </c>
      <c r="AH605" s="35">
        <v>2021</v>
      </c>
      <c r="BZ605" s="71"/>
      <c r="CD605" s="20" t="e">
        <f t="shared" si="148"/>
        <v>#N/A</v>
      </c>
    </row>
    <row r="606" spans="1:82" ht="61.5" x14ac:dyDescent="0.85">
      <c r="A606" s="20">
        <v>1</v>
      </c>
      <c r="B606" s="66">
        <f>SUBTOTAL(103,$A$558:A606)</f>
        <v>49</v>
      </c>
      <c r="C606" s="24" t="s">
        <v>1137</v>
      </c>
      <c r="D606" s="31">
        <f t="shared" si="145"/>
        <v>2875925.36</v>
      </c>
      <c r="E606" s="31">
        <v>0</v>
      </c>
      <c r="F606" s="31">
        <v>0</v>
      </c>
      <c r="G606" s="31">
        <v>0</v>
      </c>
      <c r="H606" s="31">
        <v>0</v>
      </c>
      <c r="I606" s="31">
        <v>0</v>
      </c>
      <c r="J606" s="31">
        <v>0</v>
      </c>
      <c r="K606" s="33">
        <v>0</v>
      </c>
      <c r="L606" s="31">
        <v>0</v>
      </c>
      <c r="M606" s="31">
        <v>665</v>
      </c>
      <c r="N606" s="31">
        <v>2833424</v>
      </c>
      <c r="O606" s="31">
        <v>0</v>
      </c>
      <c r="P606" s="31">
        <v>0</v>
      </c>
      <c r="Q606" s="31">
        <v>0</v>
      </c>
      <c r="R606" s="31">
        <v>0</v>
      </c>
      <c r="S606" s="31">
        <v>0</v>
      </c>
      <c r="T606" s="31">
        <v>0</v>
      </c>
      <c r="U606" s="31">
        <v>0</v>
      </c>
      <c r="V606" s="31">
        <v>0</v>
      </c>
      <c r="W606" s="31">
        <v>0</v>
      </c>
      <c r="X606" s="31">
        <v>0</v>
      </c>
      <c r="Y606" s="31">
        <v>0</v>
      </c>
      <c r="Z606" s="31">
        <v>0</v>
      </c>
      <c r="AA606" s="31">
        <v>0</v>
      </c>
      <c r="AB606" s="31">
        <v>0</v>
      </c>
      <c r="AC606" s="31">
        <v>42501.36</v>
      </c>
      <c r="AD606" s="31">
        <v>0</v>
      </c>
      <c r="AE606" s="31">
        <v>0</v>
      </c>
      <c r="AF606" s="34" t="s">
        <v>270</v>
      </c>
      <c r="AG606" s="34">
        <v>2021</v>
      </c>
      <c r="AH606" s="35">
        <v>2021</v>
      </c>
      <c r="BZ606" s="71"/>
      <c r="CD606" s="20" t="e">
        <f t="shared" si="148"/>
        <v>#N/A</v>
      </c>
    </row>
    <row r="607" spans="1:82" ht="61.5" x14ac:dyDescent="0.85">
      <c r="A607" s="20">
        <v>1</v>
      </c>
      <c r="B607" s="66">
        <f>SUBTOTAL(103,$A$558:A607)</f>
        <v>50</v>
      </c>
      <c r="C607" s="24" t="s">
        <v>1626</v>
      </c>
      <c r="D607" s="31">
        <f t="shared" si="145"/>
        <v>3926550</v>
      </c>
      <c r="E607" s="31">
        <v>0</v>
      </c>
      <c r="F607" s="31">
        <v>0</v>
      </c>
      <c r="G607" s="31">
        <v>0</v>
      </c>
      <c r="H607" s="31">
        <v>0</v>
      </c>
      <c r="I607" s="31">
        <v>0</v>
      </c>
      <c r="J607" s="31">
        <v>0</v>
      </c>
      <c r="K607" s="33">
        <v>0</v>
      </c>
      <c r="L607" s="31">
        <v>0</v>
      </c>
      <c r="M607" s="31">
        <v>900</v>
      </c>
      <c r="N607" s="31">
        <v>3770000</v>
      </c>
      <c r="O607" s="31">
        <v>0</v>
      </c>
      <c r="P607" s="31">
        <v>0</v>
      </c>
      <c r="Q607" s="31">
        <v>0</v>
      </c>
      <c r="R607" s="31">
        <v>0</v>
      </c>
      <c r="S607" s="31">
        <v>0</v>
      </c>
      <c r="T607" s="31">
        <v>0</v>
      </c>
      <c r="U607" s="31">
        <v>0</v>
      </c>
      <c r="V607" s="31">
        <v>0</v>
      </c>
      <c r="W607" s="31">
        <v>0</v>
      </c>
      <c r="X607" s="31">
        <v>0</v>
      </c>
      <c r="Y607" s="31">
        <v>0</v>
      </c>
      <c r="Z607" s="31">
        <v>0</v>
      </c>
      <c r="AA607" s="31">
        <v>0</v>
      </c>
      <c r="AB607" s="31">
        <v>0</v>
      </c>
      <c r="AC607" s="31">
        <v>56550</v>
      </c>
      <c r="AD607" s="31">
        <v>100000</v>
      </c>
      <c r="AE607" s="31">
        <v>0</v>
      </c>
      <c r="AF607" s="34">
        <v>2021</v>
      </c>
      <c r="AG607" s="34">
        <v>2021</v>
      </c>
      <c r="AH607" s="35">
        <v>2021</v>
      </c>
      <c r="BZ607" s="71"/>
      <c r="CD607" s="20" t="e">
        <f t="shared" si="148"/>
        <v>#N/A</v>
      </c>
    </row>
    <row r="608" spans="1:82" ht="61.5" x14ac:dyDescent="0.85">
      <c r="A608" s="20">
        <v>1</v>
      </c>
      <c r="B608" s="66">
        <f>SUBTOTAL(103,$A$558:A608)</f>
        <v>51</v>
      </c>
      <c r="C608" s="24" t="s">
        <v>1628</v>
      </c>
      <c r="D608" s="31">
        <f t="shared" si="145"/>
        <v>3158283.01</v>
      </c>
      <c r="E608" s="31">
        <v>0</v>
      </c>
      <c r="F608" s="31">
        <v>0</v>
      </c>
      <c r="G608" s="31">
        <v>0</v>
      </c>
      <c r="H608" s="31">
        <v>0</v>
      </c>
      <c r="I608" s="31">
        <v>0</v>
      </c>
      <c r="J608" s="31">
        <v>0</v>
      </c>
      <c r="K608" s="33">
        <v>0</v>
      </c>
      <c r="L608" s="31">
        <v>0</v>
      </c>
      <c r="M608" s="31">
        <v>0</v>
      </c>
      <c r="N608" s="31">
        <v>0</v>
      </c>
      <c r="O608" s="31">
        <v>0</v>
      </c>
      <c r="P608" s="31">
        <v>0</v>
      </c>
      <c r="Q608" s="31">
        <v>1343.2</v>
      </c>
      <c r="R608" s="31">
        <v>3013086.71</v>
      </c>
      <c r="S608" s="31">
        <v>0</v>
      </c>
      <c r="T608" s="31">
        <v>0</v>
      </c>
      <c r="U608" s="31">
        <v>0</v>
      </c>
      <c r="V608" s="31">
        <v>0</v>
      </c>
      <c r="W608" s="31">
        <v>0</v>
      </c>
      <c r="X608" s="31">
        <v>0</v>
      </c>
      <c r="Y608" s="31">
        <v>0</v>
      </c>
      <c r="Z608" s="31">
        <v>0</v>
      </c>
      <c r="AA608" s="31">
        <v>0</v>
      </c>
      <c r="AB608" s="31">
        <v>0</v>
      </c>
      <c r="AC608" s="31">
        <v>45196.3</v>
      </c>
      <c r="AD608" s="31">
        <v>100000</v>
      </c>
      <c r="AE608" s="31">
        <v>0</v>
      </c>
      <c r="AF608" s="34">
        <v>2021</v>
      </c>
      <c r="AG608" s="34">
        <v>2021</v>
      </c>
      <c r="AH608" s="35">
        <v>2021</v>
      </c>
      <c r="BZ608" s="71"/>
      <c r="CD608" s="20" t="e">
        <f t="shared" si="148"/>
        <v>#N/A</v>
      </c>
    </row>
    <row r="609" spans="1:84" ht="61.5" x14ac:dyDescent="0.85">
      <c r="A609" s="20">
        <v>1</v>
      </c>
      <c r="B609" s="66">
        <f>SUBTOTAL(103,$A$558:A609)</f>
        <v>52</v>
      </c>
      <c r="C609" s="24" t="s">
        <v>1700</v>
      </c>
      <c r="D609" s="31">
        <f t="shared" ref="D609:D615" si="149">E609+F609+G609+H609+I609+J609+L609+N609+P609+R609+T609+U609+V609+W609+X609+Y609+Z609+AA609+AB609+AC609+AD609+AE609</f>
        <v>2934234.5</v>
      </c>
      <c r="E609" s="31">
        <v>0</v>
      </c>
      <c r="F609" s="31">
        <v>0</v>
      </c>
      <c r="G609" s="31">
        <v>0</v>
      </c>
      <c r="H609" s="31">
        <v>0</v>
      </c>
      <c r="I609" s="31">
        <v>0</v>
      </c>
      <c r="J609" s="31">
        <v>0</v>
      </c>
      <c r="K609" s="33">
        <v>2</v>
      </c>
      <c r="L609" s="31">
        <v>2934234.5</v>
      </c>
      <c r="M609" s="31">
        <v>0</v>
      </c>
      <c r="N609" s="31">
        <v>0</v>
      </c>
      <c r="O609" s="31">
        <v>0</v>
      </c>
      <c r="P609" s="31">
        <v>0</v>
      </c>
      <c r="Q609" s="31">
        <v>0</v>
      </c>
      <c r="R609" s="31">
        <v>0</v>
      </c>
      <c r="S609" s="31">
        <v>0</v>
      </c>
      <c r="T609" s="31">
        <v>0</v>
      </c>
      <c r="U609" s="31">
        <v>0</v>
      </c>
      <c r="V609" s="31">
        <v>0</v>
      </c>
      <c r="W609" s="31">
        <v>0</v>
      </c>
      <c r="X609" s="31">
        <v>0</v>
      </c>
      <c r="Y609" s="31">
        <v>0</v>
      </c>
      <c r="Z609" s="31">
        <v>0</v>
      </c>
      <c r="AA609" s="31">
        <v>0</v>
      </c>
      <c r="AB609" s="31">
        <v>0</v>
      </c>
      <c r="AC609" s="31">
        <v>0</v>
      </c>
      <c r="AD609" s="31">
        <v>0</v>
      </c>
      <c r="AE609" s="31">
        <v>0</v>
      </c>
      <c r="AF609" s="34" t="s">
        <v>270</v>
      </c>
      <c r="AG609" s="34">
        <v>2021</v>
      </c>
      <c r="AH609" s="35" t="s">
        <v>270</v>
      </c>
      <c r="BZ609" s="71"/>
      <c r="CD609" s="20" t="e">
        <f t="shared" si="148"/>
        <v>#N/A</v>
      </c>
    </row>
    <row r="610" spans="1:84" ht="61.5" x14ac:dyDescent="0.85">
      <c r="A610" s="20">
        <v>1</v>
      </c>
      <c r="B610" s="66">
        <f>SUBTOTAL(103,$A$558:A610)</f>
        <v>53</v>
      </c>
      <c r="C610" s="24" t="s">
        <v>483</v>
      </c>
      <c r="D610" s="31">
        <f t="shared" si="149"/>
        <v>4050874.1399999997</v>
      </c>
      <c r="E610" s="31">
        <v>0</v>
      </c>
      <c r="F610" s="31">
        <v>0</v>
      </c>
      <c r="G610" s="31">
        <v>0</v>
      </c>
      <c r="H610" s="31">
        <v>0</v>
      </c>
      <c r="I610" s="31">
        <v>0</v>
      </c>
      <c r="J610" s="31">
        <v>0</v>
      </c>
      <c r="K610" s="33">
        <v>0</v>
      </c>
      <c r="L610" s="31">
        <v>0</v>
      </c>
      <c r="M610" s="31">
        <v>600</v>
      </c>
      <c r="N610" s="31">
        <v>3892486.84</v>
      </c>
      <c r="O610" s="31">
        <v>0</v>
      </c>
      <c r="P610" s="31">
        <v>0</v>
      </c>
      <c r="Q610" s="31">
        <v>0</v>
      </c>
      <c r="R610" s="31">
        <v>0</v>
      </c>
      <c r="S610" s="31">
        <v>0</v>
      </c>
      <c r="T610" s="31">
        <v>0</v>
      </c>
      <c r="U610" s="31">
        <v>0</v>
      </c>
      <c r="V610" s="31">
        <v>0</v>
      </c>
      <c r="W610" s="31">
        <v>0</v>
      </c>
      <c r="X610" s="31">
        <v>0</v>
      </c>
      <c r="Y610" s="31">
        <v>0</v>
      </c>
      <c r="Z610" s="31">
        <v>0</v>
      </c>
      <c r="AA610" s="31">
        <v>0</v>
      </c>
      <c r="AB610" s="31">
        <v>0</v>
      </c>
      <c r="AC610" s="31">
        <v>58387.3</v>
      </c>
      <c r="AD610" s="31">
        <v>100000</v>
      </c>
      <c r="AE610" s="31">
        <v>0</v>
      </c>
      <c r="AF610" s="34">
        <v>2021</v>
      </c>
      <c r="AG610" s="34">
        <v>2021</v>
      </c>
      <c r="AH610" s="34">
        <v>2021</v>
      </c>
      <c r="AT610" s="20" t="e">
        <f>VLOOKUP(C610,AW:AX,2,FALSE)</f>
        <v>#N/A</v>
      </c>
      <c r="AW610" s="20" t="s">
        <v>49</v>
      </c>
      <c r="AX610" s="20">
        <v>1</v>
      </c>
      <c r="BZ610" s="71"/>
      <c r="CD610" s="20" t="e">
        <f t="shared" si="148"/>
        <v>#N/A</v>
      </c>
      <c r="CE610" s="109" t="s">
        <v>519</v>
      </c>
      <c r="CF610" s="109">
        <v>1603.24</v>
      </c>
    </row>
    <row r="611" spans="1:84" ht="61.5" x14ac:dyDescent="0.85">
      <c r="A611" s="20">
        <v>1</v>
      </c>
      <c r="B611" s="66">
        <f>SUBTOTAL(103,$A$558:A611)</f>
        <v>54</v>
      </c>
      <c r="C611" s="24" t="s">
        <v>493</v>
      </c>
      <c r="D611" s="31">
        <f t="shared" si="149"/>
        <v>1987488.72</v>
      </c>
      <c r="E611" s="31">
        <v>0</v>
      </c>
      <c r="F611" s="31">
        <v>0</v>
      </c>
      <c r="G611" s="31">
        <v>0</v>
      </c>
      <c r="H611" s="31">
        <v>0</v>
      </c>
      <c r="I611" s="31">
        <v>0</v>
      </c>
      <c r="J611" s="31">
        <v>0</v>
      </c>
      <c r="K611" s="33">
        <v>0</v>
      </c>
      <c r="L611" s="31">
        <v>0</v>
      </c>
      <c r="M611" s="31">
        <v>0</v>
      </c>
      <c r="N611" s="31">
        <v>0</v>
      </c>
      <c r="O611" s="31">
        <v>0</v>
      </c>
      <c r="P611" s="31">
        <v>0</v>
      </c>
      <c r="Q611" s="31">
        <v>541.86</v>
      </c>
      <c r="R611" s="31">
        <v>1958116.97</v>
      </c>
      <c r="S611" s="31">
        <v>0</v>
      </c>
      <c r="T611" s="31">
        <v>0</v>
      </c>
      <c r="U611" s="31">
        <v>0</v>
      </c>
      <c r="V611" s="31">
        <v>0</v>
      </c>
      <c r="W611" s="31">
        <v>0</v>
      </c>
      <c r="X611" s="31">
        <v>0</v>
      </c>
      <c r="Y611" s="31">
        <v>0</v>
      </c>
      <c r="Z611" s="31">
        <v>0</v>
      </c>
      <c r="AA611" s="31">
        <v>0</v>
      </c>
      <c r="AB611" s="31">
        <v>0</v>
      </c>
      <c r="AC611" s="31">
        <v>29371.75</v>
      </c>
      <c r="AD611" s="31">
        <v>0</v>
      </c>
      <c r="AE611" s="31">
        <v>0</v>
      </c>
      <c r="AF611" s="34" t="s">
        <v>270</v>
      </c>
      <c r="AG611" s="34">
        <v>2021</v>
      </c>
      <c r="AH611" s="34">
        <v>2021</v>
      </c>
      <c r="AT611" s="20" t="e">
        <f>VLOOKUP(C611,AW:AX,2,FALSE)</f>
        <v>#N/A</v>
      </c>
      <c r="AW611" s="20" t="s">
        <v>819</v>
      </c>
      <c r="AX611" s="20">
        <v>1</v>
      </c>
      <c r="BZ611" s="71"/>
      <c r="CD611" s="20" t="e">
        <f t="shared" si="148"/>
        <v>#N/A</v>
      </c>
      <c r="CE611" s="109" t="s">
        <v>668</v>
      </c>
      <c r="CF611" s="109">
        <v>900</v>
      </c>
    </row>
    <row r="612" spans="1:84" ht="61.5" x14ac:dyDescent="0.85">
      <c r="A612" s="20">
        <v>1</v>
      </c>
      <c r="B612" s="66">
        <f>SUBTOTAL(103,$A$558:A612)</f>
        <v>55</v>
      </c>
      <c r="C612" s="24" t="s">
        <v>498</v>
      </c>
      <c r="D612" s="31">
        <f t="shared" si="149"/>
        <v>2420368.62</v>
      </c>
      <c r="E612" s="31">
        <v>0</v>
      </c>
      <c r="F612" s="31">
        <v>0</v>
      </c>
      <c r="G612" s="31">
        <v>0</v>
      </c>
      <c r="H612" s="31">
        <v>0</v>
      </c>
      <c r="I612" s="31">
        <v>0</v>
      </c>
      <c r="J612" s="31">
        <v>0</v>
      </c>
      <c r="K612" s="33">
        <v>0</v>
      </c>
      <c r="L612" s="31">
        <v>0</v>
      </c>
      <c r="M612" s="31">
        <v>1020</v>
      </c>
      <c r="N612" s="31">
        <v>2384599.63</v>
      </c>
      <c r="O612" s="31">
        <v>0</v>
      </c>
      <c r="P612" s="31">
        <v>0</v>
      </c>
      <c r="Q612" s="31">
        <v>0</v>
      </c>
      <c r="R612" s="31">
        <v>0</v>
      </c>
      <c r="S612" s="31">
        <v>0</v>
      </c>
      <c r="T612" s="31">
        <v>0</v>
      </c>
      <c r="U612" s="31">
        <v>0</v>
      </c>
      <c r="V612" s="31">
        <v>0</v>
      </c>
      <c r="W612" s="31">
        <v>0</v>
      </c>
      <c r="X612" s="31">
        <v>0</v>
      </c>
      <c r="Y612" s="31">
        <v>0</v>
      </c>
      <c r="Z612" s="31">
        <v>0</v>
      </c>
      <c r="AA612" s="31">
        <v>0</v>
      </c>
      <c r="AB612" s="31">
        <v>0</v>
      </c>
      <c r="AC612" s="31">
        <v>35768.99</v>
      </c>
      <c r="AD612" s="31">
        <v>0</v>
      </c>
      <c r="AE612" s="31">
        <v>0</v>
      </c>
      <c r="AF612" s="34" t="s">
        <v>270</v>
      </c>
      <c r="AG612" s="34">
        <v>2021</v>
      </c>
      <c r="AH612" s="34">
        <v>2021</v>
      </c>
      <c r="AT612" s="20" t="e">
        <f>VLOOKUP(C612,AW:AX,2,FALSE)</f>
        <v>#N/A</v>
      </c>
      <c r="BZ612" s="71"/>
      <c r="CD612" s="20" t="e">
        <f t="shared" si="148"/>
        <v>#N/A</v>
      </c>
      <c r="CE612" s="109" t="s">
        <v>169</v>
      </c>
      <c r="CF612" s="109">
        <v>412.82</v>
      </c>
    </row>
    <row r="613" spans="1:84" ht="61.5" x14ac:dyDescent="0.85">
      <c r="A613" s="20">
        <v>1</v>
      </c>
      <c r="B613" s="66">
        <f>SUBTOTAL(103,$A$558:A613)</f>
        <v>56</v>
      </c>
      <c r="C613" s="24" t="s">
        <v>499</v>
      </c>
      <c r="D613" s="31">
        <f t="shared" si="149"/>
        <v>1273022.3799999999</v>
      </c>
      <c r="E613" s="31">
        <v>0</v>
      </c>
      <c r="F613" s="31">
        <v>0</v>
      </c>
      <c r="G613" s="31">
        <v>0</v>
      </c>
      <c r="H613" s="31">
        <v>0</v>
      </c>
      <c r="I613" s="31">
        <v>0</v>
      </c>
      <c r="J613" s="31">
        <v>0</v>
      </c>
      <c r="K613" s="33">
        <v>0</v>
      </c>
      <c r="L613" s="31">
        <v>0</v>
      </c>
      <c r="M613" s="31">
        <v>350</v>
      </c>
      <c r="N613" s="31">
        <v>1254209.24</v>
      </c>
      <c r="O613" s="31">
        <v>0</v>
      </c>
      <c r="P613" s="31">
        <v>0</v>
      </c>
      <c r="Q613" s="31">
        <v>0</v>
      </c>
      <c r="R613" s="31">
        <v>0</v>
      </c>
      <c r="S613" s="31">
        <v>0</v>
      </c>
      <c r="T613" s="31">
        <v>0</v>
      </c>
      <c r="U613" s="31">
        <v>0</v>
      </c>
      <c r="V613" s="31">
        <v>0</v>
      </c>
      <c r="W613" s="31">
        <v>0</v>
      </c>
      <c r="X613" s="31">
        <v>0</v>
      </c>
      <c r="Y613" s="31">
        <v>0</v>
      </c>
      <c r="Z613" s="31">
        <v>0</v>
      </c>
      <c r="AA613" s="31">
        <v>0</v>
      </c>
      <c r="AB613" s="31">
        <v>0</v>
      </c>
      <c r="AC613" s="31">
        <v>18813.14</v>
      </c>
      <c r="AD613" s="31">
        <v>0</v>
      </c>
      <c r="AE613" s="31">
        <v>0</v>
      </c>
      <c r="AF613" s="34" t="s">
        <v>270</v>
      </c>
      <c r="AG613" s="34">
        <v>2021</v>
      </c>
      <c r="AH613" s="34">
        <v>2021</v>
      </c>
      <c r="AT613" s="20" t="e">
        <f>VLOOKUP(C613,AW:AX,2,FALSE)</f>
        <v>#N/A</v>
      </c>
      <c r="BZ613" s="71"/>
      <c r="CD613" s="20" t="e">
        <f t="shared" si="148"/>
        <v>#N/A</v>
      </c>
      <c r="CE613" s="109" t="s">
        <v>1296</v>
      </c>
      <c r="CF613" s="109">
        <v>735</v>
      </c>
    </row>
    <row r="614" spans="1:84" ht="61.5" x14ac:dyDescent="0.85">
      <c r="A614" s="20">
        <v>1</v>
      </c>
      <c r="B614" s="66">
        <f>SUBTOTAL(103,$A$558:A614)</f>
        <v>57</v>
      </c>
      <c r="C614" s="24" t="s">
        <v>505</v>
      </c>
      <c r="D614" s="31">
        <f t="shared" si="149"/>
        <v>2536990.1700000004</v>
      </c>
      <c r="E614" s="31">
        <v>0</v>
      </c>
      <c r="F614" s="31">
        <v>0</v>
      </c>
      <c r="G614" s="31">
        <v>0</v>
      </c>
      <c r="H614" s="31">
        <v>0</v>
      </c>
      <c r="I614" s="31">
        <v>0</v>
      </c>
      <c r="J614" s="31">
        <v>0</v>
      </c>
      <c r="K614" s="33">
        <v>0</v>
      </c>
      <c r="L614" s="31">
        <v>0</v>
      </c>
      <c r="M614" s="31">
        <v>489</v>
      </c>
      <c r="N614" s="31">
        <v>2499497.7000000002</v>
      </c>
      <c r="O614" s="31">
        <v>0</v>
      </c>
      <c r="P614" s="31">
        <v>0</v>
      </c>
      <c r="Q614" s="31">
        <v>0</v>
      </c>
      <c r="R614" s="31">
        <v>0</v>
      </c>
      <c r="S614" s="31">
        <v>0</v>
      </c>
      <c r="T614" s="31">
        <v>0</v>
      </c>
      <c r="U614" s="31">
        <v>0</v>
      </c>
      <c r="V614" s="31">
        <v>0</v>
      </c>
      <c r="W614" s="31">
        <v>0</v>
      </c>
      <c r="X614" s="31">
        <v>0</v>
      </c>
      <c r="Y614" s="31">
        <v>0</v>
      </c>
      <c r="Z614" s="31">
        <v>0</v>
      </c>
      <c r="AA614" s="31">
        <v>0</v>
      </c>
      <c r="AB614" s="31">
        <v>0</v>
      </c>
      <c r="AC614" s="31">
        <v>37492.47</v>
      </c>
      <c r="AD614" s="31">
        <v>0</v>
      </c>
      <c r="AE614" s="31">
        <v>0</v>
      </c>
      <c r="AF614" s="34" t="s">
        <v>270</v>
      </c>
      <c r="AG614" s="34">
        <v>2021</v>
      </c>
      <c r="AH614" s="34">
        <v>2021</v>
      </c>
      <c r="AT614" s="20" t="e">
        <f>VLOOKUP(C614,AW:AX,2,FALSE)</f>
        <v>#N/A</v>
      </c>
      <c r="BZ614" s="71"/>
      <c r="CD614" s="20" t="e">
        <f t="shared" si="148"/>
        <v>#N/A</v>
      </c>
      <c r="CE614" s="109" t="s">
        <v>521</v>
      </c>
      <c r="CF614" s="109">
        <v>777.1</v>
      </c>
    </row>
    <row r="615" spans="1:84" ht="61.5" x14ac:dyDescent="0.85">
      <c r="A615" s="20">
        <v>1</v>
      </c>
      <c r="B615" s="66">
        <f>SUBTOTAL(103,$A$558:A615)</f>
        <v>58</v>
      </c>
      <c r="C615" s="24" t="s">
        <v>1624</v>
      </c>
      <c r="D615" s="31">
        <f t="shared" si="149"/>
        <v>2380804.91</v>
      </c>
      <c r="E615" s="31">
        <v>0</v>
      </c>
      <c r="F615" s="31">
        <v>0</v>
      </c>
      <c r="G615" s="31">
        <v>0</v>
      </c>
      <c r="H615" s="31">
        <v>0</v>
      </c>
      <c r="I615" s="31">
        <v>0</v>
      </c>
      <c r="J615" s="31">
        <v>0</v>
      </c>
      <c r="K615" s="33">
        <v>0</v>
      </c>
      <c r="L615" s="31">
        <v>0</v>
      </c>
      <c r="M615" s="31">
        <v>573</v>
      </c>
      <c r="N615" s="31">
        <v>2345620.6</v>
      </c>
      <c r="O615" s="31">
        <v>0</v>
      </c>
      <c r="P615" s="31">
        <v>0</v>
      </c>
      <c r="Q615" s="31">
        <v>0</v>
      </c>
      <c r="R615" s="31">
        <v>0</v>
      </c>
      <c r="S615" s="31">
        <v>0</v>
      </c>
      <c r="T615" s="31">
        <v>0</v>
      </c>
      <c r="U615" s="31">
        <v>0</v>
      </c>
      <c r="V615" s="31">
        <v>0</v>
      </c>
      <c r="W615" s="31">
        <v>0</v>
      </c>
      <c r="X615" s="31">
        <v>0</v>
      </c>
      <c r="Y615" s="31">
        <v>0</v>
      </c>
      <c r="Z615" s="31">
        <v>0</v>
      </c>
      <c r="AA615" s="31">
        <v>0</v>
      </c>
      <c r="AB615" s="31">
        <v>0</v>
      </c>
      <c r="AC615" s="31">
        <v>35184.31</v>
      </c>
      <c r="AD615" s="31">
        <v>0</v>
      </c>
      <c r="AE615" s="31">
        <v>0</v>
      </c>
      <c r="AF615" s="34" t="s">
        <v>270</v>
      </c>
      <c r="AG615" s="34">
        <v>2021</v>
      </c>
      <c r="AH615" s="34">
        <v>2021</v>
      </c>
      <c r="BZ615" s="71"/>
      <c r="CD615" s="20" t="e">
        <f t="shared" si="148"/>
        <v>#N/A</v>
      </c>
      <c r="CE615" s="109" t="s">
        <v>1563</v>
      </c>
      <c r="CF615" s="109">
        <v>747.3</v>
      </c>
    </row>
    <row r="616" spans="1:84" ht="61.5" x14ac:dyDescent="0.85">
      <c r="A616" s="20">
        <v>1</v>
      </c>
      <c r="B616" s="66">
        <f>SUBTOTAL(103,$A$558:A616)</f>
        <v>59</v>
      </c>
      <c r="C616" s="24" t="s">
        <v>1715</v>
      </c>
      <c r="D616" s="31">
        <f t="shared" ref="D616" si="150">E616+F616+G616+H616+I616+J616+L616+N616+P616+R616+T616+U616+V616+W616+X616+Y616+Z616+AA616+AB616+AC616+AD616+AE616</f>
        <v>8993212</v>
      </c>
      <c r="E616" s="31">
        <v>0</v>
      </c>
      <c r="F616" s="31">
        <v>0</v>
      </c>
      <c r="G616" s="31">
        <v>0</v>
      </c>
      <c r="H616" s="31">
        <v>0</v>
      </c>
      <c r="I616" s="31">
        <v>0</v>
      </c>
      <c r="J616" s="31">
        <v>0</v>
      </c>
      <c r="K616" s="33">
        <v>4</v>
      </c>
      <c r="L616" s="31">
        <v>8843212</v>
      </c>
      <c r="M616" s="31">
        <v>0</v>
      </c>
      <c r="N616" s="31">
        <v>0</v>
      </c>
      <c r="O616" s="31">
        <v>0</v>
      </c>
      <c r="P616" s="31">
        <v>0</v>
      </c>
      <c r="Q616" s="31">
        <v>0</v>
      </c>
      <c r="R616" s="31">
        <v>0</v>
      </c>
      <c r="S616" s="31">
        <v>0</v>
      </c>
      <c r="T616" s="31">
        <v>0</v>
      </c>
      <c r="U616" s="31">
        <v>0</v>
      </c>
      <c r="V616" s="31">
        <v>0</v>
      </c>
      <c r="W616" s="31">
        <v>0</v>
      </c>
      <c r="X616" s="31">
        <v>0</v>
      </c>
      <c r="Y616" s="31">
        <v>0</v>
      </c>
      <c r="Z616" s="31">
        <v>0</v>
      </c>
      <c r="AA616" s="31">
        <v>0</v>
      </c>
      <c r="AB616" s="31">
        <v>0</v>
      </c>
      <c r="AC616" s="31">
        <v>0</v>
      </c>
      <c r="AD616" s="31">
        <v>150000</v>
      </c>
      <c r="AE616" s="31">
        <v>0</v>
      </c>
      <c r="AF616" s="34">
        <v>2021</v>
      </c>
      <c r="AG616" s="34">
        <v>2021</v>
      </c>
      <c r="AH616" s="35" t="s">
        <v>270</v>
      </c>
      <c r="BZ616" s="71"/>
      <c r="CD616" s="20" t="e">
        <f t="shared" si="148"/>
        <v>#N/A</v>
      </c>
    </row>
    <row r="617" spans="1:84" ht="61.5" x14ac:dyDescent="0.85">
      <c r="A617" s="20">
        <v>1</v>
      </c>
      <c r="B617" s="66">
        <f>SUBTOTAL(103,$A$558:A617)</f>
        <v>60</v>
      </c>
      <c r="C617" s="24" t="s">
        <v>1716</v>
      </c>
      <c r="D617" s="31">
        <f t="shared" ref="D617:D618" si="151">E617+F617+G617+H617+I617+J617+L617+N617+P617+R617+T617+U617+V617+W617+X617+Y617+Z617+AA617+AB617+AC617+AD617+AE617</f>
        <v>4622702.9800000004</v>
      </c>
      <c r="E617" s="31">
        <v>0</v>
      </c>
      <c r="F617" s="31">
        <v>0</v>
      </c>
      <c r="G617" s="31">
        <v>0</v>
      </c>
      <c r="H617" s="31">
        <v>0</v>
      </c>
      <c r="I617" s="31">
        <v>0</v>
      </c>
      <c r="J617" s="31">
        <v>0</v>
      </c>
      <c r="K617" s="33">
        <v>0</v>
      </c>
      <c r="L617" s="31">
        <v>0</v>
      </c>
      <c r="M617" s="31">
        <v>952</v>
      </c>
      <c r="N617" s="31">
        <v>4455865</v>
      </c>
      <c r="O617" s="31">
        <v>0</v>
      </c>
      <c r="P617" s="31">
        <v>0</v>
      </c>
      <c r="Q617" s="31">
        <v>0</v>
      </c>
      <c r="R617" s="31">
        <v>0</v>
      </c>
      <c r="S617" s="31">
        <v>0</v>
      </c>
      <c r="T617" s="31">
        <v>0</v>
      </c>
      <c r="U617" s="31">
        <v>0</v>
      </c>
      <c r="V617" s="31">
        <v>0</v>
      </c>
      <c r="W617" s="31">
        <v>0</v>
      </c>
      <c r="X617" s="31">
        <v>0</v>
      </c>
      <c r="Y617" s="31">
        <v>0</v>
      </c>
      <c r="Z617" s="31">
        <v>0</v>
      </c>
      <c r="AA617" s="31">
        <v>0</v>
      </c>
      <c r="AB617" s="31">
        <v>0</v>
      </c>
      <c r="AC617" s="31">
        <v>66837.98</v>
      </c>
      <c r="AD617" s="31">
        <v>100000</v>
      </c>
      <c r="AE617" s="31">
        <v>0</v>
      </c>
      <c r="AF617" s="34">
        <v>2021</v>
      </c>
      <c r="AG617" s="34">
        <v>2021</v>
      </c>
      <c r="AH617" s="34">
        <v>2021</v>
      </c>
      <c r="BZ617" s="71"/>
      <c r="CD617" s="20" t="e">
        <f t="shared" si="148"/>
        <v>#N/A</v>
      </c>
    </row>
    <row r="618" spans="1:84" ht="61.5" x14ac:dyDescent="0.85">
      <c r="A618" s="20">
        <v>1</v>
      </c>
      <c r="B618" s="66">
        <f>SUBTOTAL(103,$A$558:A618)</f>
        <v>61</v>
      </c>
      <c r="C618" s="24" t="s">
        <v>1891</v>
      </c>
      <c r="D618" s="31">
        <f t="shared" si="151"/>
        <v>2729580.86</v>
      </c>
      <c r="E618" s="31">
        <v>0</v>
      </c>
      <c r="F618" s="31">
        <v>0</v>
      </c>
      <c r="G618" s="31">
        <v>0</v>
      </c>
      <c r="H618" s="31">
        <v>0</v>
      </c>
      <c r="I618" s="31">
        <v>0</v>
      </c>
      <c r="J618" s="31">
        <v>0</v>
      </c>
      <c r="K618" s="33">
        <v>0</v>
      </c>
      <c r="L618" s="31">
        <v>0</v>
      </c>
      <c r="M618" s="31">
        <v>598</v>
      </c>
      <c r="N618" s="31">
        <v>2590720.06</v>
      </c>
      <c r="O618" s="31">
        <v>0</v>
      </c>
      <c r="P618" s="31">
        <v>0</v>
      </c>
      <c r="Q618" s="31">
        <v>0</v>
      </c>
      <c r="R618" s="31">
        <v>0</v>
      </c>
      <c r="S618" s="31">
        <v>0</v>
      </c>
      <c r="T618" s="31">
        <v>0</v>
      </c>
      <c r="U618" s="31">
        <v>0</v>
      </c>
      <c r="V618" s="31">
        <v>0</v>
      </c>
      <c r="W618" s="31">
        <v>0</v>
      </c>
      <c r="X618" s="31">
        <v>0</v>
      </c>
      <c r="Y618" s="31">
        <v>0</v>
      </c>
      <c r="Z618" s="31">
        <v>0</v>
      </c>
      <c r="AA618" s="31">
        <v>0</v>
      </c>
      <c r="AB618" s="31">
        <v>0</v>
      </c>
      <c r="AC618" s="31">
        <v>38860.800000000003</v>
      </c>
      <c r="AD618" s="31">
        <v>100000</v>
      </c>
      <c r="AE618" s="31">
        <v>0</v>
      </c>
      <c r="AF618" s="34">
        <v>2021</v>
      </c>
      <c r="AG618" s="34">
        <v>2021</v>
      </c>
      <c r="AH618" s="34">
        <v>2021</v>
      </c>
      <c r="BZ618" s="71"/>
      <c r="CD618" s="20" t="e">
        <f t="shared" si="148"/>
        <v>#N/A</v>
      </c>
    </row>
    <row r="619" spans="1:84" ht="61.5" x14ac:dyDescent="0.85">
      <c r="A619" s="20">
        <v>1</v>
      </c>
      <c r="B619" s="66">
        <f>SUBTOTAL(103,$A$558:A619)</f>
        <v>62</v>
      </c>
      <c r="C619" s="24" t="s">
        <v>1947</v>
      </c>
      <c r="D619" s="31">
        <f t="shared" ref="D619:D621" si="152">E619+F619+G619+H619+I619+J619+L619+N619+P619+R619+T619+U619+V619+W619+X619+Y619+Z619+AA619+AB619+AC619+AD619+AE619</f>
        <v>4574650</v>
      </c>
      <c r="E619" s="31">
        <v>0</v>
      </c>
      <c r="F619" s="31">
        <v>0</v>
      </c>
      <c r="G619" s="31">
        <v>0</v>
      </c>
      <c r="H619" s="31">
        <v>0</v>
      </c>
      <c r="I619" s="31">
        <v>0</v>
      </c>
      <c r="J619" s="31">
        <v>0</v>
      </c>
      <c r="K619" s="33">
        <v>0</v>
      </c>
      <c r="L619" s="31">
        <v>0</v>
      </c>
      <c r="M619" s="31">
        <v>960</v>
      </c>
      <c r="N619" s="31">
        <v>4310000</v>
      </c>
      <c r="O619" s="31">
        <v>0</v>
      </c>
      <c r="P619" s="31">
        <v>0</v>
      </c>
      <c r="Q619" s="31">
        <v>0</v>
      </c>
      <c r="R619" s="31">
        <v>0</v>
      </c>
      <c r="S619" s="31">
        <v>0</v>
      </c>
      <c r="T619" s="31">
        <v>0</v>
      </c>
      <c r="U619" s="31">
        <v>0</v>
      </c>
      <c r="V619" s="31">
        <v>0</v>
      </c>
      <c r="W619" s="31">
        <v>0</v>
      </c>
      <c r="X619" s="31">
        <v>0</v>
      </c>
      <c r="Y619" s="31">
        <v>0</v>
      </c>
      <c r="Z619" s="31">
        <v>0</v>
      </c>
      <c r="AA619" s="31">
        <v>0</v>
      </c>
      <c r="AB619" s="31">
        <v>0</v>
      </c>
      <c r="AC619" s="31">
        <v>64650</v>
      </c>
      <c r="AD619" s="31">
        <v>200000</v>
      </c>
      <c r="AE619" s="31">
        <v>0</v>
      </c>
      <c r="AF619" s="34">
        <v>2021</v>
      </c>
      <c r="AG619" s="34">
        <v>2021</v>
      </c>
      <c r="AH619" s="34">
        <v>2021</v>
      </c>
      <c r="BZ619" s="71"/>
      <c r="CD619" s="20" t="e">
        <f t="shared" si="148"/>
        <v>#N/A</v>
      </c>
    </row>
    <row r="620" spans="1:84" ht="61.5" x14ac:dyDescent="0.85">
      <c r="A620" s="20">
        <v>1</v>
      </c>
      <c r="B620" s="66">
        <f>SUBTOTAL(103,$A$558:A620)</f>
        <v>63</v>
      </c>
      <c r="C620" s="24" t="s">
        <v>1948</v>
      </c>
      <c r="D620" s="31">
        <f t="shared" si="152"/>
        <v>4363000</v>
      </c>
      <c r="E620" s="31">
        <v>0</v>
      </c>
      <c r="F620" s="31">
        <v>0</v>
      </c>
      <c r="G620" s="31">
        <v>0</v>
      </c>
      <c r="H620" s="31">
        <v>0</v>
      </c>
      <c r="I620" s="31">
        <v>0</v>
      </c>
      <c r="J620" s="31">
        <v>0</v>
      </c>
      <c r="K620" s="33">
        <v>0</v>
      </c>
      <c r="L620" s="31">
        <v>0</v>
      </c>
      <c r="M620" s="31">
        <v>855</v>
      </c>
      <c r="N620" s="31">
        <v>4200000</v>
      </c>
      <c r="O620" s="31">
        <v>0</v>
      </c>
      <c r="P620" s="31">
        <v>0</v>
      </c>
      <c r="Q620" s="31">
        <v>0</v>
      </c>
      <c r="R620" s="31">
        <v>0</v>
      </c>
      <c r="S620" s="31">
        <v>0</v>
      </c>
      <c r="T620" s="31">
        <v>0</v>
      </c>
      <c r="U620" s="31">
        <v>0</v>
      </c>
      <c r="V620" s="31">
        <v>0</v>
      </c>
      <c r="W620" s="31">
        <v>0</v>
      </c>
      <c r="X620" s="31">
        <v>0</v>
      </c>
      <c r="Y620" s="31">
        <v>0</v>
      </c>
      <c r="Z620" s="31">
        <v>0</v>
      </c>
      <c r="AA620" s="31">
        <v>0</v>
      </c>
      <c r="AB620" s="31">
        <v>0</v>
      </c>
      <c r="AC620" s="31">
        <v>63000</v>
      </c>
      <c r="AD620" s="31">
        <v>100000</v>
      </c>
      <c r="AE620" s="31">
        <v>0</v>
      </c>
      <c r="AF620" s="34">
        <v>2021</v>
      </c>
      <c r="AG620" s="34">
        <v>2021</v>
      </c>
      <c r="AH620" s="34">
        <v>2021</v>
      </c>
      <c r="BZ620" s="71"/>
      <c r="CD620" s="20" t="e">
        <f t="shared" ref="CD620:CD626" si="153">VLOOKUP(C620,CE:CF,2,FALSE)</f>
        <v>#N/A</v>
      </c>
    </row>
    <row r="621" spans="1:84" ht="61.5" x14ac:dyDescent="0.85">
      <c r="A621" s="20">
        <v>1</v>
      </c>
      <c r="B621" s="66">
        <f>SUBTOTAL(103,$A$558:A621)</f>
        <v>64</v>
      </c>
      <c r="C621" s="24" t="s">
        <v>1949</v>
      </c>
      <c r="D621" s="31">
        <f t="shared" si="152"/>
        <v>4363000</v>
      </c>
      <c r="E621" s="31">
        <v>0</v>
      </c>
      <c r="F621" s="31">
        <v>0</v>
      </c>
      <c r="G621" s="31">
        <v>0</v>
      </c>
      <c r="H621" s="31">
        <v>0</v>
      </c>
      <c r="I621" s="31">
        <v>0</v>
      </c>
      <c r="J621" s="31">
        <v>0</v>
      </c>
      <c r="K621" s="33">
        <v>0</v>
      </c>
      <c r="L621" s="31">
        <v>0</v>
      </c>
      <c r="M621" s="31">
        <v>855</v>
      </c>
      <c r="N621" s="31">
        <v>4200000</v>
      </c>
      <c r="O621" s="31">
        <v>0</v>
      </c>
      <c r="P621" s="31">
        <v>0</v>
      </c>
      <c r="Q621" s="31">
        <v>0</v>
      </c>
      <c r="R621" s="31">
        <v>0</v>
      </c>
      <c r="S621" s="31">
        <v>0</v>
      </c>
      <c r="T621" s="31">
        <v>0</v>
      </c>
      <c r="U621" s="31">
        <v>0</v>
      </c>
      <c r="V621" s="31">
        <v>0</v>
      </c>
      <c r="W621" s="31">
        <v>0</v>
      </c>
      <c r="X621" s="31">
        <v>0</v>
      </c>
      <c r="Y621" s="31">
        <v>0</v>
      </c>
      <c r="Z621" s="31">
        <v>0</v>
      </c>
      <c r="AA621" s="31">
        <v>0</v>
      </c>
      <c r="AB621" s="31">
        <v>0</v>
      </c>
      <c r="AC621" s="31">
        <v>63000</v>
      </c>
      <c r="AD621" s="31">
        <v>100000</v>
      </c>
      <c r="AE621" s="31">
        <v>0</v>
      </c>
      <c r="AF621" s="34">
        <v>2021</v>
      </c>
      <c r="AG621" s="34">
        <v>2021</v>
      </c>
      <c r="AH621" s="34">
        <v>2021</v>
      </c>
      <c r="BZ621" s="71"/>
      <c r="CD621" s="20" t="e">
        <f t="shared" si="153"/>
        <v>#N/A</v>
      </c>
    </row>
    <row r="622" spans="1:84" ht="61.5" x14ac:dyDescent="0.85">
      <c r="A622" s="20">
        <v>1</v>
      </c>
      <c r="B622" s="66">
        <f>SUBTOTAL(103,$A$558:A622)</f>
        <v>65</v>
      </c>
      <c r="C622" s="24" t="s">
        <v>1950</v>
      </c>
      <c r="D622" s="31">
        <f t="shared" ref="D622" si="154">E622+F622+G622+H622+I622+J622+L622+N622+P622+R622+T622+U622+V622+W622+X622+Y622+Z622+AA622+AB622+AC622+AD622+AE622</f>
        <v>5178754.45</v>
      </c>
      <c r="E622" s="31">
        <v>0</v>
      </c>
      <c r="F622" s="31">
        <v>0</v>
      </c>
      <c r="G622" s="31">
        <v>0</v>
      </c>
      <c r="H622" s="31">
        <v>0</v>
      </c>
      <c r="I622" s="31">
        <v>0</v>
      </c>
      <c r="J622" s="31">
        <v>0</v>
      </c>
      <c r="K622" s="33">
        <v>0</v>
      </c>
      <c r="L622" s="31">
        <v>0</v>
      </c>
      <c r="M622" s="31">
        <v>1036</v>
      </c>
      <c r="N622" s="31">
        <v>5000000</v>
      </c>
      <c r="O622" s="31">
        <v>0</v>
      </c>
      <c r="P622" s="31">
        <v>0</v>
      </c>
      <c r="Q622" s="31">
        <v>0</v>
      </c>
      <c r="R622" s="31">
        <v>0</v>
      </c>
      <c r="S622" s="31">
        <v>0</v>
      </c>
      <c r="T622" s="31">
        <v>0</v>
      </c>
      <c r="U622" s="31">
        <v>0</v>
      </c>
      <c r="V622" s="31">
        <v>0</v>
      </c>
      <c r="W622" s="31">
        <v>0</v>
      </c>
      <c r="X622" s="31">
        <v>0</v>
      </c>
      <c r="Y622" s="31">
        <v>0</v>
      </c>
      <c r="Z622" s="31">
        <v>0</v>
      </c>
      <c r="AA622" s="31">
        <v>0</v>
      </c>
      <c r="AB622" s="31">
        <v>0</v>
      </c>
      <c r="AC622" s="31">
        <v>75000</v>
      </c>
      <c r="AD622" s="31">
        <v>103754.45</v>
      </c>
      <c r="AE622" s="31">
        <v>0</v>
      </c>
      <c r="AF622" s="34">
        <v>2021</v>
      </c>
      <c r="AG622" s="34">
        <v>2021</v>
      </c>
      <c r="AH622" s="34">
        <v>2021</v>
      </c>
      <c r="BZ622" s="71"/>
      <c r="CD622" s="20" t="e">
        <f t="shared" si="153"/>
        <v>#N/A</v>
      </c>
    </row>
    <row r="623" spans="1:84" ht="61.5" x14ac:dyDescent="0.85">
      <c r="A623" s="20">
        <v>1</v>
      </c>
      <c r="B623" s="66">
        <f>SUBTOTAL(103,$A$558:A623)</f>
        <v>66</v>
      </c>
      <c r="C623" s="24" t="s">
        <v>1070</v>
      </c>
      <c r="D623" s="31">
        <f t="shared" ref="D623:D628" si="155">E623+F623+G623+H623+I623+J623+L623+N623+P623+R623+T623+U623+V623+W623+X623+Y623+Z623+AA623+AB623+AC623+AD623+AE623</f>
        <v>2112589</v>
      </c>
      <c r="E623" s="31">
        <v>0</v>
      </c>
      <c r="F623" s="31">
        <v>0</v>
      </c>
      <c r="G623" s="31">
        <v>0</v>
      </c>
      <c r="H623" s="31">
        <v>0</v>
      </c>
      <c r="I623" s="31">
        <v>0</v>
      </c>
      <c r="J623" s="31">
        <v>0</v>
      </c>
      <c r="K623" s="74">
        <v>0</v>
      </c>
      <c r="L623" s="31">
        <v>0</v>
      </c>
      <c r="M623" s="31">
        <v>500</v>
      </c>
      <c r="N623" s="31">
        <v>2081368.47</v>
      </c>
      <c r="O623" s="31">
        <v>0</v>
      </c>
      <c r="P623" s="31">
        <v>0</v>
      </c>
      <c r="Q623" s="31">
        <v>0</v>
      </c>
      <c r="R623" s="31">
        <v>0</v>
      </c>
      <c r="S623" s="31">
        <v>0</v>
      </c>
      <c r="T623" s="31">
        <v>0</v>
      </c>
      <c r="U623" s="31">
        <v>0</v>
      </c>
      <c r="V623" s="31">
        <v>0</v>
      </c>
      <c r="W623" s="31">
        <v>0</v>
      </c>
      <c r="X623" s="31">
        <v>0</v>
      </c>
      <c r="Y623" s="31">
        <v>0</v>
      </c>
      <c r="Z623" s="31">
        <v>0</v>
      </c>
      <c r="AA623" s="31">
        <v>0</v>
      </c>
      <c r="AB623" s="31">
        <v>0</v>
      </c>
      <c r="AC623" s="31">
        <v>31220.53</v>
      </c>
      <c r="AD623" s="31">
        <v>0</v>
      </c>
      <c r="AE623" s="31">
        <v>0</v>
      </c>
      <c r="AF623" s="34" t="s">
        <v>270</v>
      </c>
      <c r="AG623" s="34">
        <v>2021</v>
      </c>
      <c r="AH623" s="34">
        <v>2021</v>
      </c>
      <c r="AT623" s="20" t="e">
        <f>VLOOKUP(C623,AW:AX,2,FALSE)</f>
        <v>#N/A</v>
      </c>
      <c r="AW623" s="20" t="s">
        <v>393</v>
      </c>
      <c r="AX623" s="20">
        <v>1</v>
      </c>
      <c r="BZ623" s="71"/>
      <c r="CD623" s="20" t="e">
        <f t="shared" si="153"/>
        <v>#N/A</v>
      </c>
      <c r="CE623" s="109" t="s">
        <v>494</v>
      </c>
      <c r="CF623" s="109">
        <v>761.5</v>
      </c>
    </row>
    <row r="624" spans="1:84" ht="61.5" x14ac:dyDescent="0.85">
      <c r="A624" s="20">
        <v>1</v>
      </c>
      <c r="B624" s="66">
        <f>SUBTOTAL(103,$A$558:A624)</f>
        <v>67</v>
      </c>
      <c r="C624" s="24" t="s">
        <v>490</v>
      </c>
      <c r="D624" s="31">
        <f t="shared" si="155"/>
        <v>2556530.7300000004</v>
      </c>
      <c r="E624" s="31">
        <v>0</v>
      </c>
      <c r="F624" s="31">
        <v>0</v>
      </c>
      <c r="G624" s="31">
        <v>0</v>
      </c>
      <c r="H624" s="31">
        <v>0</v>
      </c>
      <c r="I624" s="31">
        <v>0</v>
      </c>
      <c r="J624" s="31">
        <v>0</v>
      </c>
      <c r="K624" s="74">
        <v>0</v>
      </c>
      <c r="L624" s="31">
        <v>0</v>
      </c>
      <c r="M624" s="39">
        <v>693</v>
      </c>
      <c r="N624" s="31">
        <v>2518749.4900000002</v>
      </c>
      <c r="O624" s="31">
        <v>0</v>
      </c>
      <c r="P624" s="31">
        <v>0</v>
      </c>
      <c r="Q624" s="31">
        <v>0</v>
      </c>
      <c r="R624" s="31">
        <v>0</v>
      </c>
      <c r="S624" s="31">
        <v>0</v>
      </c>
      <c r="T624" s="31">
        <v>0</v>
      </c>
      <c r="U624" s="31">
        <v>0</v>
      </c>
      <c r="V624" s="31">
        <v>0</v>
      </c>
      <c r="W624" s="31">
        <v>0</v>
      </c>
      <c r="X624" s="31">
        <v>0</v>
      </c>
      <c r="Y624" s="31">
        <v>0</v>
      </c>
      <c r="Z624" s="31">
        <v>0</v>
      </c>
      <c r="AA624" s="31">
        <v>0</v>
      </c>
      <c r="AB624" s="31">
        <v>0</v>
      </c>
      <c r="AC624" s="31">
        <v>37781.24</v>
      </c>
      <c r="AD624" s="31">
        <v>0</v>
      </c>
      <c r="AE624" s="31">
        <v>0</v>
      </c>
      <c r="AF624" s="34" t="s">
        <v>270</v>
      </c>
      <c r="AG624" s="34">
        <v>2021</v>
      </c>
      <c r="AH624" s="34">
        <v>2021</v>
      </c>
      <c r="AT624" s="20" t="e">
        <f>VLOOKUP(C624,AW:AX,2,FALSE)</f>
        <v>#N/A</v>
      </c>
      <c r="AW624" s="20" t="s">
        <v>433</v>
      </c>
      <c r="AX624" s="20">
        <v>1</v>
      </c>
      <c r="BZ624" s="71"/>
      <c r="CD624" s="20" t="e">
        <f t="shared" si="153"/>
        <v>#N/A</v>
      </c>
      <c r="CE624" s="109" t="s">
        <v>453</v>
      </c>
      <c r="CF624" s="109">
        <v>865.12</v>
      </c>
    </row>
    <row r="625" spans="1:84" ht="61.5" x14ac:dyDescent="0.85">
      <c r="A625" s="20">
        <v>1</v>
      </c>
      <c r="B625" s="66">
        <f>SUBTOTAL(103,$A$558:A625)</f>
        <v>68</v>
      </c>
      <c r="C625" s="24" t="s">
        <v>1101</v>
      </c>
      <c r="D625" s="31">
        <f t="shared" si="155"/>
        <v>2262188.67</v>
      </c>
      <c r="E625" s="31">
        <v>0</v>
      </c>
      <c r="F625" s="31">
        <v>0</v>
      </c>
      <c r="G625" s="31">
        <v>0</v>
      </c>
      <c r="H625" s="31">
        <v>0</v>
      </c>
      <c r="I625" s="31">
        <v>0</v>
      </c>
      <c r="J625" s="31">
        <v>0</v>
      </c>
      <c r="K625" s="74">
        <v>0</v>
      </c>
      <c r="L625" s="31">
        <v>0</v>
      </c>
      <c r="M625" s="39">
        <v>1224</v>
      </c>
      <c r="N625" s="31">
        <v>2228922.0099999998</v>
      </c>
      <c r="O625" s="31">
        <v>0</v>
      </c>
      <c r="P625" s="31">
        <v>0</v>
      </c>
      <c r="Q625" s="31"/>
      <c r="R625" s="31">
        <v>0</v>
      </c>
      <c r="S625" s="31">
        <v>0</v>
      </c>
      <c r="T625" s="31">
        <v>0</v>
      </c>
      <c r="U625" s="31">
        <v>0</v>
      </c>
      <c r="V625" s="31">
        <v>0</v>
      </c>
      <c r="W625" s="31">
        <v>0</v>
      </c>
      <c r="X625" s="31">
        <v>0</v>
      </c>
      <c r="Y625" s="31">
        <v>0</v>
      </c>
      <c r="Z625" s="31">
        <v>0</v>
      </c>
      <c r="AA625" s="31">
        <v>0</v>
      </c>
      <c r="AB625" s="31">
        <v>0</v>
      </c>
      <c r="AC625" s="31">
        <v>33266.660000000003</v>
      </c>
      <c r="AD625" s="31">
        <v>0</v>
      </c>
      <c r="AE625" s="31">
        <v>0</v>
      </c>
      <c r="AF625" s="34" t="s">
        <v>270</v>
      </c>
      <c r="AG625" s="34">
        <v>2021</v>
      </c>
      <c r="AH625" s="34">
        <v>2021</v>
      </c>
      <c r="BZ625" s="71"/>
      <c r="CD625" s="20">
        <f t="shared" si="153"/>
        <v>1147.7</v>
      </c>
      <c r="CE625" s="109" t="s">
        <v>1186</v>
      </c>
      <c r="CF625" s="109">
        <v>1906.5</v>
      </c>
    </row>
    <row r="626" spans="1:84" ht="61.5" x14ac:dyDescent="0.85">
      <c r="A626" s="20">
        <v>1</v>
      </c>
      <c r="B626" s="66">
        <f>SUBTOTAL(103,$A$558:A626)</f>
        <v>69</v>
      </c>
      <c r="C626" s="24" t="s">
        <v>1597</v>
      </c>
      <c r="D626" s="31">
        <f t="shared" si="155"/>
        <v>4542675.7399999993</v>
      </c>
      <c r="E626" s="31">
        <v>0</v>
      </c>
      <c r="F626" s="31">
        <v>0</v>
      </c>
      <c r="G626" s="31">
        <v>0</v>
      </c>
      <c r="H626" s="31">
        <v>0</v>
      </c>
      <c r="I626" s="31">
        <v>0</v>
      </c>
      <c r="J626" s="31">
        <v>0</v>
      </c>
      <c r="K626" s="74">
        <v>0</v>
      </c>
      <c r="L626" s="31">
        <v>0</v>
      </c>
      <c r="M626" s="31">
        <v>1119</v>
      </c>
      <c r="N626" s="31">
        <v>4475542.5999999996</v>
      </c>
      <c r="O626" s="31">
        <v>0</v>
      </c>
      <c r="P626" s="31">
        <v>0</v>
      </c>
      <c r="Q626" s="31">
        <v>0</v>
      </c>
      <c r="R626" s="31">
        <v>0</v>
      </c>
      <c r="S626" s="31">
        <v>0</v>
      </c>
      <c r="T626" s="31">
        <v>0</v>
      </c>
      <c r="U626" s="31">
        <v>0</v>
      </c>
      <c r="V626" s="31">
        <v>0</v>
      </c>
      <c r="W626" s="31">
        <v>0</v>
      </c>
      <c r="X626" s="31">
        <v>0</v>
      </c>
      <c r="Y626" s="31">
        <v>0</v>
      </c>
      <c r="Z626" s="31">
        <v>0</v>
      </c>
      <c r="AA626" s="31">
        <v>0</v>
      </c>
      <c r="AB626" s="31">
        <v>0</v>
      </c>
      <c r="AC626" s="31">
        <v>67133.14</v>
      </c>
      <c r="AD626" s="31">
        <v>0</v>
      </c>
      <c r="AE626" s="31">
        <v>0</v>
      </c>
      <c r="AF626" s="34" t="s">
        <v>270</v>
      </c>
      <c r="AG626" s="34">
        <v>2021</v>
      </c>
      <c r="AH626" s="34">
        <v>2021</v>
      </c>
      <c r="BZ626" s="71"/>
      <c r="CD626" s="20" t="e">
        <f t="shared" si="153"/>
        <v>#N/A</v>
      </c>
      <c r="CE626" s="109" t="s">
        <v>1242</v>
      </c>
      <c r="CF626" s="109">
        <v>901.42</v>
      </c>
    </row>
    <row r="627" spans="1:84" ht="61.5" x14ac:dyDescent="0.85">
      <c r="A627" s="20">
        <v>1</v>
      </c>
      <c r="B627" s="66">
        <f>SUBTOTAL(103,$A$558:A627)</f>
        <v>70</v>
      </c>
      <c r="C627" s="24" t="s">
        <v>582</v>
      </c>
      <c r="D627" s="31">
        <f t="shared" si="155"/>
        <v>1966231.38</v>
      </c>
      <c r="E627" s="31">
        <v>0</v>
      </c>
      <c r="F627" s="31">
        <v>0</v>
      </c>
      <c r="G627" s="31">
        <v>0</v>
      </c>
      <c r="H627" s="31">
        <v>0</v>
      </c>
      <c r="I627" s="31">
        <v>0</v>
      </c>
      <c r="J627" s="31">
        <v>0</v>
      </c>
      <c r="K627" s="74">
        <v>0</v>
      </c>
      <c r="L627" s="31">
        <v>0</v>
      </c>
      <c r="M627" s="31">
        <v>917.7</v>
      </c>
      <c r="N627" s="31">
        <v>1939466.75</v>
      </c>
      <c r="O627" s="31">
        <v>0</v>
      </c>
      <c r="P627" s="31">
        <v>0</v>
      </c>
      <c r="Q627" s="31">
        <v>0</v>
      </c>
      <c r="R627" s="31">
        <v>0</v>
      </c>
      <c r="S627" s="31">
        <v>0</v>
      </c>
      <c r="T627" s="31">
        <v>0</v>
      </c>
      <c r="U627" s="31">
        <v>0</v>
      </c>
      <c r="V627" s="31">
        <v>0</v>
      </c>
      <c r="W627" s="31">
        <v>0</v>
      </c>
      <c r="X627" s="31">
        <v>0</v>
      </c>
      <c r="Y627" s="31">
        <v>0</v>
      </c>
      <c r="Z627" s="31">
        <v>0</v>
      </c>
      <c r="AA627" s="31">
        <v>0</v>
      </c>
      <c r="AB627" s="31">
        <v>0</v>
      </c>
      <c r="AC627" s="31">
        <v>26764.63</v>
      </c>
      <c r="AD627" s="31">
        <v>0</v>
      </c>
      <c r="AE627" s="31">
        <v>0</v>
      </c>
      <c r="AF627" s="34" t="s">
        <v>270</v>
      </c>
      <c r="AG627" s="34">
        <v>2021</v>
      </c>
      <c r="AH627" s="34">
        <v>2021</v>
      </c>
      <c r="AT627" s="20" t="e">
        <f>VLOOKUP(C627,AW:AX,2,FALSE)</f>
        <v>#N/A</v>
      </c>
      <c r="BZ627" s="71"/>
    </row>
    <row r="628" spans="1:84" ht="61.5" x14ac:dyDescent="0.85">
      <c r="A628" s="20">
        <v>1</v>
      </c>
      <c r="B628" s="66">
        <f>SUBTOTAL(103,$A$558:A628)</f>
        <v>71</v>
      </c>
      <c r="C628" s="24" t="s">
        <v>1598</v>
      </c>
      <c r="D628" s="31">
        <f t="shared" si="155"/>
        <v>2739411.65</v>
      </c>
      <c r="E628" s="31">
        <v>0</v>
      </c>
      <c r="F628" s="31">
        <v>0</v>
      </c>
      <c r="G628" s="31">
        <v>0</v>
      </c>
      <c r="H628" s="31">
        <v>0</v>
      </c>
      <c r="I628" s="31">
        <v>0</v>
      </c>
      <c r="J628" s="31">
        <v>0</v>
      </c>
      <c r="K628" s="74">
        <v>0</v>
      </c>
      <c r="L628" s="31">
        <v>0</v>
      </c>
      <c r="M628" s="31">
        <v>0</v>
      </c>
      <c r="N628" s="31">
        <v>0</v>
      </c>
      <c r="O628" s="31">
        <v>0</v>
      </c>
      <c r="P628" s="31">
        <v>0</v>
      </c>
      <c r="Q628" s="31">
        <v>1314</v>
      </c>
      <c r="R628" s="31">
        <v>2698927.73</v>
      </c>
      <c r="S628" s="31">
        <v>0</v>
      </c>
      <c r="T628" s="31">
        <v>0</v>
      </c>
      <c r="U628" s="31">
        <v>0</v>
      </c>
      <c r="V628" s="31">
        <v>0</v>
      </c>
      <c r="W628" s="31">
        <v>0</v>
      </c>
      <c r="X628" s="31">
        <v>0</v>
      </c>
      <c r="Y628" s="31">
        <v>0</v>
      </c>
      <c r="Z628" s="31">
        <v>0</v>
      </c>
      <c r="AA628" s="31">
        <v>0</v>
      </c>
      <c r="AB628" s="31">
        <v>0</v>
      </c>
      <c r="AC628" s="31">
        <v>40483.919999999998</v>
      </c>
      <c r="AD628" s="31">
        <v>0</v>
      </c>
      <c r="AE628" s="31">
        <v>0</v>
      </c>
      <c r="AF628" s="34" t="s">
        <v>270</v>
      </c>
      <c r="AG628" s="34">
        <v>2021</v>
      </c>
      <c r="AH628" s="34">
        <v>2021</v>
      </c>
      <c r="BZ628" s="71"/>
      <c r="CD628" s="20" t="e">
        <f t="shared" ref="CD628:CD641" si="156">VLOOKUP(C628,CE:CF,2,FALSE)</f>
        <v>#N/A</v>
      </c>
      <c r="CE628" s="109" t="s">
        <v>44</v>
      </c>
      <c r="CF628" s="109">
        <v>631</v>
      </c>
    </row>
    <row r="629" spans="1:84" ht="61.5" x14ac:dyDescent="0.85">
      <c r="A629" s="20">
        <v>1</v>
      </c>
      <c r="B629" s="66">
        <f>SUBTOTAL(103,$A$558:A629)</f>
        <v>72</v>
      </c>
      <c r="C629" s="24" t="s">
        <v>500</v>
      </c>
      <c r="D629" s="31">
        <f t="shared" ref="D629:D634" si="157">E629+F629+G629+H629+I629+J629+L629+N629+P629+R629+T629+U629+V629+W629+X629+Y629+Z629+AA629+AB629+AC629+AD629+AE629</f>
        <v>4074712.4</v>
      </c>
      <c r="E629" s="31">
        <v>0</v>
      </c>
      <c r="F629" s="31">
        <v>0</v>
      </c>
      <c r="G629" s="31">
        <v>0</v>
      </c>
      <c r="H629" s="31">
        <v>0</v>
      </c>
      <c r="I629" s="31">
        <v>0</v>
      </c>
      <c r="J629" s="31">
        <v>0</v>
      </c>
      <c r="K629" s="74">
        <v>0</v>
      </c>
      <c r="L629" s="31">
        <v>0</v>
      </c>
      <c r="M629" s="31">
        <v>800</v>
      </c>
      <c r="N629" s="31">
        <v>4014495</v>
      </c>
      <c r="O629" s="31">
        <v>0</v>
      </c>
      <c r="P629" s="31">
        <v>0</v>
      </c>
      <c r="Q629" s="31">
        <v>0</v>
      </c>
      <c r="R629" s="31">
        <v>0</v>
      </c>
      <c r="S629" s="31">
        <v>0</v>
      </c>
      <c r="T629" s="31">
        <v>0</v>
      </c>
      <c r="U629" s="31">
        <v>0</v>
      </c>
      <c r="V629" s="31">
        <v>0</v>
      </c>
      <c r="W629" s="31">
        <v>0</v>
      </c>
      <c r="X629" s="31">
        <v>0</v>
      </c>
      <c r="Y629" s="31">
        <v>0</v>
      </c>
      <c r="Z629" s="31">
        <v>0</v>
      </c>
      <c r="AA629" s="31">
        <v>0</v>
      </c>
      <c r="AB629" s="31">
        <v>0</v>
      </c>
      <c r="AC629" s="31">
        <v>60217.4</v>
      </c>
      <c r="AD629" s="31">
        <v>0</v>
      </c>
      <c r="AE629" s="31">
        <v>0</v>
      </c>
      <c r="AF629" s="34" t="s">
        <v>270</v>
      </c>
      <c r="AG629" s="34">
        <v>2021</v>
      </c>
      <c r="AH629" s="34">
        <v>2021</v>
      </c>
      <c r="AT629" s="20" t="e">
        <f>VLOOKUP(C629,AW:AX,2,FALSE)</f>
        <v>#N/A</v>
      </c>
      <c r="BZ629" s="71"/>
      <c r="CD629" s="20" t="e">
        <f t="shared" si="156"/>
        <v>#N/A</v>
      </c>
      <c r="CE629" s="109" t="s">
        <v>152</v>
      </c>
      <c r="CF629" s="109">
        <v>833.9</v>
      </c>
    </row>
    <row r="630" spans="1:84" ht="61.5" x14ac:dyDescent="0.85">
      <c r="A630" s="20">
        <v>1</v>
      </c>
      <c r="B630" s="66">
        <f>SUBTOTAL(103,$A$558:A630)</f>
        <v>73</v>
      </c>
      <c r="C630" s="24" t="s">
        <v>1599</v>
      </c>
      <c r="D630" s="31">
        <f>E630+F630+G630+H630+I630+J630+L630+N630+P630+R630+T630+U630+V630+W630+X630+Y630+Z630+AA630+AB630+AC630+AD630+AE630</f>
        <v>3000999.9</v>
      </c>
      <c r="E630" s="31">
        <v>0</v>
      </c>
      <c r="F630" s="31">
        <v>0</v>
      </c>
      <c r="G630" s="31">
        <v>0</v>
      </c>
      <c r="H630" s="31">
        <v>0</v>
      </c>
      <c r="I630" s="31">
        <v>0</v>
      </c>
      <c r="J630" s="31">
        <v>0</v>
      </c>
      <c r="K630" s="74">
        <v>0</v>
      </c>
      <c r="L630" s="31">
        <v>0</v>
      </c>
      <c r="M630" s="31">
        <v>707</v>
      </c>
      <c r="N630" s="31">
        <v>2956650.15</v>
      </c>
      <c r="O630" s="31">
        <v>0</v>
      </c>
      <c r="P630" s="31">
        <v>0</v>
      </c>
      <c r="Q630" s="31">
        <v>0</v>
      </c>
      <c r="R630" s="31">
        <v>0</v>
      </c>
      <c r="S630" s="31">
        <v>0</v>
      </c>
      <c r="T630" s="31">
        <v>0</v>
      </c>
      <c r="U630" s="31">
        <v>0</v>
      </c>
      <c r="V630" s="31">
        <v>0</v>
      </c>
      <c r="W630" s="31">
        <v>0</v>
      </c>
      <c r="X630" s="31">
        <v>0</v>
      </c>
      <c r="Y630" s="31">
        <v>0</v>
      </c>
      <c r="Z630" s="31">
        <v>0</v>
      </c>
      <c r="AA630" s="31">
        <v>0</v>
      </c>
      <c r="AB630" s="31">
        <v>0</v>
      </c>
      <c r="AC630" s="31">
        <v>44349.75</v>
      </c>
      <c r="AD630" s="31">
        <v>0</v>
      </c>
      <c r="AE630" s="31">
        <v>0</v>
      </c>
      <c r="AF630" s="34" t="s">
        <v>270</v>
      </c>
      <c r="AG630" s="34">
        <v>2021</v>
      </c>
      <c r="AH630" s="34">
        <v>2021</v>
      </c>
      <c r="BZ630" s="71"/>
      <c r="CD630" s="20" t="e">
        <f t="shared" si="156"/>
        <v>#N/A</v>
      </c>
      <c r="CE630" s="109" t="s">
        <v>43</v>
      </c>
      <c r="CF630" s="109">
        <v>566</v>
      </c>
    </row>
    <row r="631" spans="1:84" ht="61.5" x14ac:dyDescent="0.85">
      <c r="A631" s="20">
        <v>1</v>
      </c>
      <c r="B631" s="66">
        <f>SUBTOTAL(103,$A$558:A631)</f>
        <v>74</v>
      </c>
      <c r="C631" s="24" t="s">
        <v>504</v>
      </c>
      <c r="D631" s="31">
        <f t="shared" si="157"/>
        <v>709000</v>
      </c>
      <c r="E631" s="31">
        <v>0</v>
      </c>
      <c r="F631" s="31">
        <v>0</v>
      </c>
      <c r="G631" s="31">
        <v>600000</v>
      </c>
      <c r="H631" s="31">
        <v>0</v>
      </c>
      <c r="I631" s="31">
        <v>0</v>
      </c>
      <c r="J631" s="31">
        <v>0</v>
      </c>
      <c r="K631" s="74">
        <v>0</v>
      </c>
      <c r="L631" s="31">
        <v>0</v>
      </c>
      <c r="M631" s="31">
        <v>0</v>
      </c>
      <c r="N631" s="31">
        <v>0</v>
      </c>
      <c r="O631" s="31">
        <v>0</v>
      </c>
      <c r="P631" s="31">
        <v>0</v>
      </c>
      <c r="Q631" s="31">
        <v>0</v>
      </c>
      <c r="R631" s="31">
        <v>0</v>
      </c>
      <c r="S631" s="31">
        <v>0</v>
      </c>
      <c r="T631" s="31">
        <v>0</v>
      </c>
      <c r="U631" s="31">
        <v>0</v>
      </c>
      <c r="V631" s="31">
        <v>0</v>
      </c>
      <c r="W631" s="31">
        <v>0</v>
      </c>
      <c r="X631" s="31">
        <v>0</v>
      </c>
      <c r="Y631" s="31">
        <v>0</v>
      </c>
      <c r="Z631" s="31">
        <v>0</v>
      </c>
      <c r="AA631" s="31">
        <v>0</v>
      </c>
      <c r="AB631" s="31">
        <v>0</v>
      </c>
      <c r="AC631" s="31">
        <v>9000</v>
      </c>
      <c r="AD631" s="31">
        <v>100000</v>
      </c>
      <c r="AE631" s="31">
        <v>0</v>
      </c>
      <c r="AF631" s="34">
        <v>2021</v>
      </c>
      <c r="AG631" s="34">
        <v>2021</v>
      </c>
      <c r="AH631" s="34">
        <v>2021</v>
      </c>
      <c r="AT631" s="20" t="e">
        <f>VLOOKUP(C631,AW:AX,2,FALSE)</f>
        <v>#N/A</v>
      </c>
      <c r="BZ631" s="71"/>
      <c r="CD631" s="20" t="e">
        <f t="shared" si="156"/>
        <v>#N/A</v>
      </c>
      <c r="CE631" s="109" t="s">
        <v>517</v>
      </c>
      <c r="CF631" s="109">
        <v>702.2</v>
      </c>
    </row>
    <row r="632" spans="1:84" ht="61.5" x14ac:dyDescent="0.85">
      <c r="A632" s="20">
        <v>1</v>
      </c>
      <c r="B632" s="66">
        <f>SUBTOTAL(103,$A$558:A632)</f>
        <v>75</v>
      </c>
      <c r="C632" s="24" t="s">
        <v>506</v>
      </c>
      <c r="D632" s="31">
        <f>E632+F632+G632+H632+I632+J632+L632+N632+P632+R632+T632+U632+V632+W632+X632+Y632+Z632+AA632+AB632+AC632+AD632+AE632</f>
        <v>2489210.85</v>
      </c>
      <c r="E632" s="31">
        <v>0</v>
      </c>
      <c r="F632" s="31">
        <v>0</v>
      </c>
      <c r="G632" s="31">
        <v>0</v>
      </c>
      <c r="H632" s="31">
        <v>0</v>
      </c>
      <c r="I632" s="31">
        <v>0</v>
      </c>
      <c r="J632" s="31">
        <v>0</v>
      </c>
      <c r="K632" s="74">
        <v>0</v>
      </c>
      <c r="L632" s="31">
        <v>0</v>
      </c>
      <c r="M632" s="31">
        <v>605</v>
      </c>
      <c r="N632" s="31">
        <v>2452424.48</v>
      </c>
      <c r="O632" s="31">
        <v>0</v>
      </c>
      <c r="P632" s="31">
        <v>0</v>
      </c>
      <c r="Q632" s="31">
        <v>0</v>
      </c>
      <c r="R632" s="31">
        <v>0</v>
      </c>
      <c r="S632" s="31">
        <v>0</v>
      </c>
      <c r="T632" s="31">
        <v>0</v>
      </c>
      <c r="U632" s="31">
        <v>0</v>
      </c>
      <c r="V632" s="31">
        <v>0</v>
      </c>
      <c r="W632" s="31">
        <v>0</v>
      </c>
      <c r="X632" s="31">
        <v>0</v>
      </c>
      <c r="Y632" s="31">
        <v>0</v>
      </c>
      <c r="Z632" s="31">
        <v>0</v>
      </c>
      <c r="AA632" s="31">
        <v>0</v>
      </c>
      <c r="AB632" s="31">
        <v>0</v>
      </c>
      <c r="AC632" s="31">
        <v>36786.370000000003</v>
      </c>
      <c r="AD632" s="31">
        <v>0</v>
      </c>
      <c r="AE632" s="31">
        <v>0</v>
      </c>
      <c r="AF632" s="34" t="s">
        <v>270</v>
      </c>
      <c r="AG632" s="34">
        <v>2021</v>
      </c>
      <c r="AH632" s="34">
        <v>2021</v>
      </c>
      <c r="AT632" s="20" t="e">
        <f>VLOOKUP(C632,AW:AX,2,FALSE)</f>
        <v>#N/A</v>
      </c>
      <c r="BZ632" s="71"/>
      <c r="CD632" s="20" t="e">
        <f t="shared" si="156"/>
        <v>#N/A</v>
      </c>
      <c r="CE632" s="109" t="s">
        <v>522</v>
      </c>
      <c r="CF632" s="109">
        <v>1000</v>
      </c>
    </row>
    <row r="633" spans="1:84" ht="61.5" x14ac:dyDescent="0.85">
      <c r="A633" s="20">
        <v>1</v>
      </c>
      <c r="B633" s="66">
        <f>SUBTOTAL(103,$A$558:A633)</f>
        <v>76</v>
      </c>
      <c r="C633" s="24" t="s">
        <v>529</v>
      </c>
      <c r="D633" s="31">
        <f t="shared" ref="D633" si="158">E633+F633+G633+H633+I633+J633+L633+N633+P633+R633+T633+U633+V633+W633+X633+Y633+Z633+AA633+AB633+AC633+AD633+AE633</f>
        <v>2278490.67</v>
      </c>
      <c r="E633" s="31">
        <v>0</v>
      </c>
      <c r="F633" s="31">
        <v>0</v>
      </c>
      <c r="G633" s="31">
        <v>0</v>
      </c>
      <c r="H633" s="31">
        <v>0</v>
      </c>
      <c r="I633" s="31">
        <v>0</v>
      </c>
      <c r="J633" s="31">
        <v>0</v>
      </c>
      <c r="K633" s="74">
        <v>0</v>
      </c>
      <c r="L633" s="31">
        <v>0</v>
      </c>
      <c r="M633" s="31">
        <v>565</v>
      </c>
      <c r="N633" s="31">
        <v>2244818.39</v>
      </c>
      <c r="O633" s="31">
        <v>0</v>
      </c>
      <c r="P633" s="31">
        <v>0</v>
      </c>
      <c r="Q633" s="31">
        <v>0</v>
      </c>
      <c r="R633" s="31">
        <v>0</v>
      </c>
      <c r="S633" s="31">
        <v>0</v>
      </c>
      <c r="T633" s="31">
        <v>0</v>
      </c>
      <c r="U633" s="31">
        <v>0</v>
      </c>
      <c r="V633" s="31">
        <v>0</v>
      </c>
      <c r="W633" s="31">
        <v>0</v>
      </c>
      <c r="X633" s="31">
        <v>0</v>
      </c>
      <c r="Y633" s="31">
        <v>0</v>
      </c>
      <c r="Z633" s="31">
        <v>0</v>
      </c>
      <c r="AA633" s="31">
        <v>0</v>
      </c>
      <c r="AB633" s="31">
        <v>0</v>
      </c>
      <c r="AC633" s="31">
        <v>33672.28</v>
      </c>
      <c r="AD633" s="31">
        <v>0</v>
      </c>
      <c r="AE633" s="31">
        <v>0</v>
      </c>
      <c r="AF633" s="34" t="s">
        <v>270</v>
      </c>
      <c r="AG633" s="34">
        <v>2021</v>
      </c>
      <c r="AH633" s="34">
        <v>2021</v>
      </c>
      <c r="AT633" s="20" t="e">
        <f>VLOOKUP(C633,AW:AX,2,FALSE)</f>
        <v>#N/A</v>
      </c>
      <c r="BZ633" s="71"/>
      <c r="CD633" s="20" t="e">
        <f t="shared" si="156"/>
        <v>#N/A</v>
      </c>
      <c r="CE633" s="109" t="s">
        <v>1171</v>
      </c>
      <c r="CF633" s="109">
        <v>1206.22</v>
      </c>
    </row>
    <row r="634" spans="1:84" ht="61.5" x14ac:dyDescent="0.85">
      <c r="A634" s="20">
        <v>1</v>
      </c>
      <c r="B634" s="66">
        <f>SUBTOTAL(103,$A$558:A634)</f>
        <v>77</v>
      </c>
      <c r="C634" s="24" t="s">
        <v>1379</v>
      </c>
      <c r="D634" s="31">
        <f t="shared" si="157"/>
        <v>2200503.0099999998</v>
      </c>
      <c r="E634" s="31">
        <v>0</v>
      </c>
      <c r="F634" s="31">
        <v>0</v>
      </c>
      <c r="G634" s="31">
        <v>0</v>
      </c>
      <c r="H634" s="31">
        <v>0</v>
      </c>
      <c r="I634" s="31">
        <v>0</v>
      </c>
      <c r="J634" s="31">
        <v>0</v>
      </c>
      <c r="K634" s="74">
        <v>0</v>
      </c>
      <c r="L634" s="31">
        <v>0</v>
      </c>
      <c r="M634" s="31">
        <v>0</v>
      </c>
      <c r="N634" s="31">
        <v>0</v>
      </c>
      <c r="O634" s="31">
        <v>0</v>
      </c>
      <c r="P634" s="31">
        <v>0</v>
      </c>
      <c r="Q634" s="39">
        <v>736</v>
      </c>
      <c r="R634" s="31">
        <v>2167983.2599999998</v>
      </c>
      <c r="S634" s="31">
        <v>0</v>
      </c>
      <c r="T634" s="31">
        <v>0</v>
      </c>
      <c r="U634" s="31">
        <v>0</v>
      </c>
      <c r="V634" s="31">
        <v>0</v>
      </c>
      <c r="W634" s="31">
        <v>0</v>
      </c>
      <c r="X634" s="31">
        <v>0</v>
      </c>
      <c r="Y634" s="31">
        <v>0</v>
      </c>
      <c r="Z634" s="31">
        <v>0</v>
      </c>
      <c r="AA634" s="31">
        <v>0</v>
      </c>
      <c r="AB634" s="31">
        <v>0</v>
      </c>
      <c r="AC634" s="31">
        <v>32519.75</v>
      </c>
      <c r="AD634" s="31">
        <v>0</v>
      </c>
      <c r="AE634" s="31">
        <v>0</v>
      </c>
      <c r="AF634" s="34" t="s">
        <v>270</v>
      </c>
      <c r="AG634" s="34">
        <v>2021</v>
      </c>
      <c r="AH634" s="34">
        <v>2021</v>
      </c>
      <c r="BZ634" s="71"/>
      <c r="CD634" s="20" t="e">
        <f t="shared" si="156"/>
        <v>#N/A</v>
      </c>
      <c r="CE634" s="109" t="s">
        <v>639</v>
      </c>
      <c r="CF634" s="109">
        <v>563.1</v>
      </c>
    </row>
    <row r="635" spans="1:84" ht="61.5" x14ac:dyDescent="0.85">
      <c r="A635" s="20">
        <v>1</v>
      </c>
      <c r="B635" s="66">
        <f>SUBTOTAL(103,$A$558:A635)</f>
        <v>78</v>
      </c>
      <c r="C635" s="24" t="s">
        <v>1627</v>
      </c>
      <c r="D635" s="31">
        <f>E635+F635+G635+H635+I635+J635+L635+N635+P635+R635+T635+U635+V635+W635+X635+Y635+Z635+AA635+AB635+AC635+AD635+AE635</f>
        <v>3896205.56</v>
      </c>
      <c r="E635" s="31">
        <v>0</v>
      </c>
      <c r="F635" s="31">
        <v>0</v>
      </c>
      <c r="G635" s="31">
        <v>0</v>
      </c>
      <c r="H635" s="31">
        <v>0</v>
      </c>
      <c r="I635" s="31">
        <v>0</v>
      </c>
      <c r="J635" s="31">
        <v>0</v>
      </c>
      <c r="K635" s="74">
        <v>0</v>
      </c>
      <c r="L635" s="31">
        <v>0</v>
      </c>
      <c r="M635" s="31">
        <v>878</v>
      </c>
      <c r="N635" s="31">
        <v>3838626.17</v>
      </c>
      <c r="O635" s="31">
        <v>0</v>
      </c>
      <c r="P635" s="31">
        <v>0</v>
      </c>
      <c r="Q635" s="31">
        <v>0</v>
      </c>
      <c r="R635" s="31">
        <v>0</v>
      </c>
      <c r="S635" s="31">
        <v>0</v>
      </c>
      <c r="T635" s="31">
        <v>0</v>
      </c>
      <c r="U635" s="31">
        <v>0</v>
      </c>
      <c r="V635" s="31">
        <v>0</v>
      </c>
      <c r="W635" s="31">
        <v>0</v>
      </c>
      <c r="X635" s="31">
        <v>0</v>
      </c>
      <c r="Y635" s="31">
        <v>0</v>
      </c>
      <c r="Z635" s="31">
        <v>0</v>
      </c>
      <c r="AA635" s="31">
        <v>0</v>
      </c>
      <c r="AB635" s="31">
        <v>0</v>
      </c>
      <c r="AC635" s="31">
        <v>57579.39</v>
      </c>
      <c r="AD635" s="31">
        <v>0</v>
      </c>
      <c r="AE635" s="31">
        <v>0</v>
      </c>
      <c r="AF635" s="34" t="s">
        <v>270</v>
      </c>
      <c r="AG635" s="34">
        <v>2021</v>
      </c>
      <c r="AH635" s="34">
        <v>2021</v>
      </c>
      <c r="BZ635" s="71"/>
      <c r="CD635" s="20" t="e">
        <f t="shared" si="156"/>
        <v>#N/A</v>
      </c>
    </row>
    <row r="636" spans="1:84" ht="61.5" x14ac:dyDescent="0.85">
      <c r="A636" s="20">
        <v>1</v>
      </c>
      <c r="B636" s="66">
        <f>SUBTOTAL(103,$A$558:A636)</f>
        <v>79</v>
      </c>
      <c r="C636" s="24" t="s">
        <v>571</v>
      </c>
      <c r="D636" s="31">
        <f t="shared" ref="D636" si="159">E636+F636+G636+H636+I636+J636+L636+N636+P636+R636+T636+U636+V636+W636+X636+Y636+Z636+AA636+AB636+AC636+AD636+AE636</f>
        <v>1123224.57</v>
      </c>
      <c r="E636" s="31">
        <v>0</v>
      </c>
      <c r="F636" s="31">
        <v>0</v>
      </c>
      <c r="G636" s="31">
        <v>0</v>
      </c>
      <c r="H636" s="31">
        <v>0</v>
      </c>
      <c r="I636" s="31">
        <v>0</v>
      </c>
      <c r="J636" s="31">
        <v>0</v>
      </c>
      <c r="K636" s="74">
        <v>0</v>
      </c>
      <c r="L636" s="31">
        <v>0</v>
      </c>
      <c r="M636" s="31">
        <v>230</v>
      </c>
      <c r="N636" s="31">
        <v>1008103.02</v>
      </c>
      <c r="O636" s="31">
        <v>0</v>
      </c>
      <c r="P636" s="31">
        <v>0</v>
      </c>
      <c r="Q636" s="31">
        <v>0</v>
      </c>
      <c r="R636" s="31">
        <v>0</v>
      </c>
      <c r="S636" s="31">
        <v>0</v>
      </c>
      <c r="T636" s="31">
        <v>0</v>
      </c>
      <c r="U636" s="31">
        <v>0</v>
      </c>
      <c r="V636" s="31">
        <v>0</v>
      </c>
      <c r="W636" s="31">
        <v>0</v>
      </c>
      <c r="X636" s="31">
        <v>0</v>
      </c>
      <c r="Y636" s="31">
        <v>0</v>
      </c>
      <c r="Z636" s="31">
        <v>0</v>
      </c>
      <c r="AA636" s="31">
        <v>0</v>
      </c>
      <c r="AB636" s="31">
        <v>0</v>
      </c>
      <c r="AC636" s="31">
        <v>15121.55</v>
      </c>
      <c r="AD636" s="31">
        <v>100000</v>
      </c>
      <c r="AE636" s="31">
        <v>0</v>
      </c>
      <c r="AF636" s="34">
        <v>2021</v>
      </c>
      <c r="AG636" s="34">
        <v>2021</v>
      </c>
      <c r="AH636" s="34">
        <v>2021</v>
      </c>
      <c r="BZ636" s="71"/>
      <c r="CD636" s="20" t="e">
        <f t="shared" si="156"/>
        <v>#N/A</v>
      </c>
    </row>
    <row r="637" spans="1:84" ht="61.5" x14ac:dyDescent="0.85">
      <c r="A637" s="20">
        <v>1</v>
      </c>
      <c r="B637" s="66">
        <f>SUBTOTAL(103,$A$558:A637)</f>
        <v>80</v>
      </c>
      <c r="C637" s="24" t="s">
        <v>492</v>
      </c>
      <c r="D637" s="31">
        <f t="shared" si="145"/>
        <v>3888265.4</v>
      </c>
      <c r="E637" s="31">
        <v>0</v>
      </c>
      <c r="F637" s="31">
        <v>0</v>
      </c>
      <c r="G637" s="31">
        <v>0</v>
      </c>
      <c r="H637" s="31">
        <v>0</v>
      </c>
      <c r="I637" s="31">
        <v>0</v>
      </c>
      <c r="J637" s="31">
        <v>0</v>
      </c>
      <c r="K637" s="33">
        <v>0</v>
      </c>
      <c r="L637" s="31">
        <v>0</v>
      </c>
      <c r="M637" s="31">
        <v>947.4</v>
      </c>
      <c r="N637" s="31">
        <v>3830803.35</v>
      </c>
      <c r="O637" s="31">
        <v>0</v>
      </c>
      <c r="P637" s="31">
        <v>0</v>
      </c>
      <c r="Q637" s="31">
        <v>0</v>
      </c>
      <c r="R637" s="31">
        <v>0</v>
      </c>
      <c r="S637" s="31">
        <v>0</v>
      </c>
      <c r="T637" s="31">
        <v>0</v>
      </c>
      <c r="U637" s="31">
        <v>0</v>
      </c>
      <c r="V637" s="31">
        <v>0</v>
      </c>
      <c r="W637" s="31">
        <v>0</v>
      </c>
      <c r="X637" s="31">
        <v>0</v>
      </c>
      <c r="Y637" s="31">
        <v>0</v>
      </c>
      <c r="Z637" s="31">
        <v>0</v>
      </c>
      <c r="AA637" s="31">
        <v>0</v>
      </c>
      <c r="AB637" s="31">
        <v>0</v>
      </c>
      <c r="AC637" s="31">
        <v>57462.05</v>
      </c>
      <c r="AD637" s="31">
        <v>0</v>
      </c>
      <c r="AE637" s="31">
        <v>0</v>
      </c>
      <c r="AF637" s="34" t="s">
        <v>270</v>
      </c>
      <c r="AG637" s="34">
        <v>2021</v>
      </c>
      <c r="AH637" s="34">
        <v>2021</v>
      </c>
      <c r="AT637" s="20" t="e">
        <f>VLOOKUP(C637,AW:AX,2,FALSE)</f>
        <v>#N/A</v>
      </c>
      <c r="AW637" s="20" t="s">
        <v>792</v>
      </c>
      <c r="AX637" s="20">
        <v>1</v>
      </c>
      <c r="BZ637" s="71"/>
      <c r="CD637" s="20" t="e">
        <f t="shared" si="156"/>
        <v>#N/A</v>
      </c>
      <c r="CE637" s="109" t="s">
        <v>776</v>
      </c>
      <c r="CF637" s="109">
        <v>1319.27</v>
      </c>
    </row>
    <row r="638" spans="1:84" ht="61.5" x14ac:dyDescent="0.85">
      <c r="A638" s="20">
        <v>1</v>
      </c>
      <c r="B638" s="66">
        <f>SUBTOTAL(103,$A$558:A638)</f>
        <v>81</v>
      </c>
      <c r="C638" s="24" t="s">
        <v>1104</v>
      </c>
      <c r="D638" s="31">
        <f t="shared" si="145"/>
        <v>4301356.74</v>
      </c>
      <c r="E638" s="31">
        <v>0</v>
      </c>
      <c r="F638" s="31">
        <v>0</v>
      </c>
      <c r="G638" s="31">
        <v>0</v>
      </c>
      <c r="H638" s="31">
        <v>0</v>
      </c>
      <c r="I638" s="31">
        <v>0</v>
      </c>
      <c r="J638" s="31">
        <v>0</v>
      </c>
      <c r="K638" s="74">
        <v>0</v>
      </c>
      <c r="L638" s="31">
        <v>0</v>
      </c>
      <c r="M638" s="31">
        <v>0</v>
      </c>
      <c r="N638" s="31">
        <v>0</v>
      </c>
      <c r="O638" s="31">
        <v>0</v>
      </c>
      <c r="P638" s="31">
        <v>0</v>
      </c>
      <c r="Q638" s="31">
        <v>1131.4000000000001</v>
      </c>
      <c r="R638" s="31">
        <v>4238103.05</v>
      </c>
      <c r="S638" s="31">
        <v>0</v>
      </c>
      <c r="T638" s="31">
        <v>0</v>
      </c>
      <c r="U638" s="31">
        <v>0</v>
      </c>
      <c r="V638" s="31">
        <v>0</v>
      </c>
      <c r="W638" s="31">
        <v>0</v>
      </c>
      <c r="X638" s="31">
        <v>0</v>
      </c>
      <c r="Y638" s="31">
        <v>0</v>
      </c>
      <c r="Z638" s="31">
        <v>0</v>
      </c>
      <c r="AA638" s="31">
        <v>0</v>
      </c>
      <c r="AB638" s="31">
        <v>0</v>
      </c>
      <c r="AC638" s="31">
        <v>63253.69</v>
      </c>
      <c r="AD638" s="31">
        <v>0</v>
      </c>
      <c r="AE638" s="31">
        <v>0</v>
      </c>
      <c r="AF638" s="34" t="s">
        <v>270</v>
      </c>
      <c r="AG638" s="34">
        <v>2021</v>
      </c>
      <c r="AH638" s="34">
        <v>2021</v>
      </c>
      <c r="BZ638" s="71"/>
      <c r="CD638" s="20" t="e">
        <f t="shared" si="156"/>
        <v>#N/A</v>
      </c>
      <c r="CE638" s="109" t="s">
        <v>1194</v>
      </c>
      <c r="CF638" s="109">
        <v>2073.9</v>
      </c>
    </row>
    <row r="639" spans="1:84" ht="61.5" x14ac:dyDescent="0.85">
      <c r="A639" s="20">
        <v>1</v>
      </c>
      <c r="B639" s="66">
        <f>SUBTOTAL(103,$A$558:A639)</f>
        <v>82</v>
      </c>
      <c r="C639" s="24" t="s">
        <v>1134</v>
      </c>
      <c r="D639" s="31">
        <f t="shared" si="145"/>
        <v>1057247.3700000001</v>
      </c>
      <c r="E639" s="31">
        <v>0</v>
      </c>
      <c r="F639" s="31">
        <v>0</v>
      </c>
      <c r="G639" s="31">
        <v>0</v>
      </c>
      <c r="H639" s="31">
        <v>0</v>
      </c>
      <c r="I639" s="31">
        <v>0</v>
      </c>
      <c r="J639" s="31">
        <v>0</v>
      </c>
      <c r="K639" s="74">
        <v>0</v>
      </c>
      <c r="L639" s="31">
        <v>0</v>
      </c>
      <c r="M639" s="31">
        <v>0</v>
      </c>
      <c r="N639" s="31">
        <v>0</v>
      </c>
      <c r="O639" s="31">
        <v>780</v>
      </c>
      <c r="P639" s="31">
        <v>1041700</v>
      </c>
      <c r="Q639" s="31">
        <v>0</v>
      </c>
      <c r="R639" s="31">
        <v>0</v>
      </c>
      <c r="S639" s="31">
        <v>0</v>
      </c>
      <c r="T639" s="31">
        <v>0</v>
      </c>
      <c r="U639" s="31">
        <v>0</v>
      </c>
      <c r="V639" s="31">
        <v>0</v>
      </c>
      <c r="W639" s="31">
        <v>0</v>
      </c>
      <c r="X639" s="31">
        <v>0</v>
      </c>
      <c r="Y639" s="31">
        <v>0</v>
      </c>
      <c r="Z639" s="31">
        <v>0</v>
      </c>
      <c r="AA639" s="31">
        <v>0</v>
      </c>
      <c r="AB639" s="31">
        <v>0</v>
      </c>
      <c r="AC639" s="31">
        <v>15547.37</v>
      </c>
      <c r="AD639" s="31">
        <v>0</v>
      </c>
      <c r="AE639" s="31">
        <v>0</v>
      </c>
      <c r="AF639" s="34" t="s">
        <v>270</v>
      </c>
      <c r="AG639" s="34">
        <v>2021</v>
      </c>
      <c r="AH639" s="34">
        <v>2021</v>
      </c>
      <c r="BZ639" s="71"/>
      <c r="CD639" s="20" t="e">
        <f t="shared" si="156"/>
        <v>#N/A</v>
      </c>
      <c r="CE639" s="109" t="s">
        <v>5</v>
      </c>
      <c r="CF639" s="109">
        <v>722.14</v>
      </c>
    </row>
    <row r="640" spans="1:84" ht="61.5" x14ac:dyDescent="0.85">
      <c r="A640" s="20">
        <v>1</v>
      </c>
      <c r="B640" s="66">
        <f>SUBTOTAL(103,$A$558:A640)</f>
        <v>83</v>
      </c>
      <c r="C640" s="24" t="s">
        <v>805</v>
      </c>
      <c r="D640" s="31">
        <f>E640+F640+G640+H640+I640+J640+L640+N640+P640+R640+T640+U640+V640+W640+X640+Y640+Z640+AA640+AB640+AC640+AD640+AE640</f>
        <v>1584967.92</v>
      </c>
      <c r="E640" s="31">
        <v>0</v>
      </c>
      <c r="F640" s="31">
        <v>0</v>
      </c>
      <c r="G640" s="31">
        <v>0</v>
      </c>
      <c r="H640" s="31">
        <v>0</v>
      </c>
      <c r="I640" s="31">
        <v>0</v>
      </c>
      <c r="J640" s="31">
        <v>0</v>
      </c>
      <c r="K640" s="74">
        <v>0</v>
      </c>
      <c r="L640" s="31">
        <v>0</v>
      </c>
      <c r="M640" s="31">
        <v>307</v>
      </c>
      <c r="N640" s="31">
        <f>1492579.23+70000</f>
        <v>1562579.23</v>
      </c>
      <c r="O640" s="31">
        <v>0</v>
      </c>
      <c r="P640" s="31">
        <v>0</v>
      </c>
      <c r="Q640" s="31">
        <v>0</v>
      </c>
      <c r="R640" s="31">
        <v>0</v>
      </c>
      <c r="S640" s="31">
        <v>0</v>
      </c>
      <c r="T640" s="31">
        <v>0</v>
      </c>
      <c r="U640" s="31">
        <v>0</v>
      </c>
      <c r="V640" s="31">
        <v>0</v>
      </c>
      <c r="W640" s="31">
        <v>0</v>
      </c>
      <c r="X640" s="31">
        <v>0</v>
      </c>
      <c r="Y640" s="31">
        <v>0</v>
      </c>
      <c r="Z640" s="31">
        <v>0</v>
      </c>
      <c r="AA640" s="31">
        <v>0</v>
      </c>
      <c r="AB640" s="31">
        <v>0</v>
      </c>
      <c r="AC640" s="31">
        <v>22388.69</v>
      </c>
      <c r="AD640" s="31">
        <v>0</v>
      </c>
      <c r="AE640" s="31">
        <v>0</v>
      </c>
      <c r="AF640" s="34" t="s">
        <v>270</v>
      </c>
      <c r="AG640" s="34">
        <v>2021</v>
      </c>
      <c r="AH640" s="34">
        <v>2021</v>
      </c>
      <c r="AT640" s="20" t="e">
        <f>VLOOKUP(C640,AW:AX,2,FALSE)</f>
        <v>#N/A</v>
      </c>
      <c r="BZ640" s="71"/>
      <c r="CD640" s="20" t="e">
        <f t="shared" si="156"/>
        <v>#N/A</v>
      </c>
    </row>
    <row r="641" spans="1:84" ht="61.5" x14ac:dyDescent="0.85">
      <c r="A641" s="20">
        <v>1</v>
      </c>
      <c r="B641" s="66">
        <f>SUBTOTAL(103,$A$558:A641)</f>
        <v>84</v>
      </c>
      <c r="C641" s="24" t="s">
        <v>527</v>
      </c>
      <c r="D641" s="31">
        <f t="shared" ref="D641" si="160">E641+F641+G641+H641+I641+J641+L641+N641+P641+R641+T641+U641+V641+W641+X641+Y641+Z641+AA641+AB641+AC641+AD641+AE641</f>
        <v>3949680.45</v>
      </c>
      <c r="E641" s="31">
        <v>0</v>
      </c>
      <c r="F641" s="31">
        <v>0</v>
      </c>
      <c r="G641" s="31">
        <v>0</v>
      </c>
      <c r="H641" s="31">
        <v>0</v>
      </c>
      <c r="I641" s="31">
        <v>0</v>
      </c>
      <c r="J641" s="31">
        <v>0</v>
      </c>
      <c r="K641" s="74">
        <v>0</v>
      </c>
      <c r="L641" s="31">
        <v>0</v>
      </c>
      <c r="M641" s="31">
        <v>904</v>
      </c>
      <c r="N641" s="31">
        <v>3891310.79</v>
      </c>
      <c r="O641" s="31">
        <v>0</v>
      </c>
      <c r="P641" s="31">
        <v>0</v>
      </c>
      <c r="Q641" s="31">
        <v>0</v>
      </c>
      <c r="R641" s="31">
        <v>0</v>
      </c>
      <c r="S641" s="31">
        <v>0</v>
      </c>
      <c r="T641" s="31">
        <v>0</v>
      </c>
      <c r="U641" s="31">
        <v>0</v>
      </c>
      <c r="V641" s="31">
        <v>0</v>
      </c>
      <c r="W641" s="31">
        <v>0</v>
      </c>
      <c r="X641" s="31">
        <v>0</v>
      </c>
      <c r="Y641" s="31">
        <v>0</v>
      </c>
      <c r="Z641" s="31">
        <v>0</v>
      </c>
      <c r="AA641" s="31">
        <v>0</v>
      </c>
      <c r="AB641" s="31">
        <v>0</v>
      </c>
      <c r="AC641" s="31">
        <v>58369.66</v>
      </c>
      <c r="AD641" s="31">
        <v>0</v>
      </c>
      <c r="AE641" s="31">
        <v>0</v>
      </c>
      <c r="AF641" s="34" t="s">
        <v>270</v>
      </c>
      <c r="AG641" s="34">
        <v>2021</v>
      </c>
      <c r="AH641" s="34">
        <v>2021</v>
      </c>
      <c r="AT641" s="20" t="e">
        <f>VLOOKUP(C641,AW:AX,2,FALSE)</f>
        <v>#N/A</v>
      </c>
      <c r="BZ641" s="71"/>
      <c r="CD641" s="20">
        <f t="shared" si="156"/>
        <v>904</v>
      </c>
      <c r="CE641" s="109" t="s">
        <v>1290</v>
      </c>
      <c r="CF641" s="109">
        <v>1674.7</v>
      </c>
    </row>
    <row r="642" spans="1:84" ht="61.5" x14ac:dyDescent="0.85">
      <c r="A642" s="20">
        <v>1</v>
      </c>
      <c r="B642" s="66">
        <f>SUBTOTAL(103,$A$558:A642)</f>
        <v>85</v>
      </c>
      <c r="C642" s="24" t="s">
        <v>584</v>
      </c>
      <c r="D642" s="31">
        <f>E642+F642+G642+H642+I642+J642+L642+N642+P642+R642+T642+U642+V642+W642+X642+Y642+Z642+AA642+AB642+AC642+AD642+AE642</f>
        <v>2647497.35</v>
      </c>
      <c r="E642" s="31">
        <v>0</v>
      </c>
      <c r="F642" s="31">
        <v>0</v>
      </c>
      <c r="G642" s="31">
        <v>0</v>
      </c>
      <c r="H642" s="31">
        <v>0</v>
      </c>
      <c r="I642" s="31">
        <v>0</v>
      </c>
      <c r="J642" s="31">
        <v>0</v>
      </c>
      <c r="K642" s="74">
        <v>0</v>
      </c>
      <c r="L642" s="31">
        <v>0</v>
      </c>
      <c r="M642" s="31">
        <v>557</v>
      </c>
      <c r="N642" s="31">
        <v>2509849.61</v>
      </c>
      <c r="O642" s="31">
        <v>0</v>
      </c>
      <c r="P642" s="31">
        <v>0</v>
      </c>
      <c r="Q642" s="31">
        <v>0</v>
      </c>
      <c r="R642" s="31">
        <v>0</v>
      </c>
      <c r="S642" s="31">
        <v>0</v>
      </c>
      <c r="T642" s="31">
        <v>0</v>
      </c>
      <c r="U642" s="31">
        <v>0</v>
      </c>
      <c r="V642" s="31">
        <v>0</v>
      </c>
      <c r="W642" s="31">
        <v>0</v>
      </c>
      <c r="X642" s="31">
        <v>0</v>
      </c>
      <c r="Y642" s="31">
        <v>0</v>
      </c>
      <c r="Z642" s="31">
        <v>0</v>
      </c>
      <c r="AA642" s="31">
        <v>0</v>
      </c>
      <c r="AB642" s="31">
        <v>0</v>
      </c>
      <c r="AC642" s="31">
        <v>37647.74</v>
      </c>
      <c r="AD642" s="31">
        <v>100000</v>
      </c>
      <c r="AE642" s="31">
        <v>0</v>
      </c>
      <c r="AF642" s="34">
        <v>2021</v>
      </c>
      <c r="AG642" s="34">
        <v>2021</v>
      </c>
      <c r="AH642" s="34">
        <v>2021</v>
      </c>
      <c r="AT642" s="20" t="e">
        <f>VLOOKUP(C642,AW:AX,2,FALSE)</f>
        <v>#N/A</v>
      </c>
      <c r="BZ642" s="71"/>
    </row>
    <row r="643" spans="1:84" ht="61.5" x14ac:dyDescent="0.85">
      <c r="A643" s="20">
        <v>1</v>
      </c>
      <c r="B643" s="66">
        <f>SUBTOTAL(103,$A$558:A643)</f>
        <v>86</v>
      </c>
      <c r="C643" s="24" t="s">
        <v>593</v>
      </c>
      <c r="D643" s="31">
        <f t="shared" ref="D643:D646" si="161">E643+F643+G643+H643+I643+J643+L643+N643+P643+R643+T643+U643+V643+W643+X643+Y643+Z643+AA643+AB643+AC643+AD643+AE643</f>
        <v>2934067.58</v>
      </c>
      <c r="E643" s="31">
        <v>0</v>
      </c>
      <c r="F643" s="31">
        <v>0</v>
      </c>
      <c r="G643" s="31">
        <v>0</v>
      </c>
      <c r="H643" s="31">
        <v>0</v>
      </c>
      <c r="I643" s="31">
        <v>0</v>
      </c>
      <c r="J643" s="31">
        <v>0</v>
      </c>
      <c r="K643" s="74">
        <v>0</v>
      </c>
      <c r="L643" s="31">
        <v>0</v>
      </c>
      <c r="M643" s="31">
        <v>621.5</v>
      </c>
      <c r="N643" s="31">
        <v>2792184.81</v>
      </c>
      <c r="O643" s="31">
        <v>0</v>
      </c>
      <c r="P643" s="31">
        <v>0</v>
      </c>
      <c r="Q643" s="31">
        <v>0</v>
      </c>
      <c r="R643" s="31">
        <v>0</v>
      </c>
      <c r="S643" s="31">
        <v>0</v>
      </c>
      <c r="T643" s="31">
        <v>0</v>
      </c>
      <c r="U643" s="31">
        <v>0</v>
      </c>
      <c r="V643" s="31">
        <v>0</v>
      </c>
      <c r="W643" s="31">
        <v>0</v>
      </c>
      <c r="X643" s="31">
        <v>0</v>
      </c>
      <c r="Y643" s="31">
        <v>0</v>
      </c>
      <c r="Z643" s="31">
        <v>0</v>
      </c>
      <c r="AA643" s="31">
        <v>0</v>
      </c>
      <c r="AB643" s="31">
        <v>0</v>
      </c>
      <c r="AC643" s="31">
        <v>41882.769999999997</v>
      </c>
      <c r="AD643" s="31">
        <v>100000</v>
      </c>
      <c r="AE643" s="31">
        <v>0</v>
      </c>
      <c r="AF643" s="34">
        <v>2021</v>
      </c>
      <c r="AG643" s="34">
        <v>2021</v>
      </c>
      <c r="AH643" s="34">
        <v>2021</v>
      </c>
      <c r="AT643" s="20" t="e">
        <f>VLOOKUP(C643,AW:AX,2,FALSE)</f>
        <v>#N/A</v>
      </c>
      <c r="BZ643" s="71"/>
    </row>
    <row r="644" spans="1:84" ht="61.5" x14ac:dyDescent="0.85">
      <c r="A644" s="20">
        <v>1</v>
      </c>
      <c r="B644" s="66">
        <f>SUBTOTAL(103,$A$558:A644)</f>
        <v>87</v>
      </c>
      <c r="C644" s="24" t="s">
        <v>597</v>
      </c>
      <c r="D644" s="31">
        <f t="shared" si="161"/>
        <v>2671262.73</v>
      </c>
      <c r="E644" s="31">
        <v>0</v>
      </c>
      <c r="F644" s="31">
        <v>0</v>
      </c>
      <c r="G644" s="31">
        <v>0</v>
      </c>
      <c r="H644" s="31">
        <v>0</v>
      </c>
      <c r="I644" s="31">
        <v>0</v>
      </c>
      <c r="J644" s="31">
        <v>0</v>
      </c>
      <c r="K644" s="74">
        <v>0</v>
      </c>
      <c r="L644" s="31">
        <v>0</v>
      </c>
      <c r="M644" s="31">
        <v>562</v>
      </c>
      <c r="N644" s="31">
        <v>2533263.77</v>
      </c>
      <c r="O644" s="31">
        <v>0</v>
      </c>
      <c r="P644" s="31">
        <v>0</v>
      </c>
      <c r="Q644" s="31">
        <v>0</v>
      </c>
      <c r="R644" s="31">
        <v>0</v>
      </c>
      <c r="S644" s="31">
        <v>0</v>
      </c>
      <c r="T644" s="31">
        <v>0</v>
      </c>
      <c r="U644" s="31">
        <v>0</v>
      </c>
      <c r="V644" s="31">
        <v>0</v>
      </c>
      <c r="W644" s="31">
        <v>0</v>
      </c>
      <c r="X644" s="31">
        <v>0</v>
      </c>
      <c r="Y644" s="31">
        <v>0</v>
      </c>
      <c r="Z644" s="31">
        <v>0</v>
      </c>
      <c r="AA644" s="31">
        <v>0</v>
      </c>
      <c r="AB644" s="31">
        <v>0</v>
      </c>
      <c r="AC644" s="31">
        <v>37998.959999999999</v>
      </c>
      <c r="AD644" s="31">
        <v>100000</v>
      </c>
      <c r="AE644" s="31">
        <v>0</v>
      </c>
      <c r="AF644" s="34">
        <v>2021</v>
      </c>
      <c r="AG644" s="34">
        <v>2021</v>
      </c>
      <c r="AH644" s="34">
        <v>2021</v>
      </c>
      <c r="AT644" s="20" t="e">
        <f>VLOOKUP(C644,AW:AX,2,FALSE)</f>
        <v>#N/A</v>
      </c>
      <c r="BZ644" s="71"/>
    </row>
    <row r="645" spans="1:84" ht="61.5" x14ac:dyDescent="0.85">
      <c r="A645" s="20">
        <v>1</v>
      </c>
      <c r="B645" s="66">
        <f>SUBTOTAL(103,$A$558:A645)</f>
        <v>88</v>
      </c>
      <c r="C645" s="24" t="s">
        <v>1647</v>
      </c>
      <c r="D645" s="31">
        <f t="shared" si="161"/>
        <v>2940502.02</v>
      </c>
      <c r="E645" s="31">
        <v>0</v>
      </c>
      <c r="F645" s="31">
        <v>0</v>
      </c>
      <c r="G645" s="31">
        <v>0</v>
      </c>
      <c r="H645" s="31">
        <v>0</v>
      </c>
      <c r="I645" s="31">
        <v>0</v>
      </c>
      <c r="J645" s="31">
        <v>0</v>
      </c>
      <c r="K645" s="74">
        <v>0</v>
      </c>
      <c r="L645" s="31">
        <v>0</v>
      </c>
      <c r="M645" s="31">
        <v>587</v>
      </c>
      <c r="N645" s="31">
        <v>2798524.16</v>
      </c>
      <c r="O645" s="31">
        <v>0</v>
      </c>
      <c r="P645" s="31">
        <v>0</v>
      </c>
      <c r="Q645" s="31">
        <v>0</v>
      </c>
      <c r="R645" s="31">
        <v>0</v>
      </c>
      <c r="S645" s="31">
        <v>0</v>
      </c>
      <c r="T645" s="31">
        <v>0</v>
      </c>
      <c r="U645" s="31">
        <v>0</v>
      </c>
      <c r="V645" s="31">
        <v>0</v>
      </c>
      <c r="W645" s="31">
        <v>0</v>
      </c>
      <c r="X645" s="31">
        <v>0</v>
      </c>
      <c r="Y645" s="31">
        <v>0</v>
      </c>
      <c r="Z645" s="31">
        <v>0</v>
      </c>
      <c r="AA645" s="31">
        <v>0</v>
      </c>
      <c r="AB645" s="31">
        <v>0</v>
      </c>
      <c r="AC645" s="31">
        <v>41977.86</v>
      </c>
      <c r="AD645" s="31">
        <v>100000</v>
      </c>
      <c r="AE645" s="31">
        <v>0</v>
      </c>
      <c r="AF645" s="34">
        <v>2021</v>
      </c>
      <c r="AG645" s="34">
        <v>2021</v>
      </c>
      <c r="AH645" s="34">
        <v>2021</v>
      </c>
      <c r="BZ645" s="71"/>
    </row>
    <row r="646" spans="1:84" ht="61.5" x14ac:dyDescent="0.85">
      <c r="A646" s="20">
        <v>1</v>
      </c>
      <c r="B646" s="66">
        <f>SUBTOTAL(103,$A$558:A646)</f>
        <v>89</v>
      </c>
      <c r="C646" s="24" t="s">
        <v>606</v>
      </c>
      <c r="D646" s="31">
        <f t="shared" si="161"/>
        <v>4504985.5199999996</v>
      </c>
      <c r="E646" s="31">
        <v>0</v>
      </c>
      <c r="F646" s="31">
        <v>0</v>
      </c>
      <c r="G646" s="31">
        <v>0</v>
      </c>
      <c r="H646" s="31">
        <v>0</v>
      </c>
      <c r="I646" s="31">
        <v>0</v>
      </c>
      <c r="J646" s="31">
        <v>0</v>
      </c>
      <c r="K646" s="74">
        <v>0</v>
      </c>
      <c r="L646" s="31">
        <v>0</v>
      </c>
      <c r="M646" s="31">
        <v>952</v>
      </c>
      <c r="N646" s="31">
        <v>4339887.21</v>
      </c>
      <c r="O646" s="31">
        <v>0</v>
      </c>
      <c r="P646" s="31">
        <v>0</v>
      </c>
      <c r="Q646" s="31">
        <v>0</v>
      </c>
      <c r="R646" s="31">
        <v>0</v>
      </c>
      <c r="S646" s="31">
        <v>0</v>
      </c>
      <c r="T646" s="31">
        <v>0</v>
      </c>
      <c r="U646" s="31">
        <v>0</v>
      </c>
      <c r="V646" s="31">
        <v>0</v>
      </c>
      <c r="W646" s="31">
        <v>0</v>
      </c>
      <c r="X646" s="31">
        <v>0</v>
      </c>
      <c r="Y646" s="31">
        <v>0</v>
      </c>
      <c r="Z646" s="31">
        <v>0</v>
      </c>
      <c r="AA646" s="31">
        <v>0</v>
      </c>
      <c r="AB646" s="31">
        <v>0</v>
      </c>
      <c r="AC646" s="31">
        <v>65098.31</v>
      </c>
      <c r="AD646" s="31">
        <v>100000</v>
      </c>
      <c r="AE646" s="31">
        <v>0</v>
      </c>
      <c r="AF646" s="34">
        <v>2021</v>
      </c>
      <c r="AG646" s="34">
        <v>2021</v>
      </c>
      <c r="AH646" s="34">
        <v>2021</v>
      </c>
      <c r="AT646" s="20" t="e">
        <f t="shared" ref="AT646:AT659" si="162">VLOOKUP(C646,AW:AX,2,FALSE)</f>
        <v>#N/A</v>
      </c>
      <c r="BZ646" s="71"/>
    </row>
    <row r="647" spans="1:84" ht="61.5" x14ac:dyDescent="0.85">
      <c r="B647" s="24" t="s">
        <v>762</v>
      </c>
      <c r="C647" s="108"/>
      <c r="D647" s="195">
        <f t="shared" ref="D647:AE647" si="163">SUM(D648:D677)</f>
        <v>98119026.38000001</v>
      </c>
      <c r="E647" s="31">
        <f t="shared" si="163"/>
        <v>215356.42</v>
      </c>
      <c r="F647" s="31">
        <f t="shared" si="163"/>
        <v>0</v>
      </c>
      <c r="G647" s="31">
        <f t="shared" si="163"/>
        <v>10409909.83</v>
      </c>
      <c r="H647" s="31">
        <f t="shared" si="163"/>
        <v>0</v>
      </c>
      <c r="I647" s="31">
        <f t="shared" si="163"/>
        <v>2829323.7</v>
      </c>
      <c r="J647" s="31">
        <f t="shared" si="163"/>
        <v>0</v>
      </c>
      <c r="K647" s="33">
        <f t="shared" si="163"/>
        <v>0</v>
      </c>
      <c r="L647" s="31">
        <f t="shared" si="163"/>
        <v>0</v>
      </c>
      <c r="M647" s="31">
        <f t="shared" si="163"/>
        <v>13846.68</v>
      </c>
      <c r="N647" s="31">
        <f t="shared" si="163"/>
        <v>65949786.280000001</v>
      </c>
      <c r="O647" s="31">
        <f t="shared" si="163"/>
        <v>0</v>
      </c>
      <c r="P647" s="31">
        <f t="shared" si="163"/>
        <v>0</v>
      </c>
      <c r="Q647" s="31">
        <f t="shared" si="163"/>
        <v>3932.58</v>
      </c>
      <c r="R647" s="31">
        <f t="shared" si="163"/>
        <v>14643924.140000001</v>
      </c>
      <c r="S647" s="31">
        <f t="shared" si="163"/>
        <v>0</v>
      </c>
      <c r="T647" s="31">
        <f t="shared" si="163"/>
        <v>0</v>
      </c>
      <c r="U647" s="31">
        <f t="shared" si="163"/>
        <v>0</v>
      </c>
      <c r="V647" s="31">
        <f t="shared" si="163"/>
        <v>0</v>
      </c>
      <c r="W647" s="31">
        <f t="shared" si="163"/>
        <v>0</v>
      </c>
      <c r="X647" s="31">
        <f t="shared" si="163"/>
        <v>0</v>
      </c>
      <c r="Y647" s="31">
        <f t="shared" si="163"/>
        <v>0</v>
      </c>
      <c r="Z647" s="31">
        <f t="shared" si="163"/>
        <v>0</v>
      </c>
      <c r="AA647" s="31">
        <f t="shared" si="163"/>
        <v>0</v>
      </c>
      <c r="AB647" s="31">
        <f t="shared" si="163"/>
        <v>0</v>
      </c>
      <c r="AC647" s="31">
        <f t="shared" si="163"/>
        <v>1410724.51</v>
      </c>
      <c r="AD647" s="31">
        <f t="shared" si="163"/>
        <v>2540001.5</v>
      </c>
      <c r="AE647" s="31">
        <f t="shared" si="163"/>
        <v>120000</v>
      </c>
      <c r="AF647" s="72" t="s">
        <v>757</v>
      </c>
      <c r="AG647" s="72" t="s">
        <v>757</v>
      </c>
      <c r="AH647" s="87" t="s">
        <v>757</v>
      </c>
      <c r="AT647" s="20" t="e">
        <f t="shared" si="162"/>
        <v>#N/A</v>
      </c>
      <c r="BZ647" s="71">
        <v>53022412.590000004</v>
      </c>
      <c r="CB647" s="71">
        <f>BZ647-D647</f>
        <v>-45096613.790000007</v>
      </c>
      <c r="CD647" s="20" t="e">
        <f t="shared" ref="CD647:CD663" si="164">VLOOKUP(C647,CE:CF,2,FALSE)</f>
        <v>#N/A</v>
      </c>
    </row>
    <row r="648" spans="1:84" ht="61.5" x14ac:dyDescent="0.85">
      <c r="A648" s="20">
        <v>1</v>
      </c>
      <c r="B648" s="66">
        <f>SUBTOTAL(103,$A$558:A648)</f>
        <v>90</v>
      </c>
      <c r="C648" s="24" t="s">
        <v>457</v>
      </c>
      <c r="D648" s="31">
        <f t="shared" ref="D648:D657" si="165">E648+F648+G648+H648+I648+J648+L648+N648+P648+R648+T648+U648+V648+W648+X648+Y648+Z648+AA648+AB648+AC648+AD648+AE648</f>
        <v>3616357.54</v>
      </c>
      <c r="E648" s="31">
        <v>0</v>
      </c>
      <c r="F648" s="31">
        <v>0</v>
      </c>
      <c r="G648" s="31">
        <v>0</v>
      </c>
      <c r="H648" s="31">
        <v>0</v>
      </c>
      <c r="I648" s="31">
        <v>0</v>
      </c>
      <c r="J648" s="31">
        <v>0</v>
      </c>
      <c r="K648" s="33">
        <v>0</v>
      </c>
      <c r="L648" s="31">
        <v>0</v>
      </c>
      <c r="M648" s="31">
        <v>620.9</v>
      </c>
      <c r="N648" s="31">
        <v>3415130.58</v>
      </c>
      <c r="O648" s="31">
        <v>0</v>
      </c>
      <c r="P648" s="31">
        <v>0</v>
      </c>
      <c r="Q648" s="31">
        <v>0</v>
      </c>
      <c r="R648" s="31">
        <v>0</v>
      </c>
      <c r="S648" s="31">
        <v>0</v>
      </c>
      <c r="T648" s="31">
        <v>0</v>
      </c>
      <c r="U648" s="31">
        <v>0</v>
      </c>
      <c r="V648" s="31">
        <v>0</v>
      </c>
      <c r="W648" s="31">
        <v>0</v>
      </c>
      <c r="X648" s="31">
        <v>0</v>
      </c>
      <c r="Y648" s="31">
        <v>0</v>
      </c>
      <c r="Z648" s="31">
        <v>0</v>
      </c>
      <c r="AA648" s="31">
        <v>0</v>
      </c>
      <c r="AB648" s="31">
        <v>0</v>
      </c>
      <c r="AC648" s="31">
        <f>ROUND(N648*1.5%,2)</f>
        <v>51226.96</v>
      </c>
      <c r="AD648" s="31">
        <v>150000</v>
      </c>
      <c r="AE648" s="31">
        <v>0</v>
      </c>
      <c r="AF648" s="34">
        <v>2021</v>
      </c>
      <c r="AG648" s="34">
        <v>2021</v>
      </c>
      <c r="AH648" s="35">
        <v>2021</v>
      </c>
      <c r="AT648" s="20" t="e">
        <f t="shared" si="162"/>
        <v>#N/A</v>
      </c>
      <c r="BZ648" s="71"/>
      <c r="CD648" s="20" t="e">
        <f t="shared" si="164"/>
        <v>#N/A</v>
      </c>
    </row>
    <row r="649" spans="1:84" ht="61.5" x14ac:dyDescent="0.85">
      <c r="A649" s="20">
        <v>1</v>
      </c>
      <c r="B649" s="66">
        <f>SUBTOTAL(103,$A$558:A649)</f>
        <v>91</v>
      </c>
      <c r="C649" s="24" t="s">
        <v>458</v>
      </c>
      <c r="D649" s="31">
        <f t="shared" si="165"/>
        <v>1638422.64</v>
      </c>
      <c r="E649" s="31">
        <v>0</v>
      </c>
      <c r="F649" s="31">
        <v>0</v>
      </c>
      <c r="G649" s="31">
        <v>0</v>
      </c>
      <c r="H649" s="31">
        <v>0</v>
      </c>
      <c r="I649" s="31">
        <v>0</v>
      </c>
      <c r="J649" s="31">
        <v>0</v>
      </c>
      <c r="K649" s="33">
        <v>0</v>
      </c>
      <c r="L649" s="31">
        <v>0</v>
      </c>
      <c r="M649" s="31">
        <v>0</v>
      </c>
      <c r="N649" s="31">
        <v>0</v>
      </c>
      <c r="O649" s="31">
        <v>0</v>
      </c>
      <c r="P649" s="31">
        <v>0</v>
      </c>
      <c r="Q649" s="31">
        <v>439.04</v>
      </c>
      <c r="R649" s="31">
        <v>1486130.68</v>
      </c>
      <c r="S649" s="31">
        <v>0</v>
      </c>
      <c r="T649" s="31">
        <v>0</v>
      </c>
      <c r="U649" s="31">
        <v>0</v>
      </c>
      <c r="V649" s="31">
        <v>0</v>
      </c>
      <c r="W649" s="31">
        <v>0</v>
      </c>
      <c r="X649" s="31">
        <v>0</v>
      </c>
      <c r="Y649" s="31">
        <v>0</v>
      </c>
      <c r="Z649" s="31">
        <v>0</v>
      </c>
      <c r="AA649" s="31">
        <v>0</v>
      </c>
      <c r="AB649" s="31">
        <v>0</v>
      </c>
      <c r="AC649" s="31">
        <f>ROUND(R649*1.5%,2)</f>
        <v>22291.96</v>
      </c>
      <c r="AD649" s="31">
        <v>130000</v>
      </c>
      <c r="AE649" s="31">
        <v>0</v>
      </c>
      <c r="AF649" s="34">
        <v>2021</v>
      </c>
      <c r="AG649" s="34">
        <v>2021</v>
      </c>
      <c r="AH649" s="35">
        <v>2021</v>
      </c>
      <c r="AT649" s="20" t="e">
        <f t="shared" si="162"/>
        <v>#N/A</v>
      </c>
      <c r="BZ649" s="71"/>
      <c r="CD649" s="20" t="e">
        <f t="shared" si="164"/>
        <v>#N/A</v>
      </c>
    </row>
    <row r="650" spans="1:84" ht="61.5" x14ac:dyDescent="0.85">
      <c r="A650" s="20">
        <v>1</v>
      </c>
      <c r="B650" s="66">
        <f>SUBTOTAL(103,$A$558:A650)</f>
        <v>92</v>
      </c>
      <c r="C650" s="24" t="s">
        <v>459</v>
      </c>
      <c r="D650" s="31">
        <f t="shared" si="165"/>
        <v>4857938</v>
      </c>
      <c r="E650" s="31">
        <v>0</v>
      </c>
      <c r="F650" s="31">
        <v>0</v>
      </c>
      <c r="G650" s="31">
        <v>0</v>
      </c>
      <c r="H650" s="31">
        <v>0</v>
      </c>
      <c r="I650" s="31">
        <v>0</v>
      </c>
      <c r="J650" s="31">
        <v>0</v>
      </c>
      <c r="K650" s="33">
        <v>0</v>
      </c>
      <c r="L650" s="31">
        <v>0</v>
      </c>
      <c r="M650" s="31">
        <v>886</v>
      </c>
      <c r="N650" s="31">
        <v>4638362.5599999996</v>
      </c>
      <c r="O650" s="31">
        <v>0</v>
      </c>
      <c r="P650" s="31">
        <v>0</v>
      </c>
      <c r="Q650" s="31">
        <v>0</v>
      </c>
      <c r="R650" s="31">
        <v>0</v>
      </c>
      <c r="S650" s="31">
        <v>0</v>
      </c>
      <c r="T650" s="31">
        <v>0</v>
      </c>
      <c r="U650" s="31">
        <v>0</v>
      </c>
      <c r="V650" s="31">
        <v>0</v>
      </c>
      <c r="W650" s="31">
        <v>0</v>
      </c>
      <c r="X650" s="31">
        <v>0</v>
      </c>
      <c r="Y650" s="31">
        <v>0</v>
      </c>
      <c r="Z650" s="31">
        <v>0</v>
      </c>
      <c r="AA650" s="31">
        <v>0</v>
      </c>
      <c r="AB650" s="31">
        <v>0</v>
      </c>
      <c r="AC650" s="31">
        <f>ROUND(N650*1.5%,2)</f>
        <v>69575.44</v>
      </c>
      <c r="AD650" s="31">
        <v>150000</v>
      </c>
      <c r="AE650" s="31">
        <v>0</v>
      </c>
      <c r="AF650" s="34">
        <v>2021</v>
      </c>
      <c r="AG650" s="34">
        <v>2021</v>
      </c>
      <c r="AH650" s="35">
        <v>2021</v>
      </c>
      <c r="AT650" s="20" t="e">
        <f t="shared" si="162"/>
        <v>#N/A</v>
      </c>
      <c r="BZ650" s="71"/>
      <c r="CD650" s="20" t="e">
        <f t="shared" si="164"/>
        <v>#N/A</v>
      </c>
    </row>
    <row r="651" spans="1:84" ht="61.5" x14ac:dyDescent="0.85">
      <c r="A651" s="20">
        <v>1</v>
      </c>
      <c r="B651" s="66">
        <f>SUBTOTAL(103,$A$558:A651)</f>
        <v>93</v>
      </c>
      <c r="C651" s="24" t="s">
        <v>460</v>
      </c>
      <c r="D651" s="31">
        <f t="shared" si="165"/>
        <v>3345121.12</v>
      </c>
      <c r="E651" s="31">
        <v>0</v>
      </c>
      <c r="F651" s="31">
        <v>0</v>
      </c>
      <c r="G651" s="31">
        <v>0</v>
      </c>
      <c r="H651" s="31">
        <v>0</v>
      </c>
      <c r="I651" s="31">
        <v>0</v>
      </c>
      <c r="J651" s="31">
        <v>0</v>
      </c>
      <c r="K651" s="33">
        <v>0</v>
      </c>
      <c r="L651" s="31">
        <v>0</v>
      </c>
      <c r="M651" s="31">
        <v>604</v>
      </c>
      <c r="N651" s="31">
        <v>3147902.58</v>
      </c>
      <c r="O651" s="31">
        <v>0</v>
      </c>
      <c r="P651" s="31">
        <v>0</v>
      </c>
      <c r="Q651" s="31">
        <v>0</v>
      </c>
      <c r="R651" s="31">
        <v>0</v>
      </c>
      <c r="S651" s="31">
        <v>0</v>
      </c>
      <c r="T651" s="31">
        <v>0</v>
      </c>
      <c r="U651" s="31">
        <v>0</v>
      </c>
      <c r="V651" s="31">
        <v>0</v>
      </c>
      <c r="W651" s="31">
        <v>0</v>
      </c>
      <c r="X651" s="31">
        <v>0</v>
      </c>
      <c r="Y651" s="31">
        <v>0</v>
      </c>
      <c r="Z651" s="31">
        <v>0</v>
      </c>
      <c r="AA651" s="31">
        <v>0</v>
      </c>
      <c r="AB651" s="31">
        <v>0</v>
      </c>
      <c r="AC651" s="31">
        <f>ROUND(N651*1.5%,2)</f>
        <v>47218.54</v>
      </c>
      <c r="AD651" s="31">
        <v>150000</v>
      </c>
      <c r="AE651" s="31">
        <v>0</v>
      </c>
      <c r="AF651" s="34">
        <v>2021</v>
      </c>
      <c r="AG651" s="34">
        <v>2021</v>
      </c>
      <c r="AH651" s="35">
        <v>2021</v>
      </c>
      <c r="AT651" s="20" t="e">
        <f t="shared" si="162"/>
        <v>#N/A</v>
      </c>
      <c r="BZ651" s="71"/>
      <c r="CD651" s="20" t="e">
        <f t="shared" si="164"/>
        <v>#N/A</v>
      </c>
    </row>
    <row r="652" spans="1:84" ht="61.5" x14ac:dyDescent="0.85">
      <c r="A652" s="20">
        <v>1</v>
      </c>
      <c r="B652" s="66">
        <f>SUBTOTAL(103,$A$558:A652)</f>
        <v>94</v>
      </c>
      <c r="C652" s="24" t="s">
        <v>461</v>
      </c>
      <c r="D652" s="31">
        <f t="shared" si="165"/>
        <v>3345121.12</v>
      </c>
      <c r="E652" s="31">
        <v>0</v>
      </c>
      <c r="F652" s="31">
        <v>0</v>
      </c>
      <c r="G652" s="31">
        <v>0</v>
      </c>
      <c r="H652" s="31">
        <v>0</v>
      </c>
      <c r="I652" s="31">
        <v>0</v>
      </c>
      <c r="J652" s="31">
        <v>0</v>
      </c>
      <c r="K652" s="33">
        <v>0</v>
      </c>
      <c r="L652" s="31">
        <v>0</v>
      </c>
      <c r="M652" s="31">
        <v>604</v>
      </c>
      <c r="N652" s="31">
        <v>3147902.58</v>
      </c>
      <c r="O652" s="31">
        <v>0</v>
      </c>
      <c r="P652" s="31">
        <v>0</v>
      </c>
      <c r="Q652" s="31">
        <v>0</v>
      </c>
      <c r="R652" s="31">
        <v>0</v>
      </c>
      <c r="S652" s="31">
        <v>0</v>
      </c>
      <c r="T652" s="31">
        <v>0</v>
      </c>
      <c r="U652" s="31">
        <v>0</v>
      </c>
      <c r="V652" s="31">
        <v>0</v>
      </c>
      <c r="W652" s="31">
        <v>0</v>
      </c>
      <c r="X652" s="31">
        <v>0</v>
      </c>
      <c r="Y652" s="31">
        <v>0</v>
      </c>
      <c r="Z652" s="31">
        <v>0</v>
      </c>
      <c r="AA652" s="31">
        <v>0</v>
      </c>
      <c r="AB652" s="31">
        <v>0</v>
      </c>
      <c r="AC652" s="31">
        <f>ROUND(N652*1.5%,2)</f>
        <v>47218.54</v>
      </c>
      <c r="AD652" s="31">
        <v>150000</v>
      </c>
      <c r="AE652" s="31">
        <v>0</v>
      </c>
      <c r="AF652" s="34">
        <v>2021</v>
      </c>
      <c r="AG652" s="34">
        <v>2021</v>
      </c>
      <c r="AH652" s="35">
        <v>2021</v>
      </c>
      <c r="AT652" s="20" t="e">
        <f t="shared" si="162"/>
        <v>#N/A</v>
      </c>
      <c r="BZ652" s="71"/>
      <c r="CD652" s="20" t="e">
        <f t="shared" si="164"/>
        <v>#N/A</v>
      </c>
    </row>
    <row r="653" spans="1:84" ht="61.5" x14ac:dyDescent="0.85">
      <c r="A653" s="20">
        <v>1</v>
      </c>
      <c r="B653" s="66">
        <f>SUBTOTAL(103,$A$558:A653)</f>
        <v>95</v>
      </c>
      <c r="C653" s="24" t="s">
        <v>462</v>
      </c>
      <c r="D653" s="31">
        <f t="shared" si="165"/>
        <v>3589208.68</v>
      </c>
      <c r="E653" s="31">
        <v>0</v>
      </c>
      <c r="F653" s="31">
        <v>0</v>
      </c>
      <c r="G653" s="31">
        <v>0</v>
      </c>
      <c r="H653" s="31">
        <v>0</v>
      </c>
      <c r="I653" s="31">
        <v>0</v>
      </c>
      <c r="J653" s="31">
        <v>0</v>
      </c>
      <c r="K653" s="33">
        <v>0</v>
      </c>
      <c r="L653" s="31">
        <v>0</v>
      </c>
      <c r="M653" s="31">
        <v>723.24</v>
      </c>
      <c r="N653" s="31">
        <v>3388382.94</v>
      </c>
      <c r="O653" s="31">
        <v>0</v>
      </c>
      <c r="P653" s="31">
        <v>0</v>
      </c>
      <c r="Q653" s="31">
        <v>0</v>
      </c>
      <c r="R653" s="31">
        <v>0</v>
      </c>
      <c r="S653" s="31">
        <v>0</v>
      </c>
      <c r="T653" s="31">
        <v>0</v>
      </c>
      <c r="U653" s="31">
        <v>0</v>
      </c>
      <c r="V653" s="31">
        <v>0</v>
      </c>
      <c r="W653" s="31">
        <v>0</v>
      </c>
      <c r="X653" s="31">
        <v>0</v>
      </c>
      <c r="Y653" s="31">
        <v>0</v>
      </c>
      <c r="Z653" s="31">
        <v>0</v>
      </c>
      <c r="AA653" s="31">
        <v>0</v>
      </c>
      <c r="AB653" s="31">
        <v>0</v>
      </c>
      <c r="AC653" s="31">
        <f>ROUND(N653*1.5%,2)</f>
        <v>50825.74</v>
      </c>
      <c r="AD653" s="31">
        <v>150000</v>
      </c>
      <c r="AE653" s="31">
        <v>0</v>
      </c>
      <c r="AF653" s="34">
        <v>2021</v>
      </c>
      <c r="AG653" s="34">
        <v>2021</v>
      </c>
      <c r="AH653" s="35">
        <v>2021</v>
      </c>
      <c r="AT653" s="20" t="e">
        <f t="shared" si="162"/>
        <v>#N/A</v>
      </c>
      <c r="BZ653" s="71"/>
      <c r="CD653" s="20" t="e">
        <f t="shared" si="164"/>
        <v>#N/A</v>
      </c>
    </row>
    <row r="654" spans="1:84" ht="61.5" x14ac:dyDescent="0.85">
      <c r="A654" s="20">
        <v>1</v>
      </c>
      <c r="B654" s="66">
        <f>SUBTOTAL(103,$A$558:A654)</f>
        <v>96</v>
      </c>
      <c r="C654" s="24" t="s">
        <v>463</v>
      </c>
      <c r="D654" s="31">
        <f t="shared" si="165"/>
        <v>998954.77999999991</v>
      </c>
      <c r="E654" s="31">
        <v>0</v>
      </c>
      <c r="F654" s="31">
        <v>0</v>
      </c>
      <c r="G654" s="31">
        <v>0</v>
      </c>
      <c r="H654" s="31">
        <v>0</v>
      </c>
      <c r="I654" s="31">
        <v>0</v>
      </c>
      <c r="J654" s="31">
        <v>0</v>
      </c>
      <c r="K654" s="33">
        <v>0</v>
      </c>
      <c r="L654" s="31">
        <v>0</v>
      </c>
      <c r="M654" s="31">
        <v>0</v>
      </c>
      <c r="N654" s="31">
        <v>0</v>
      </c>
      <c r="O654" s="31">
        <v>0</v>
      </c>
      <c r="P654" s="31">
        <v>0</v>
      </c>
      <c r="Q654" s="31">
        <v>409.5</v>
      </c>
      <c r="R654" s="31">
        <v>856113.08</v>
      </c>
      <c r="S654" s="31">
        <v>0</v>
      </c>
      <c r="T654" s="31">
        <v>0</v>
      </c>
      <c r="U654" s="31">
        <v>0</v>
      </c>
      <c r="V654" s="31">
        <v>0</v>
      </c>
      <c r="W654" s="31">
        <v>0</v>
      </c>
      <c r="X654" s="31">
        <v>0</v>
      </c>
      <c r="Y654" s="31">
        <v>0</v>
      </c>
      <c r="Z654" s="31">
        <v>0</v>
      </c>
      <c r="AA654" s="31">
        <v>0</v>
      </c>
      <c r="AB654" s="31">
        <v>0</v>
      </c>
      <c r="AC654" s="31">
        <f>ROUND(R654*1.5%,2)</f>
        <v>12841.7</v>
      </c>
      <c r="AD654" s="31">
        <v>130000</v>
      </c>
      <c r="AE654" s="31">
        <v>0</v>
      </c>
      <c r="AF654" s="34">
        <v>2021</v>
      </c>
      <c r="AG654" s="34">
        <v>2021</v>
      </c>
      <c r="AH654" s="35">
        <v>2021</v>
      </c>
      <c r="AT654" s="20" t="e">
        <f t="shared" si="162"/>
        <v>#N/A</v>
      </c>
      <c r="BZ654" s="71"/>
      <c r="CD654" s="20" t="e">
        <f t="shared" si="164"/>
        <v>#N/A</v>
      </c>
    </row>
    <row r="655" spans="1:84" ht="61.5" x14ac:dyDescent="0.85">
      <c r="A655" s="20">
        <v>1</v>
      </c>
      <c r="B655" s="66">
        <f>SUBTOTAL(103,$A$558:A655)</f>
        <v>97</v>
      </c>
      <c r="C655" s="24" t="s">
        <v>466</v>
      </c>
      <c r="D655" s="31">
        <f t="shared" si="165"/>
        <v>3504528.03</v>
      </c>
      <c r="E655" s="31">
        <f>177249.6+38106.82</f>
        <v>215356.42</v>
      </c>
      <c r="F655" s="31">
        <v>0</v>
      </c>
      <c r="G655" s="31">
        <v>2456692.4499999997</v>
      </c>
      <c r="H655" s="31">
        <v>0</v>
      </c>
      <c r="I655" s="31">
        <v>485121.6</v>
      </c>
      <c r="J655" s="31">
        <v>0</v>
      </c>
      <c r="K655" s="33">
        <v>0</v>
      </c>
      <c r="L655" s="31">
        <v>0</v>
      </c>
      <c r="M655" s="31">
        <v>0</v>
      </c>
      <c r="N655" s="31">
        <v>0</v>
      </c>
      <c r="O655" s="31">
        <v>0</v>
      </c>
      <c r="P655" s="31">
        <v>0</v>
      </c>
      <c r="Q655" s="31">
        <v>0</v>
      </c>
      <c r="R655" s="31">
        <v>0</v>
      </c>
      <c r="S655" s="31">
        <v>0</v>
      </c>
      <c r="T655" s="31">
        <v>0</v>
      </c>
      <c r="U655" s="31">
        <v>0</v>
      </c>
      <c r="V655" s="31">
        <v>0</v>
      </c>
      <c r="W655" s="31">
        <v>0</v>
      </c>
      <c r="X655" s="31">
        <v>0</v>
      </c>
      <c r="Y655" s="31">
        <v>0</v>
      </c>
      <c r="Z655" s="31">
        <v>0</v>
      </c>
      <c r="AA655" s="31">
        <v>0</v>
      </c>
      <c r="AB655" s="31">
        <v>0</v>
      </c>
      <c r="AC655" s="31">
        <f>ROUND((E655+F655+G655+H655+I655+J655)*1.5%,2)</f>
        <v>47357.56</v>
      </c>
      <c r="AD655" s="31">
        <v>300000</v>
      </c>
      <c r="AE655" s="31">
        <v>0</v>
      </c>
      <c r="AF655" s="34">
        <v>2021</v>
      </c>
      <c r="AG655" s="34">
        <v>2021</v>
      </c>
      <c r="AH655" s="35">
        <v>2021</v>
      </c>
      <c r="AT655" s="20" t="e">
        <f t="shared" si="162"/>
        <v>#N/A</v>
      </c>
      <c r="BZ655" s="71"/>
      <c r="CD655" s="20" t="e">
        <f t="shared" si="164"/>
        <v>#N/A</v>
      </c>
    </row>
    <row r="656" spans="1:84" ht="61.5" x14ac:dyDescent="0.85">
      <c r="A656" s="20">
        <v>1</v>
      </c>
      <c r="B656" s="66">
        <f>SUBTOTAL(103,$A$558:A656)</f>
        <v>98</v>
      </c>
      <c r="C656" s="24" t="s">
        <v>467</v>
      </c>
      <c r="D656" s="31">
        <f t="shared" si="165"/>
        <v>7806669.5300000003</v>
      </c>
      <c r="E656" s="31">
        <v>0</v>
      </c>
      <c r="F656" s="31">
        <v>0</v>
      </c>
      <c r="G656" s="31">
        <v>0</v>
      </c>
      <c r="H656" s="31">
        <v>0</v>
      </c>
      <c r="I656" s="31">
        <v>0</v>
      </c>
      <c r="J656" s="31">
        <v>0</v>
      </c>
      <c r="K656" s="33">
        <v>0</v>
      </c>
      <c r="L656" s="31">
        <v>0</v>
      </c>
      <c r="M656" s="31">
        <v>3073.45</v>
      </c>
      <c r="N656" s="31">
        <v>7513960.1299999999</v>
      </c>
      <c r="O656" s="31">
        <v>0</v>
      </c>
      <c r="P656" s="31">
        <v>0</v>
      </c>
      <c r="Q656" s="31">
        <v>0</v>
      </c>
      <c r="R656" s="31">
        <v>0</v>
      </c>
      <c r="S656" s="31">
        <v>0</v>
      </c>
      <c r="T656" s="31">
        <v>0</v>
      </c>
      <c r="U656" s="31">
        <v>0</v>
      </c>
      <c r="V656" s="31">
        <v>0</v>
      </c>
      <c r="W656" s="31">
        <v>0</v>
      </c>
      <c r="X656" s="31">
        <v>0</v>
      </c>
      <c r="Y656" s="31">
        <v>0</v>
      </c>
      <c r="Z656" s="31">
        <v>0</v>
      </c>
      <c r="AA656" s="31">
        <v>0</v>
      </c>
      <c r="AB656" s="31">
        <v>0</v>
      </c>
      <c r="AC656" s="31">
        <f t="shared" ref="AC656:AC663" si="166">ROUND(N656*1.5%,2)</f>
        <v>112709.4</v>
      </c>
      <c r="AD656" s="31">
        <v>180000</v>
      </c>
      <c r="AE656" s="31">
        <v>0</v>
      </c>
      <c r="AF656" s="34">
        <v>2021</v>
      </c>
      <c r="AG656" s="34">
        <v>2021</v>
      </c>
      <c r="AH656" s="35">
        <v>2021</v>
      </c>
      <c r="AT656" s="20" t="e">
        <f t="shared" si="162"/>
        <v>#N/A</v>
      </c>
      <c r="BZ656" s="71"/>
      <c r="CD656" s="20" t="e">
        <f t="shared" si="164"/>
        <v>#N/A</v>
      </c>
    </row>
    <row r="657" spans="1:84" ht="61.5" x14ac:dyDescent="0.85">
      <c r="A657" s="20">
        <v>1</v>
      </c>
      <c r="B657" s="66">
        <f>SUBTOTAL(103,$A$558:A657)</f>
        <v>99</v>
      </c>
      <c r="C657" s="24" t="s">
        <v>447</v>
      </c>
      <c r="D657" s="31">
        <f t="shared" si="165"/>
        <v>4800723</v>
      </c>
      <c r="E657" s="31">
        <v>0</v>
      </c>
      <c r="F657" s="31">
        <v>0</v>
      </c>
      <c r="G657" s="31">
        <v>0</v>
      </c>
      <c r="H657" s="31">
        <v>0</v>
      </c>
      <c r="I657" s="31">
        <v>0</v>
      </c>
      <c r="J657" s="31">
        <v>0</v>
      </c>
      <c r="K657" s="33">
        <v>0</v>
      </c>
      <c r="L657" s="31">
        <v>0</v>
      </c>
      <c r="M657" s="31">
        <v>850</v>
      </c>
      <c r="N657" s="31">
        <v>4729776.3499999996</v>
      </c>
      <c r="O657" s="31">
        <v>0</v>
      </c>
      <c r="P657" s="31">
        <v>0</v>
      </c>
      <c r="Q657" s="31">
        <v>0</v>
      </c>
      <c r="R657" s="31">
        <v>0</v>
      </c>
      <c r="S657" s="31">
        <v>0</v>
      </c>
      <c r="T657" s="31">
        <v>0</v>
      </c>
      <c r="U657" s="31">
        <v>0</v>
      </c>
      <c r="V657" s="31">
        <v>0</v>
      </c>
      <c r="W657" s="31">
        <v>0</v>
      </c>
      <c r="X657" s="31">
        <v>0</v>
      </c>
      <c r="Y657" s="31">
        <v>0</v>
      </c>
      <c r="Z657" s="31">
        <v>0</v>
      </c>
      <c r="AA657" s="31">
        <v>0</v>
      </c>
      <c r="AB657" s="31">
        <v>0</v>
      </c>
      <c r="AC657" s="31">
        <f t="shared" si="166"/>
        <v>70946.649999999994</v>
      </c>
      <c r="AD657" s="31">
        <v>0</v>
      </c>
      <c r="AE657" s="31">
        <v>0</v>
      </c>
      <c r="AF657" s="34" t="s">
        <v>270</v>
      </c>
      <c r="AG657" s="34">
        <v>2021</v>
      </c>
      <c r="AH657" s="35">
        <v>2021</v>
      </c>
      <c r="AT657" s="20" t="e">
        <f t="shared" si="162"/>
        <v>#N/A</v>
      </c>
      <c r="BZ657" s="71"/>
      <c r="CD657" s="20" t="e">
        <f t="shared" si="164"/>
        <v>#N/A</v>
      </c>
    </row>
    <row r="658" spans="1:84" ht="61.5" x14ac:dyDescent="0.85">
      <c r="A658" s="20">
        <v>1</v>
      </c>
      <c r="B658" s="66">
        <f>SUBTOTAL(103,$A$558:A658)</f>
        <v>100</v>
      </c>
      <c r="C658" s="24" t="s">
        <v>1292</v>
      </c>
      <c r="D658" s="31">
        <f t="shared" ref="D658:D668" si="167">E658+F658+G658+H658+I658+J658+L658+N658+P658+R658+T658+U658+V658+W658+X658+Y658+Z658+AA658+AB658+AC658+AD658+AE658</f>
        <v>3973949.34</v>
      </c>
      <c r="E658" s="31">
        <v>0</v>
      </c>
      <c r="F658" s="31">
        <v>0</v>
      </c>
      <c r="G658" s="31">
        <v>0</v>
      </c>
      <c r="H658" s="31">
        <v>0</v>
      </c>
      <c r="I658" s="31">
        <v>0</v>
      </c>
      <c r="J658" s="31">
        <v>0</v>
      </c>
      <c r="K658" s="33">
        <v>0</v>
      </c>
      <c r="L658" s="31">
        <v>0</v>
      </c>
      <c r="M658" s="31">
        <v>716.68</v>
      </c>
      <c r="N658" s="31">
        <v>3767437.77</v>
      </c>
      <c r="O658" s="31">
        <v>0</v>
      </c>
      <c r="P658" s="31">
        <v>0</v>
      </c>
      <c r="Q658" s="31">
        <v>0</v>
      </c>
      <c r="R658" s="31">
        <v>0</v>
      </c>
      <c r="S658" s="31">
        <v>0</v>
      </c>
      <c r="T658" s="31">
        <v>0</v>
      </c>
      <c r="U658" s="31">
        <v>0</v>
      </c>
      <c r="V658" s="31">
        <v>0</v>
      </c>
      <c r="W658" s="31">
        <v>0</v>
      </c>
      <c r="X658" s="31">
        <v>0</v>
      </c>
      <c r="Y658" s="31">
        <v>0</v>
      </c>
      <c r="Z658" s="31">
        <v>0</v>
      </c>
      <c r="AA658" s="31">
        <v>0</v>
      </c>
      <c r="AB658" s="31">
        <v>0</v>
      </c>
      <c r="AC658" s="31">
        <f t="shared" si="166"/>
        <v>56511.57</v>
      </c>
      <c r="AD658" s="31">
        <v>150000</v>
      </c>
      <c r="AE658" s="31">
        <v>0</v>
      </c>
      <c r="AF658" s="34">
        <v>2021</v>
      </c>
      <c r="AG658" s="34">
        <v>2021</v>
      </c>
      <c r="AH658" s="35">
        <v>2021</v>
      </c>
      <c r="AT658" s="20" t="e">
        <f t="shared" si="162"/>
        <v>#N/A</v>
      </c>
      <c r="BZ658" s="71"/>
      <c r="CD658" s="20" t="e">
        <f t="shared" si="164"/>
        <v>#N/A</v>
      </c>
    </row>
    <row r="659" spans="1:84" ht="61.5" x14ac:dyDescent="0.85">
      <c r="A659" s="20">
        <v>1</v>
      </c>
      <c r="B659" s="66">
        <f>SUBTOTAL(103,$A$558:A659)</f>
        <v>101</v>
      </c>
      <c r="C659" s="24" t="s">
        <v>465</v>
      </c>
      <c r="D659" s="31">
        <f t="shared" si="167"/>
        <v>3793636.92</v>
      </c>
      <c r="E659" s="31">
        <v>0</v>
      </c>
      <c r="F659" s="31">
        <v>0</v>
      </c>
      <c r="G659" s="31">
        <v>0</v>
      </c>
      <c r="H659" s="31">
        <v>0</v>
      </c>
      <c r="I659" s="31">
        <v>0</v>
      </c>
      <c r="J659" s="31">
        <v>0</v>
      </c>
      <c r="K659" s="33">
        <v>0</v>
      </c>
      <c r="L659" s="31">
        <v>0</v>
      </c>
      <c r="M659" s="31">
        <v>724</v>
      </c>
      <c r="N659" s="31">
        <v>3589790.07</v>
      </c>
      <c r="O659" s="31">
        <v>0</v>
      </c>
      <c r="P659" s="31">
        <v>0</v>
      </c>
      <c r="Q659" s="31">
        <v>0</v>
      </c>
      <c r="R659" s="31">
        <v>0</v>
      </c>
      <c r="S659" s="31">
        <v>0</v>
      </c>
      <c r="T659" s="31">
        <v>0</v>
      </c>
      <c r="U659" s="31">
        <v>0</v>
      </c>
      <c r="V659" s="31">
        <v>0</v>
      </c>
      <c r="W659" s="31">
        <v>0</v>
      </c>
      <c r="X659" s="31">
        <v>0</v>
      </c>
      <c r="Y659" s="31">
        <v>0</v>
      </c>
      <c r="Z659" s="31">
        <v>0</v>
      </c>
      <c r="AA659" s="31">
        <v>0</v>
      </c>
      <c r="AB659" s="31">
        <v>0</v>
      </c>
      <c r="AC659" s="31">
        <f t="shared" si="166"/>
        <v>53846.85</v>
      </c>
      <c r="AD659" s="31">
        <v>150000</v>
      </c>
      <c r="AE659" s="31">
        <v>0</v>
      </c>
      <c r="AF659" s="34">
        <v>2021</v>
      </c>
      <c r="AG659" s="34">
        <v>2021</v>
      </c>
      <c r="AH659" s="35">
        <v>2021</v>
      </c>
      <c r="AT659" s="20" t="e">
        <f t="shared" si="162"/>
        <v>#N/A</v>
      </c>
      <c r="BZ659" s="71"/>
      <c r="CD659" s="20" t="e">
        <f t="shared" si="164"/>
        <v>#N/A</v>
      </c>
    </row>
    <row r="660" spans="1:84" ht="61.5" x14ac:dyDescent="0.85">
      <c r="A660" s="20">
        <v>1</v>
      </c>
      <c r="B660" s="66">
        <f>SUBTOTAL(103,$A$558:A660)</f>
        <v>102</v>
      </c>
      <c r="C660" s="24" t="s">
        <v>1635</v>
      </c>
      <c r="D660" s="31">
        <f t="shared" si="167"/>
        <v>3607695.84</v>
      </c>
      <c r="E660" s="31">
        <v>0</v>
      </c>
      <c r="F660" s="31">
        <v>0</v>
      </c>
      <c r="G660" s="31">
        <v>0</v>
      </c>
      <c r="H660" s="31">
        <v>0</v>
      </c>
      <c r="I660" s="31">
        <v>0</v>
      </c>
      <c r="J660" s="31">
        <v>0</v>
      </c>
      <c r="K660" s="33">
        <v>0</v>
      </c>
      <c r="L660" s="31">
        <v>0</v>
      </c>
      <c r="M660" s="31">
        <v>627.6</v>
      </c>
      <c r="N660" s="31">
        <v>3436153.54</v>
      </c>
      <c r="O660" s="31">
        <v>0</v>
      </c>
      <c r="P660" s="31">
        <v>0</v>
      </c>
      <c r="Q660" s="31">
        <v>0</v>
      </c>
      <c r="R660" s="31">
        <v>0</v>
      </c>
      <c r="S660" s="31">
        <v>0</v>
      </c>
      <c r="T660" s="31">
        <v>0</v>
      </c>
      <c r="U660" s="31">
        <v>0</v>
      </c>
      <c r="V660" s="31">
        <v>0</v>
      </c>
      <c r="W660" s="31">
        <v>0</v>
      </c>
      <c r="X660" s="31">
        <v>0</v>
      </c>
      <c r="Y660" s="31">
        <v>0</v>
      </c>
      <c r="Z660" s="31">
        <v>0</v>
      </c>
      <c r="AA660" s="31">
        <v>0</v>
      </c>
      <c r="AB660" s="31">
        <v>0</v>
      </c>
      <c r="AC660" s="31">
        <f t="shared" si="166"/>
        <v>51542.3</v>
      </c>
      <c r="AD660" s="31">
        <v>120000</v>
      </c>
      <c r="AE660" s="31">
        <v>0</v>
      </c>
      <c r="AF660" s="34">
        <v>2021</v>
      </c>
      <c r="AG660" s="34">
        <v>2021</v>
      </c>
      <c r="AH660" s="35">
        <v>2021</v>
      </c>
      <c r="BZ660" s="71"/>
      <c r="CD660" s="20" t="e">
        <f t="shared" si="164"/>
        <v>#N/A</v>
      </c>
    </row>
    <row r="661" spans="1:84" ht="61.5" x14ac:dyDescent="0.85">
      <c r="A661" s="20">
        <v>1</v>
      </c>
      <c r="B661" s="66">
        <f>SUBTOTAL(103,$A$558:A661)</f>
        <v>103</v>
      </c>
      <c r="C661" s="24" t="s">
        <v>1636</v>
      </c>
      <c r="D661" s="31">
        <f t="shared" si="167"/>
        <v>1597480.36</v>
      </c>
      <c r="E661" s="31">
        <v>0</v>
      </c>
      <c r="F661" s="31">
        <v>0</v>
      </c>
      <c r="G661" s="31">
        <v>0</v>
      </c>
      <c r="H661" s="31">
        <v>0</v>
      </c>
      <c r="I661" s="31">
        <v>0</v>
      </c>
      <c r="J661" s="31">
        <v>0</v>
      </c>
      <c r="K661" s="33">
        <v>0</v>
      </c>
      <c r="L661" s="31">
        <v>0</v>
      </c>
      <c r="M661" s="31">
        <v>277.89999999999998</v>
      </c>
      <c r="N661" s="31">
        <v>1495054.54</v>
      </c>
      <c r="O661" s="31">
        <v>0</v>
      </c>
      <c r="P661" s="31">
        <v>0</v>
      </c>
      <c r="Q661" s="31">
        <v>0</v>
      </c>
      <c r="R661" s="31">
        <v>0</v>
      </c>
      <c r="S661" s="31">
        <v>0</v>
      </c>
      <c r="T661" s="31">
        <v>0</v>
      </c>
      <c r="U661" s="31">
        <v>0</v>
      </c>
      <c r="V661" s="31">
        <v>0</v>
      </c>
      <c r="W661" s="31">
        <v>0</v>
      </c>
      <c r="X661" s="31">
        <v>0</v>
      </c>
      <c r="Y661" s="31">
        <v>0</v>
      </c>
      <c r="Z661" s="31">
        <v>0</v>
      </c>
      <c r="AA661" s="31">
        <v>0</v>
      </c>
      <c r="AB661" s="31">
        <v>0</v>
      </c>
      <c r="AC661" s="31">
        <f t="shared" si="166"/>
        <v>22425.82</v>
      </c>
      <c r="AD661" s="31">
        <v>80000</v>
      </c>
      <c r="AE661" s="31">
        <v>0</v>
      </c>
      <c r="AF661" s="34">
        <v>2021</v>
      </c>
      <c r="AG661" s="34">
        <v>2021</v>
      </c>
      <c r="AH661" s="35">
        <v>2021</v>
      </c>
      <c r="BZ661" s="71"/>
      <c r="CD661" s="20" t="e">
        <f t="shared" si="164"/>
        <v>#N/A</v>
      </c>
    </row>
    <row r="662" spans="1:84" ht="61.5" x14ac:dyDescent="0.85">
      <c r="A662" s="20">
        <v>1</v>
      </c>
      <c r="B662" s="66">
        <f>SUBTOTAL(103,$A$558:A662)</f>
        <v>104</v>
      </c>
      <c r="C662" s="24" t="s">
        <v>1637</v>
      </c>
      <c r="D662" s="31">
        <f t="shared" si="167"/>
        <v>3132303.1599999997</v>
      </c>
      <c r="E662" s="31">
        <v>0</v>
      </c>
      <c r="F662" s="31">
        <v>0</v>
      </c>
      <c r="G662" s="31">
        <v>0</v>
      </c>
      <c r="H662" s="31">
        <v>0</v>
      </c>
      <c r="I662" s="31">
        <v>0</v>
      </c>
      <c r="J662" s="31">
        <v>0</v>
      </c>
      <c r="K662" s="33">
        <v>0</v>
      </c>
      <c r="L662" s="31">
        <v>0</v>
      </c>
      <c r="M662" s="31">
        <v>544.9</v>
      </c>
      <c r="N662" s="31">
        <v>2987490.8</v>
      </c>
      <c r="O662" s="31">
        <v>0</v>
      </c>
      <c r="P662" s="31">
        <v>0</v>
      </c>
      <c r="Q662" s="31">
        <v>0</v>
      </c>
      <c r="R662" s="31">
        <v>0</v>
      </c>
      <c r="S662" s="31">
        <v>0</v>
      </c>
      <c r="T662" s="31">
        <v>0</v>
      </c>
      <c r="U662" s="31">
        <v>0</v>
      </c>
      <c r="V662" s="31">
        <v>0</v>
      </c>
      <c r="W662" s="31">
        <v>0</v>
      </c>
      <c r="X662" s="31">
        <v>0</v>
      </c>
      <c r="Y662" s="31">
        <v>0</v>
      </c>
      <c r="Z662" s="31">
        <v>0</v>
      </c>
      <c r="AA662" s="31">
        <v>0</v>
      </c>
      <c r="AB662" s="31">
        <v>0</v>
      </c>
      <c r="AC662" s="31">
        <f t="shared" si="166"/>
        <v>44812.36</v>
      </c>
      <c r="AD662" s="31">
        <v>100000</v>
      </c>
      <c r="AE662" s="31">
        <v>0</v>
      </c>
      <c r="AF662" s="34">
        <v>2021</v>
      </c>
      <c r="AG662" s="34">
        <v>2021</v>
      </c>
      <c r="AH662" s="35">
        <v>2021</v>
      </c>
      <c r="BZ662" s="71"/>
      <c r="CD662" s="20" t="e">
        <f t="shared" si="164"/>
        <v>#N/A</v>
      </c>
    </row>
    <row r="663" spans="1:84" ht="61.5" x14ac:dyDescent="0.85">
      <c r="A663" s="20">
        <v>1</v>
      </c>
      <c r="B663" s="66">
        <f>SUBTOTAL(103,$A$558:A663)</f>
        <v>105</v>
      </c>
      <c r="C663" s="24" t="s">
        <v>1638</v>
      </c>
      <c r="D663" s="31">
        <f t="shared" si="167"/>
        <v>1937212.2999999998</v>
      </c>
      <c r="E663" s="31">
        <v>0</v>
      </c>
      <c r="F663" s="31">
        <v>0</v>
      </c>
      <c r="G663" s="31">
        <v>0</v>
      </c>
      <c r="H663" s="31">
        <v>0</v>
      </c>
      <c r="I663" s="31">
        <v>0</v>
      </c>
      <c r="J663" s="31">
        <v>0</v>
      </c>
      <c r="K663" s="33">
        <v>0</v>
      </c>
      <c r="L663" s="31">
        <v>0</v>
      </c>
      <c r="M663" s="31">
        <v>337</v>
      </c>
      <c r="N663" s="31">
        <v>1810059.9</v>
      </c>
      <c r="O663" s="31">
        <v>0</v>
      </c>
      <c r="P663" s="31">
        <v>0</v>
      </c>
      <c r="Q663" s="31">
        <v>0</v>
      </c>
      <c r="R663" s="31">
        <v>0</v>
      </c>
      <c r="S663" s="31">
        <v>0</v>
      </c>
      <c r="T663" s="31">
        <v>0</v>
      </c>
      <c r="U663" s="31">
        <v>0</v>
      </c>
      <c r="V663" s="31">
        <v>0</v>
      </c>
      <c r="W663" s="31">
        <v>0</v>
      </c>
      <c r="X663" s="31">
        <v>0</v>
      </c>
      <c r="Y663" s="31">
        <v>0</v>
      </c>
      <c r="Z663" s="31">
        <v>0</v>
      </c>
      <c r="AA663" s="31">
        <v>0</v>
      </c>
      <c r="AB663" s="31">
        <v>0</v>
      </c>
      <c r="AC663" s="31">
        <f t="shared" si="166"/>
        <v>27150.9</v>
      </c>
      <c r="AD663" s="31">
        <f>100000+1.5</f>
        <v>100001.5</v>
      </c>
      <c r="AE663" s="31">
        <v>0</v>
      </c>
      <c r="AF663" s="34">
        <v>2021</v>
      </c>
      <c r="AG663" s="34">
        <v>2021</v>
      </c>
      <c r="AH663" s="35">
        <v>2021</v>
      </c>
      <c r="BZ663" s="71"/>
      <c r="CD663" s="20" t="e">
        <f t="shared" si="164"/>
        <v>#N/A</v>
      </c>
    </row>
    <row r="664" spans="1:84" ht="61.5" x14ac:dyDescent="0.85">
      <c r="A664" s="20">
        <v>1</v>
      </c>
      <c r="B664" s="66">
        <f>SUBTOTAL(103,$A$558:A664)</f>
        <v>106</v>
      </c>
      <c r="C664" s="24" t="s">
        <v>478</v>
      </c>
      <c r="D664" s="31">
        <f t="shared" ref="D664" si="168">E664+F664+G664+H664+I664+J664+L664+N664+P664+R664+T664+U664+V664+W664+X664+Y664+Z664+AA664+AB664+AC664+AD664+AE664</f>
        <v>2847699.39</v>
      </c>
      <c r="E664" s="30">
        <v>0</v>
      </c>
      <c r="F664" s="32">
        <v>0</v>
      </c>
      <c r="G664" s="30">
        <v>0</v>
      </c>
      <c r="H664" s="32">
        <v>0</v>
      </c>
      <c r="I664" s="32">
        <v>0</v>
      </c>
      <c r="J664" s="32">
        <v>0</v>
      </c>
      <c r="K664" s="84">
        <v>0</v>
      </c>
      <c r="L664" s="32">
        <v>0</v>
      </c>
      <c r="M664" s="31">
        <v>510</v>
      </c>
      <c r="N664" s="31">
        <f>2425465.71+232366.2</f>
        <v>2657831.91</v>
      </c>
      <c r="O664" s="32">
        <v>0</v>
      </c>
      <c r="P664" s="32">
        <v>0</v>
      </c>
      <c r="Q664" s="32">
        <v>0</v>
      </c>
      <c r="R664" s="32">
        <v>0</v>
      </c>
      <c r="S664" s="32">
        <v>0</v>
      </c>
      <c r="T664" s="32">
        <v>0</v>
      </c>
      <c r="U664" s="32">
        <v>0</v>
      </c>
      <c r="V664" s="32">
        <v>0</v>
      </c>
      <c r="W664" s="32">
        <v>0</v>
      </c>
      <c r="X664" s="32">
        <v>0</v>
      </c>
      <c r="Y664" s="32">
        <v>0</v>
      </c>
      <c r="Z664" s="32">
        <v>0</v>
      </c>
      <c r="AA664" s="31">
        <v>0</v>
      </c>
      <c r="AB664" s="31">
        <v>0</v>
      </c>
      <c r="AC664" s="31">
        <f t="shared" ref="AC664" si="169">ROUND(N664*1.5%,2)</f>
        <v>39867.480000000003</v>
      </c>
      <c r="AD664" s="31">
        <v>150000</v>
      </c>
      <c r="AE664" s="31">
        <v>0</v>
      </c>
      <c r="AF664" s="34">
        <v>2021</v>
      </c>
      <c r="AG664" s="34">
        <v>2021</v>
      </c>
      <c r="AH664" s="35">
        <v>2021</v>
      </c>
      <c r="AT664" s="20" t="e">
        <f>VLOOKUP(C664,AW:AX,2,FALSE)</f>
        <v>#N/A</v>
      </c>
      <c r="BZ664" s="71"/>
    </row>
    <row r="665" spans="1:84" ht="61.5" x14ac:dyDescent="0.85">
      <c r="A665" s="20">
        <v>1</v>
      </c>
      <c r="B665" s="66">
        <f>SUBTOTAL(103,$A$558:A665)</f>
        <v>107</v>
      </c>
      <c r="C665" s="24" t="s">
        <v>1141</v>
      </c>
      <c r="D665" s="31">
        <f t="shared" si="167"/>
        <v>2152387.4200000004</v>
      </c>
      <c r="E665" s="31">
        <v>0</v>
      </c>
      <c r="F665" s="31">
        <v>0</v>
      </c>
      <c r="G665" s="137">
        <f>1920578.74+200000</f>
        <v>2120578.7400000002</v>
      </c>
      <c r="H665" s="31">
        <v>0</v>
      </c>
      <c r="I665" s="31">
        <v>0</v>
      </c>
      <c r="J665" s="31">
        <v>0</v>
      </c>
      <c r="K665" s="74">
        <v>0</v>
      </c>
      <c r="L665" s="31">
        <v>0</v>
      </c>
      <c r="M665" s="31">
        <v>0</v>
      </c>
      <c r="N665" s="31">
        <v>0</v>
      </c>
      <c r="O665" s="31">
        <v>0</v>
      </c>
      <c r="P665" s="31">
        <v>0</v>
      </c>
      <c r="Q665" s="31">
        <v>0</v>
      </c>
      <c r="R665" s="31">
        <v>0</v>
      </c>
      <c r="S665" s="31">
        <v>0</v>
      </c>
      <c r="T665" s="31">
        <v>0</v>
      </c>
      <c r="U665" s="31">
        <v>0</v>
      </c>
      <c r="V665" s="31">
        <v>0</v>
      </c>
      <c r="W665" s="31">
        <v>0</v>
      </c>
      <c r="X665" s="31">
        <v>0</v>
      </c>
      <c r="Y665" s="31">
        <v>0</v>
      </c>
      <c r="Z665" s="31">
        <v>0</v>
      </c>
      <c r="AA665" s="31">
        <v>0</v>
      </c>
      <c r="AB665" s="31">
        <v>0</v>
      </c>
      <c r="AC665" s="31">
        <f>ROUND((E665+F665+G665+H665+I665+J665)*1.5%,2)</f>
        <v>31808.68</v>
      </c>
      <c r="AD665" s="31">
        <v>0</v>
      </c>
      <c r="AE665" s="31">
        <v>0</v>
      </c>
      <c r="AF665" s="34" t="s">
        <v>270</v>
      </c>
      <c r="AG665" s="34">
        <v>2021</v>
      </c>
      <c r="AH665" s="35">
        <v>2021</v>
      </c>
      <c r="BZ665" s="71"/>
      <c r="CD665" s="20" t="e">
        <f t="shared" ref="CD665:CD701" si="170">VLOOKUP(C665,CE:CF,2,FALSE)</f>
        <v>#N/A</v>
      </c>
      <c r="CE665" s="109" t="s">
        <v>188</v>
      </c>
      <c r="CF665" s="109">
        <v>1028.5999999999999</v>
      </c>
    </row>
    <row r="666" spans="1:84" ht="61.5" x14ac:dyDescent="0.85">
      <c r="A666" s="20">
        <v>1</v>
      </c>
      <c r="B666" s="66">
        <f>SUBTOTAL(103,$A$558:A666)</f>
        <v>108</v>
      </c>
      <c r="C666" s="24" t="s">
        <v>1146</v>
      </c>
      <c r="D666" s="31">
        <f t="shared" si="167"/>
        <v>534516.64</v>
      </c>
      <c r="E666" s="31">
        <v>0</v>
      </c>
      <c r="F666" s="31">
        <v>0</v>
      </c>
      <c r="G666" s="31">
        <f>326617.38+200000</f>
        <v>526617.38</v>
      </c>
      <c r="H666" s="31">
        <v>0</v>
      </c>
      <c r="I666" s="31">
        <v>0</v>
      </c>
      <c r="J666" s="31">
        <v>0</v>
      </c>
      <c r="K666" s="74">
        <v>0</v>
      </c>
      <c r="L666" s="31">
        <v>0</v>
      </c>
      <c r="M666" s="31">
        <v>0</v>
      </c>
      <c r="N666" s="31">
        <v>0</v>
      </c>
      <c r="O666" s="31">
        <v>0</v>
      </c>
      <c r="P666" s="31">
        <v>0</v>
      </c>
      <c r="Q666" s="31">
        <v>0</v>
      </c>
      <c r="R666" s="31">
        <v>0</v>
      </c>
      <c r="S666" s="31">
        <v>0</v>
      </c>
      <c r="T666" s="31">
        <v>0</v>
      </c>
      <c r="U666" s="31">
        <v>0</v>
      </c>
      <c r="V666" s="31">
        <v>0</v>
      </c>
      <c r="W666" s="31">
        <v>0</v>
      </c>
      <c r="X666" s="31">
        <v>0</v>
      </c>
      <c r="Y666" s="31">
        <v>0</v>
      </c>
      <c r="Z666" s="31">
        <v>0</v>
      </c>
      <c r="AA666" s="31">
        <v>0</v>
      </c>
      <c r="AB666" s="31">
        <v>0</v>
      </c>
      <c r="AC666" s="31">
        <f>ROUND((E666+F666+G666+H666+I666+J666)*1.5%,2)</f>
        <v>7899.26</v>
      </c>
      <c r="AD666" s="31">
        <v>0</v>
      </c>
      <c r="AE666" s="31">
        <v>0</v>
      </c>
      <c r="AF666" s="34" t="s">
        <v>270</v>
      </c>
      <c r="AG666" s="34">
        <v>2021</v>
      </c>
      <c r="AH666" s="35">
        <v>2021</v>
      </c>
      <c r="BZ666" s="71"/>
      <c r="CD666" s="20" t="e">
        <f t="shared" si="170"/>
        <v>#N/A</v>
      </c>
      <c r="CE666" s="109" t="s">
        <v>223</v>
      </c>
      <c r="CF666" s="109">
        <v>289.86</v>
      </c>
    </row>
    <row r="667" spans="1:84" ht="61.5" x14ac:dyDescent="0.85">
      <c r="A667" s="20">
        <v>1</v>
      </c>
      <c r="B667" s="66">
        <f>SUBTOTAL(103,$A$558:A667)</f>
        <v>109</v>
      </c>
      <c r="C667" s="24" t="s">
        <v>1151</v>
      </c>
      <c r="D667" s="31">
        <f t="shared" si="167"/>
        <v>1370144.55</v>
      </c>
      <c r="E667" s="30">
        <v>0</v>
      </c>
      <c r="F667" s="31">
        <v>0</v>
      </c>
      <c r="G667" s="31">
        <v>1349896.11</v>
      </c>
      <c r="H667" s="30">
        <v>0</v>
      </c>
      <c r="I667" s="31">
        <v>0</v>
      </c>
      <c r="J667" s="31">
        <v>0</v>
      </c>
      <c r="K667" s="74">
        <v>0</v>
      </c>
      <c r="L667" s="31">
        <v>0</v>
      </c>
      <c r="M667" s="31">
        <v>0</v>
      </c>
      <c r="N667" s="31">
        <v>0</v>
      </c>
      <c r="O667" s="31">
        <v>0</v>
      </c>
      <c r="P667" s="31">
        <v>0</v>
      </c>
      <c r="Q667" s="31">
        <v>0</v>
      </c>
      <c r="R667" s="31">
        <v>0</v>
      </c>
      <c r="S667" s="31">
        <v>0</v>
      </c>
      <c r="T667" s="31">
        <v>0</v>
      </c>
      <c r="U667" s="31">
        <v>0</v>
      </c>
      <c r="V667" s="31">
        <v>0</v>
      </c>
      <c r="W667" s="31">
        <v>0</v>
      </c>
      <c r="X667" s="31">
        <v>0</v>
      </c>
      <c r="Y667" s="31">
        <v>0</v>
      </c>
      <c r="Z667" s="31">
        <v>0</v>
      </c>
      <c r="AA667" s="31">
        <v>0</v>
      </c>
      <c r="AB667" s="31">
        <v>0</v>
      </c>
      <c r="AC667" s="31">
        <f>ROUND((E667+F667+G667+H667+I667+J667)*1.5%,2)</f>
        <v>20248.439999999999</v>
      </c>
      <c r="AD667" s="31">
        <v>0</v>
      </c>
      <c r="AE667" s="31">
        <v>0</v>
      </c>
      <c r="AF667" s="34" t="s">
        <v>270</v>
      </c>
      <c r="AG667" s="34">
        <v>2021</v>
      </c>
      <c r="AH667" s="35">
        <v>2021</v>
      </c>
      <c r="BZ667" s="71"/>
      <c r="CD667" s="20" t="e">
        <f t="shared" si="170"/>
        <v>#N/A</v>
      </c>
      <c r="CE667" s="109" t="s">
        <v>632</v>
      </c>
      <c r="CF667" s="109">
        <v>384.56</v>
      </c>
    </row>
    <row r="668" spans="1:84" ht="61.5" x14ac:dyDescent="0.85">
      <c r="A668" s="20">
        <v>1</v>
      </c>
      <c r="B668" s="66">
        <f>SUBTOTAL(103,$A$558:A668)</f>
        <v>110</v>
      </c>
      <c r="C668" s="24" t="s">
        <v>1153</v>
      </c>
      <c r="D668" s="31">
        <f t="shared" si="167"/>
        <v>4854047.7300000004</v>
      </c>
      <c r="E668" s="31">
        <v>0</v>
      </c>
      <c r="F668" s="31">
        <v>0</v>
      </c>
      <c r="G668" s="137">
        <f>2238110.93+200000</f>
        <v>2438110.9300000002</v>
      </c>
      <c r="H668" s="30">
        <v>0</v>
      </c>
      <c r="I668" s="31">
        <v>2344202.1</v>
      </c>
      <c r="J668" s="31">
        <v>0</v>
      </c>
      <c r="K668" s="74">
        <v>0</v>
      </c>
      <c r="L668" s="31">
        <v>0</v>
      </c>
      <c r="M668" s="31">
        <v>0</v>
      </c>
      <c r="N668" s="31">
        <v>0</v>
      </c>
      <c r="O668" s="31">
        <v>0</v>
      </c>
      <c r="P668" s="31">
        <v>0</v>
      </c>
      <c r="Q668" s="31">
        <v>0</v>
      </c>
      <c r="R668" s="31">
        <v>0</v>
      </c>
      <c r="S668" s="31">
        <v>0</v>
      </c>
      <c r="T668" s="31">
        <v>0</v>
      </c>
      <c r="U668" s="31">
        <v>0</v>
      </c>
      <c r="V668" s="31">
        <v>0</v>
      </c>
      <c r="W668" s="31">
        <v>0</v>
      </c>
      <c r="X668" s="31">
        <v>0</v>
      </c>
      <c r="Y668" s="31">
        <v>0</v>
      </c>
      <c r="Z668" s="31">
        <v>0</v>
      </c>
      <c r="AA668" s="31">
        <v>0</v>
      </c>
      <c r="AB668" s="31">
        <v>0</v>
      </c>
      <c r="AC668" s="31">
        <f>ROUND((E668+F668+G668+H668+I668+J668)*1.5%,2)</f>
        <v>71734.7</v>
      </c>
      <c r="AD668" s="31">
        <v>0</v>
      </c>
      <c r="AE668" s="31">
        <v>0</v>
      </c>
      <c r="AF668" s="34" t="s">
        <v>270</v>
      </c>
      <c r="AG668" s="34">
        <v>2021</v>
      </c>
      <c r="AH668" s="35">
        <v>2021</v>
      </c>
      <c r="BZ668" s="71"/>
      <c r="CD668" s="20" t="e">
        <f t="shared" si="170"/>
        <v>#N/A</v>
      </c>
      <c r="CE668" s="109" t="s">
        <v>1114</v>
      </c>
      <c r="CF668" s="109">
        <v>946</v>
      </c>
    </row>
    <row r="669" spans="1:84" ht="61.5" x14ac:dyDescent="0.85">
      <c r="A669" s="20">
        <v>1</v>
      </c>
      <c r="B669" s="66">
        <f>SUBTOTAL(103,$A$558:A669)</f>
        <v>111</v>
      </c>
      <c r="C669" s="24" t="s">
        <v>1149</v>
      </c>
      <c r="D669" s="31">
        <f>E669+F669+G669+H669+I669+J669+L669+N669+P669+R669+T669+U669+V669+W669+X669+Y669+Z669+AA669+AB669+AC669+AD669+AE669</f>
        <v>1971369.43</v>
      </c>
      <c r="E669" s="31">
        <v>0</v>
      </c>
      <c r="F669" s="31">
        <v>0</v>
      </c>
      <c r="G669" s="31">
        <v>0</v>
      </c>
      <c r="H669" s="31">
        <v>0</v>
      </c>
      <c r="I669" s="31">
        <v>0</v>
      </c>
      <c r="J669" s="31">
        <v>0</v>
      </c>
      <c r="K669" s="74">
        <v>0</v>
      </c>
      <c r="L669" s="31">
        <v>0</v>
      </c>
      <c r="M669" s="31">
        <v>0</v>
      </c>
      <c r="N669" s="31">
        <v>0</v>
      </c>
      <c r="O669" s="31">
        <v>0</v>
      </c>
      <c r="P669" s="31">
        <v>0</v>
      </c>
      <c r="Q669" s="31">
        <v>450.1</v>
      </c>
      <c r="R669" s="31">
        <v>1824009.29</v>
      </c>
      <c r="S669" s="31">
        <v>0</v>
      </c>
      <c r="T669" s="31">
        <v>0</v>
      </c>
      <c r="U669" s="31">
        <v>0</v>
      </c>
      <c r="V669" s="31">
        <v>0</v>
      </c>
      <c r="W669" s="31">
        <v>0</v>
      </c>
      <c r="X669" s="31">
        <v>0</v>
      </c>
      <c r="Y669" s="31">
        <v>0</v>
      </c>
      <c r="Z669" s="31">
        <v>0</v>
      </c>
      <c r="AA669" s="31">
        <v>0</v>
      </c>
      <c r="AB669" s="31">
        <v>0</v>
      </c>
      <c r="AC669" s="31">
        <f>ROUND(R669*1.5%,2)</f>
        <v>27360.14</v>
      </c>
      <c r="AD669" s="31">
        <v>0</v>
      </c>
      <c r="AE669" s="31">
        <v>120000</v>
      </c>
      <c r="AF669" s="34" t="s">
        <v>270</v>
      </c>
      <c r="AG669" s="34">
        <v>2021</v>
      </c>
      <c r="AH669" s="35">
        <v>2021</v>
      </c>
      <c r="BZ669" s="71"/>
      <c r="CD669" s="20" t="e">
        <f t="shared" si="170"/>
        <v>#N/A</v>
      </c>
      <c r="CE669" s="109" t="s">
        <v>445</v>
      </c>
      <c r="CF669" s="109">
        <v>592.20000000000005</v>
      </c>
    </row>
    <row r="670" spans="1:84" ht="61.5" x14ac:dyDescent="0.85">
      <c r="A670" s="20">
        <v>1</v>
      </c>
      <c r="B670" s="66">
        <f>SUBTOTAL(103,$A$558:A670)</f>
        <v>112</v>
      </c>
      <c r="C670" s="24" t="s">
        <v>456</v>
      </c>
      <c r="D670" s="31">
        <f t="shared" ref="D670" si="171">E670+F670+G670+H670+I670+J670+L670+N670+P670+R670+T670+U670+V670+W670+X670+Y670+Z670+AA670+AB670+AC670+AD670+AE670</f>
        <v>2358287.8899999997</v>
      </c>
      <c r="E670" s="31">
        <v>0</v>
      </c>
      <c r="F670" s="31">
        <v>0</v>
      </c>
      <c r="G670" s="31">
        <v>0</v>
      </c>
      <c r="H670" s="31">
        <v>0</v>
      </c>
      <c r="I670" s="31">
        <v>0</v>
      </c>
      <c r="J670" s="31">
        <v>0</v>
      </c>
      <c r="K670" s="74">
        <v>0</v>
      </c>
      <c r="L670" s="31">
        <v>0</v>
      </c>
      <c r="M670" s="31">
        <v>0</v>
      </c>
      <c r="N670" s="31">
        <v>0</v>
      </c>
      <c r="O670" s="31">
        <v>0</v>
      </c>
      <c r="P670" s="31">
        <v>0</v>
      </c>
      <c r="Q670" s="31">
        <v>538.6</v>
      </c>
      <c r="R670" s="31">
        <v>2323436.34</v>
      </c>
      <c r="S670" s="31">
        <v>0</v>
      </c>
      <c r="T670" s="31">
        <v>0</v>
      </c>
      <c r="U670" s="31">
        <v>0</v>
      </c>
      <c r="V670" s="31">
        <v>0</v>
      </c>
      <c r="W670" s="31">
        <v>0</v>
      </c>
      <c r="X670" s="31">
        <v>0</v>
      </c>
      <c r="Y670" s="31">
        <v>0</v>
      </c>
      <c r="Z670" s="31">
        <v>0</v>
      </c>
      <c r="AA670" s="31">
        <v>0</v>
      </c>
      <c r="AB670" s="31">
        <v>0</v>
      </c>
      <c r="AC670" s="31">
        <f>ROUND(R670*1.5%,2)</f>
        <v>34851.550000000003</v>
      </c>
      <c r="AD670" s="31">
        <v>0</v>
      </c>
      <c r="AE670" s="31">
        <v>0</v>
      </c>
      <c r="AF670" s="34" t="s">
        <v>270</v>
      </c>
      <c r="AG670" s="34">
        <v>2021</v>
      </c>
      <c r="AH670" s="35">
        <v>2021</v>
      </c>
      <c r="AT670" s="20" t="e">
        <f>VLOOKUP(C670,AW:AX,2,FALSE)</f>
        <v>#N/A</v>
      </c>
      <c r="BZ670" s="71"/>
      <c r="CD670" s="20" t="e">
        <f t="shared" si="170"/>
        <v>#N/A</v>
      </c>
      <c r="CE670" s="109" t="s">
        <v>1273</v>
      </c>
      <c r="CF670" s="109">
        <v>437.4</v>
      </c>
    </row>
    <row r="671" spans="1:84" ht="61.5" x14ac:dyDescent="0.85">
      <c r="A671" s="20">
        <v>1</v>
      </c>
      <c r="B671" s="66">
        <f>SUBTOTAL(103,$A$558:A671)</f>
        <v>113</v>
      </c>
      <c r="C671" s="24" t="s">
        <v>1142</v>
      </c>
      <c r="D671" s="31">
        <f t="shared" ref="D671:D677" si="172">E671+F671+G671+H671+I671+J671+L671+N671+P671+R671+T671+U671+V671+W671+X671+Y671+Z671+AA671+AB671+AC671+AD671+AE671</f>
        <v>2333192.16</v>
      </c>
      <c r="E671" s="31">
        <v>0</v>
      </c>
      <c r="F671" s="31">
        <v>0</v>
      </c>
      <c r="G671" s="31">
        <v>0</v>
      </c>
      <c r="H671" s="31">
        <v>0</v>
      </c>
      <c r="I671" s="31">
        <v>0</v>
      </c>
      <c r="J671" s="31">
        <v>0</v>
      </c>
      <c r="K671" s="74">
        <v>0</v>
      </c>
      <c r="L671" s="31">
        <v>0</v>
      </c>
      <c r="M671" s="31">
        <v>0</v>
      </c>
      <c r="N671" s="31">
        <v>0</v>
      </c>
      <c r="O671" s="31">
        <v>0</v>
      </c>
      <c r="P671" s="31">
        <v>0</v>
      </c>
      <c r="Q671" s="31">
        <v>741.84</v>
      </c>
      <c r="R671" s="31">
        <f>1798711.49+500000</f>
        <v>2298711.4900000002</v>
      </c>
      <c r="S671" s="31">
        <v>0</v>
      </c>
      <c r="T671" s="31">
        <v>0</v>
      </c>
      <c r="U671" s="31">
        <v>0</v>
      </c>
      <c r="V671" s="31">
        <v>0</v>
      </c>
      <c r="W671" s="31">
        <v>0</v>
      </c>
      <c r="X671" s="31">
        <v>0</v>
      </c>
      <c r="Y671" s="31">
        <v>0</v>
      </c>
      <c r="Z671" s="31">
        <v>0</v>
      </c>
      <c r="AA671" s="31">
        <v>0</v>
      </c>
      <c r="AB671" s="31">
        <v>0</v>
      </c>
      <c r="AC671" s="31">
        <f>ROUND(R671*1.5%,2)</f>
        <v>34480.67</v>
      </c>
      <c r="AD671" s="31">
        <v>0</v>
      </c>
      <c r="AE671" s="31">
        <v>0</v>
      </c>
      <c r="AF671" s="34" t="s">
        <v>270</v>
      </c>
      <c r="AG671" s="34">
        <v>2021</v>
      </c>
      <c r="AH671" s="35">
        <v>2021</v>
      </c>
      <c r="BZ671" s="71"/>
      <c r="CD671" s="20" t="e">
        <f t="shared" si="170"/>
        <v>#N/A</v>
      </c>
      <c r="CE671" s="109" t="s">
        <v>187</v>
      </c>
      <c r="CF671" s="109">
        <v>578.4</v>
      </c>
    </row>
    <row r="672" spans="1:84" ht="61.5" x14ac:dyDescent="0.85">
      <c r="A672" s="20">
        <v>1</v>
      </c>
      <c r="B672" s="66">
        <f>SUBTOTAL(103,$A$558:A672)</f>
        <v>114</v>
      </c>
      <c r="C672" s="24" t="s">
        <v>1152</v>
      </c>
      <c r="D672" s="31">
        <f t="shared" si="172"/>
        <v>1540784.43</v>
      </c>
      <c r="E672" s="31">
        <v>0</v>
      </c>
      <c r="F672" s="31">
        <v>0</v>
      </c>
      <c r="G672" s="31">
        <f>1318014.22+200000</f>
        <v>1518014.22</v>
      </c>
      <c r="H672" s="31">
        <v>0</v>
      </c>
      <c r="I672" s="31">
        <v>0</v>
      </c>
      <c r="J672" s="31">
        <v>0</v>
      </c>
      <c r="K672" s="74">
        <v>0</v>
      </c>
      <c r="L672" s="31">
        <v>0</v>
      </c>
      <c r="M672" s="31">
        <v>0</v>
      </c>
      <c r="N672" s="31">
        <v>0</v>
      </c>
      <c r="O672" s="31">
        <v>0</v>
      </c>
      <c r="P672" s="31">
        <v>0</v>
      </c>
      <c r="Q672" s="31">
        <v>0</v>
      </c>
      <c r="R672" s="31">
        <v>0</v>
      </c>
      <c r="S672" s="31">
        <v>0</v>
      </c>
      <c r="T672" s="31">
        <v>0</v>
      </c>
      <c r="U672" s="31">
        <v>0</v>
      </c>
      <c r="V672" s="31">
        <v>0</v>
      </c>
      <c r="W672" s="31">
        <v>0</v>
      </c>
      <c r="X672" s="31">
        <v>0</v>
      </c>
      <c r="Y672" s="31">
        <v>0</v>
      </c>
      <c r="Z672" s="31">
        <v>0</v>
      </c>
      <c r="AA672" s="31">
        <v>0</v>
      </c>
      <c r="AB672" s="31">
        <v>0</v>
      </c>
      <c r="AC672" s="31">
        <f>ROUND((E672+F672+G672+H672+I672+J672)*1.5%,2)</f>
        <v>22770.21</v>
      </c>
      <c r="AD672" s="31">
        <v>0</v>
      </c>
      <c r="AE672" s="31">
        <v>0</v>
      </c>
      <c r="AF672" s="34" t="s">
        <v>270</v>
      </c>
      <c r="AG672" s="34">
        <v>2021</v>
      </c>
      <c r="AH672" s="35">
        <v>2021</v>
      </c>
      <c r="BZ672" s="71"/>
      <c r="CD672" s="20" t="e">
        <f t="shared" si="170"/>
        <v>#N/A</v>
      </c>
      <c r="CE672" s="109" t="s">
        <v>1288</v>
      </c>
      <c r="CF672" s="109">
        <v>500</v>
      </c>
    </row>
    <row r="673" spans="1:84" ht="61.5" x14ac:dyDescent="0.85">
      <c r="A673" s="20">
        <v>1</v>
      </c>
      <c r="B673" s="66">
        <f>SUBTOTAL(103,$A$558:A673)</f>
        <v>115</v>
      </c>
      <c r="C673" s="24" t="s">
        <v>464</v>
      </c>
      <c r="D673" s="31">
        <f t="shared" si="172"/>
        <v>4238701.74</v>
      </c>
      <c r="E673" s="31">
        <v>0</v>
      </c>
      <c r="F673" s="31">
        <v>0</v>
      </c>
      <c r="G673" s="31">
        <v>0</v>
      </c>
      <c r="H673" s="31">
        <v>0</v>
      </c>
      <c r="I673" s="31">
        <v>0</v>
      </c>
      <c r="J673" s="31">
        <v>0</v>
      </c>
      <c r="K673" s="74">
        <v>0</v>
      </c>
      <c r="L673" s="31">
        <v>0</v>
      </c>
      <c r="M673" s="31">
        <v>625.1</v>
      </c>
      <c r="N673" s="31">
        <v>4176060.83</v>
      </c>
      <c r="O673" s="31">
        <v>0</v>
      </c>
      <c r="P673" s="31">
        <v>0</v>
      </c>
      <c r="Q673" s="31">
        <v>0</v>
      </c>
      <c r="R673" s="31">
        <v>0</v>
      </c>
      <c r="S673" s="31">
        <v>0</v>
      </c>
      <c r="T673" s="31">
        <v>0</v>
      </c>
      <c r="U673" s="31">
        <v>0</v>
      </c>
      <c r="V673" s="31">
        <v>0</v>
      </c>
      <c r="W673" s="31">
        <v>0</v>
      </c>
      <c r="X673" s="31">
        <v>0</v>
      </c>
      <c r="Y673" s="31">
        <v>0</v>
      </c>
      <c r="Z673" s="31">
        <v>0</v>
      </c>
      <c r="AA673" s="31">
        <v>0</v>
      </c>
      <c r="AB673" s="31">
        <v>0</v>
      </c>
      <c r="AC673" s="31">
        <f>ROUND(N673*1.5%,2)</f>
        <v>62640.91</v>
      </c>
      <c r="AD673" s="31">
        <v>0</v>
      </c>
      <c r="AE673" s="31">
        <v>0</v>
      </c>
      <c r="AF673" s="34" t="s">
        <v>270</v>
      </c>
      <c r="AG673" s="34">
        <v>2021</v>
      </c>
      <c r="AH673" s="35">
        <v>2021</v>
      </c>
      <c r="BZ673" s="71"/>
      <c r="CD673" s="20" t="e">
        <f t="shared" si="170"/>
        <v>#N/A</v>
      </c>
      <c r="CE673" s="109" t="s">
        <v>444</v>
      </c>
      <c r="CF673" s="109">
        <v>598</v>
      </c>
    </row>
    <row r="674" spans="1:84" ht="61.5" x14ac:dyDescent="0.85">
      <c r="A674" s="20">
        <v>1</v>
      </c>
      <c r="B674" s="66">
        <f>SUBTOTAL(103,$A$558:A674)</f>
        <v>116</v>
      </c>
      <c r="C674" s="24" t="s">
        <v>1291</v>
      </c>
      <c r="D674" s="31">
        <f t="shared" si="172"/>
        <v>2922293.2399999998</v>
      </c>
      <c r="E674" s="31">
        <v>0</v>
      </c>
      <c r="F674" s="31">
        <v>0</v>
      </c>
      <c r="G674" s="31">
        <v>0</v>
      </c>
      <c r="H674" s="31">
        <v>0</v>
      </c>
      <c r="I674" s="31">
        <v>0</v>
      </c>
      <c r="J674" s="31">
        <v>0</v>
      </c>
      <c r="K674" s="74">
        <v>0</v>
      </c>
      <c r="L674" s="31">
        <v>0</v>
      </c>
      <c r="M674" s="31">
        <v>0</v>
      </c>
      <c r="N674" s="31">
        <v>0</v>
      </c>
      <c r="O674" s="31">
        <v>0</v>
      </c>
      <c r="P674" s="31">
        <v>0</v>
      </c>
      <c r="Q674" s="31">
        <v>718.9</v>
      </c>
      <c r="R674" s="31">
        <v>2879106.6399999997</v>
      </c>
      <c r="S674" s="31">
        <v>0</v>
      </c>
      <c r="T674" s="31">
        <v>0</v>
      </c>
      <c r="U674" s="31">
        <v>0</v>
      </c>
      <c r="V674" s="31">
        <v>0</v>
      </c>
      <c r="W674" s="31">
        <v>0</v>
      </c>
      <c r="X674" s="31">
        <v>0</v>
      </c>
      <c r="Y674" s="31">
        <v>0</v>
      </c>
      <c r="Z674" s="31">
        <v>0</v>
      </c>
      <c r="AA674" s="31">
        <v>0</v>
      </c>
      <c r="AB674" s="31">
        <v>0</v>
      </c>
      <c r="AC674" s="31">
        <f>ROUND(R674*1.5%,2)</f>
        <v>43186.6</v>
      </c>
      <c r="AD674" s="31">
        <v>0</v>
      </c>
      <c r="AE674" s="31">
        <v>0</v>
      </c>
      <c r="AF674" s="34" t="s">
        <v>270</v>
      </c>
      <c r="AG674" s="34">
        <v>2021</v>
      </c>
      <c r="AH674" s="35">
        <v>2021</v>
      </c>
      <c r="BZ674" s="71"/>
      <c r="CD674" s="20" t="e">
        <f t="shared" si="170"/>
        <v>#N/A</v>
      </c>
      <c r="CE674" s="109" t="s">
        <v>628</v>
      </c>
      <c r="CF674" s="109">
        <v>486.27</v>
      </c>
    </row>
    <row r="675" spans="1:84" ht="61.5" x14ac:dyDescent="0.85">
      <c r="A675" s="20">
        <v>1</v>
      </c>
      <c r="B675" s="66">
        <f>SUBTOTAL(103,$A$558:A675)</f>
        <v>117</v>
      </c>
      <c r="C675" s="24" t="s">
        <v>1567</v>
      </c>
      <c r="D675" s="31">
        <f t="shared" ref="D675:D676" si="173">E675+F675+G675+H675+I675+J675+L675+N675+P675+R675+T675+U675+V675+W675+X675+Y675+Z675+AA675+AB675+AC675+AD675+AE675</f>
        <v>3021062.87</v>
      </c>
      <c r="E675" s="31">
        <v>0</v>
      </c>
      <c r="F675" s="31">
        <v>0</v>
      </c>
      <c r="G675" s="31">
        <v>0</v>
      </c>
      <c r="H675" s="31">
        <v>0</v>
      </c>
      <c r="I675" s="31">
        <v>0</v>
      </c>
      <c r="J675" s="31">
        <v>0</v>
      </c>
      <c r="K675" s="74">
        <v>0</v>
      </c>
      <c r="L675" s="31">
        <v>0</v>
      </c>
      <c r="M675" s="31">
        <v>0</v>
      </c>
      <c r="N675" s="31">
        <v>0</v>
      </c>
      <c r="O675" s="31">
        <v>0</v>
      </c>
      <c r="P675" s="31">
        <v>0</v>
      </c>
      <c r="Q675" s="31">
        <v>634.6</v>
      </c>
      <c r="R675" s="31">
        <f>2776416.62+200000</f>
        <v>2976416.62</v>
      </c>
      <c r="S675" s="31">
        <v>0</v>
      </c>
      <c r="T675" s="31">
        <v>0</v>
      </c>
      <c r="U675" s="31">
        <v>0</v>
      </c>
      <c r="V675" s="31">
        <v>0</v>
      </c>
      <c r="W675" s="31">
        <v>0</v>
      </c>
      <c r="X675" s="31">
        <v>0</v>
      </c>
      <c r="Y675" s="31">
        <v>0</v>
      </c>
      <c r="Z675" s="31">
        <v>0</v>
      </c>
      <c r="AA675" s="31">
        <v>0</v>
      </c>
      <c r="AB675" s="31">
        <v>0</v>
      </c>
      <c r="AC675" s="31">
        <f>ROUND(R675*1.5%,2)</f>
        <v>44646.25</v>
      </c>
      <c r="AD675" s="31">
        <v>0</v>
      </c>
      <c r="AE675" s="31">
        <v>0</v>
      </c>
      <c r="AF675" s="34" t="s">
        <v>270</v>
      </c>
      <c r="AG675" s="34">
        <v>2021</v>
      </c>
      <c r="AH675" s="35">
        <v>2021</v>
      </c>
      <c r="BZ675" s="71"/>
      <c r="CD675" s="20" t="e">
        <f t="shared" si="170"/>
        <v>#N/A</v>
      </c>
      <c r="CE675" s="109" t="s">
        <v>116</v>
      </c>
      <c r="CF675" s="109">
        <v>1151</v>
      </c>
    </row>
    <row r="676" spans="1:84" ht="61.5" x14ac:dyDescent="0.85">
      <c r="A676" s="20">
        <v>1</v>
      </c>
      <c r="B676" s="66">
        <f>SUBTOTAL(103,$A$558:A676)</f>
        <v>118</v>
      </c>
      <c r="C676" s="24" t="s">
        <v>455</v>
      </c>
      <c r="D676" s="31">
        <f t="shared" si="173"/>
        <v>4406829.16</v>
      </c>
      <c r="E676" s="31">
        <v>0</v>
      </c>
      <c r="F676" s="31">
        <v>0</v>
      </c>
      <c r="G676" s="31">
        <v>0</v>
      </c>
      <c r="H676" s="31">
        <v>0</v>
      </c>
      <c r="I676" s="31">
        <v>0</v>
      </c>
      <c r="J676" s="31">
        <v>0</v>
      </c>
      <c r="K676" s="74">
        <v>0</v>
      </c>
      <c r="L676" s="31">
        <v>0</v>
      </c>
      <c r="M676" s="31">
        <v>860.91</v>
      </c>
      <c r="N676" s="31">
        <v>4341703.6100000003</v>
      </c>
      <c r="O676" s="31">
        <v>0</v>
      </c>
      <c r="P676" s="31">
        <v>0</v>
      </c>
      <c r="Q676" s="31">
        <v>0</v>
      </c>
      <c r="R676" s="31">
        <v>0</v>
      </c>
      <c r="S676" s="31">
        <v>0</v>
      </c>
      <c r="T676" s="31">
        <v>0</v>
      </c>
      <c r="U676" s="31">
        <v>0</v>
      </c>
      <c r="V676" s="31">
        <v>0</v>
      </c>
      <c r="W676" s="31">
        <v>0</v>
      </c>
      <c r="X676" s="31">
        <v>0</v>
      </c>
      <c r="Y676" s="31">
        <v>0</v>
      </c>
      <c r="Z676" s="31">
        <v>0</v>
      </c>
      <c r="AA676" s="31">
        <v>0</v>
      </c>
      <c r="AB676" s="31">
        <v>0</v>
      </c>
      <c r="AC676" s="31">
        <f t="shared" ref="AC676" si="174">ROUND(N676*1.5%,2)</f>
        <v>65125.55</v>
      </c>
      <c r="AD676" s="31">
        <v>0</v>
      </c>
      <c r="AE676" s="31">
        <v>0</v>
      </c>
      <c r="AF676" s="34" t="s">
        <v>270</v>
      </c>
      <c r="AG676" s="34">
        <v>2021</v>
      </c>
      <c r="AH676" s="35">
        <v>2021</v>
      </c>
      <c r="AT676" s="20" t="e">
        <f>VLOOKUP(C676,AW:AX,2,FALSE)</f>
        <v>#N/A</v>
      </c>
      <c r="BZ676" s="71"/>
      <c r="CD676" s="20">
        <f t="shared" si="170"/>
        <v>860.91</v>
      </c>
      <c r="CE676" s="109" t="s">
        <v>1270</v>
      </c>
      <c r="CF676" s="109">
        <v>949</v>
      </c>
    </row>
    <row r="677" spans="1:84" ht="61.5" x14ac:dyDescent="0.85">
      <c r="A677" s="20">
        <v>1</v>
      </c>
      <c r="B677" s="66">
        <f>SUBTOTAL(103,$A$558:A677)</f>
        <v>119</v>
      </c>
      <c r="C677" s="24" t="s">
        <v>1951</v>
      </c>
      <c r="D677" s="31">
        <f t="shared" si="172"/>
        <v>8022387.3700000001</v>
      </c>
      <c r="E677" s="31">
        <v>0</v>
      </c>
      <c r="F677" s="31">
        <v>0</v>
      </c>
      <c r="G677" s="31">
        <v>0</v>
      </c>
      <c r="H677" s="31">
        <v>0</v>
      </c>
      <c r="I677" s="31">
        <v>0</v>
      </c>
      <c r="J677" s="31">
        <v>0</v>
      </c>
      <c r="K677" s="74">
        <v>0</v>
      </c>
      <c r="L677" s="31">
        <v>0</v>
      </c>
      <c r="M677" s="31">
        <v>1261</v>
      </c>
      <c r="N677" s="31">
        <v>7706785.5899999999</v>
      </c>
      <c r="O677" s="31">
        <v>0</v>
      </c>
      <c r="P677" s="31">
        <v>0</v>
      </c>
      <c r="Q677" s="31">
        <v>0</v>
      </c>
      <c r="R677" s="31">
        <v>0</v>
      </c>
      <c r="S677" s="31">
        <v>0</v>
      </c>
      <c r="T677" s="31">
        <v>0</v>
      </c>
      <c r="U677" s="31">
        <v>0</v>
      </c>
      <c r="V677" s="31">
        <v>0</v>
      </c>
      <c r="W677" s="31">
        <v>0</v>
      </c>
      <c r="X677" s="31">
        <v>0</v>
      </c>
      <c r="Y677" s="31">
        <v>0</v>
      </c>
      <c r="Z677" s="31">
        <v>0</v>
      </c>
      <c r="AA677" s="31">
        <v>0</v>
      </c>
      <c r="AB677" s="31">
        <v>0</v>
      </c>
      <c r="AC677" s="31">
        <f>ROUND(N677*1.5%,2)</f>
        <v>115601.78</v>
      </c>
      <c r="AD677" s="31">
        <v>200000</v>
      </c>
      <c r="AE677" s="31">
        <v>0</v>
      </c>
      <c r="AF677" s="34">
        <v>2021</v>
      </c>
      <c r="AG677" s="34">
        <v>2021</v>
      </c>
      <c r="AH677" s="35">
        <v>2021</v>
      </c>
      <c r="BZ677" s="71"/>
      <c r="CD677" s="20" t="e">
        <f t="shared" si="170"/>
        <v>#N/A</v>
      </c>
      <c r="CE677" s="109" t="s">
        <v>116</v>
      </c>
      <c r="CF677" s="109">
        <v>1151</v>
      </c>
    </row>
    <row r="678" spans="1:84" ht="61.5" x14ac:dyDescent="0.85">
      <c r="B678" s="24" t="s">
        <v>763</v>
      </c>
      <c r="C678" s="108"/>
      <c r="D678" s="195">
        <f t="shared" ref="D678:AE678" si="175">SUM(D679:D717)</f>
        <v>138702295.03999999</v>
      </c>
      <c r="E678" s="31">
        <f t="shared" si="175"/>
        <v>0</v>
      </c>
      <c r="F678" s="31">
        <f t="shared" si="175"/>
        <v>0</v>
      </c>
      <c r="G678" s="31">
        <f t="shared" si="175"/>
        <v>0</v>
      </c>
      <c r="H678" s="31">
        <f t="shared" si="175"/>
        <v>150356.32999999999</v>
      </c>
      <c r="I678" s="31">
        <f t="shared" si="175"/>
        <v>5740425.9099999992</v>
      </c>
      <c r="J678" s="31">
        <f t="shared" si="175"/>
        <v>0</v>
      </c>
      <c r="K678" s="33">
        <f t="shared" si="175"/>
        <v>2</v>
      </c>
      <c r="L678" s="31">
        <f t="shared" si="175"/>
        <v>4331631.53</v>
      </c>
      <c r="M678" s="31">
        <f t="shared" si="175"/>
        <v>16733</v>
      </c>
      <c r="N678" s="31">
        <f t="shared" si="175"/>
        <v>85818867.580000013</v>
      </c>
      <c r="O678" s="31">
        <f t="shared" si="175"/>
        <v>0</v>
      </c>
      <c r="P678" s="31">
        <f t="shared" si="175"/>
        <v>0</v>
      </c>
      <c r="Q678" s="31">
        <f t="shared" si="175"/>
        <v>5116.95</v>
      </c>
      <c r="R678" s="31">
        <f t="shared" si="175"/>
        <v>19803600.309999999</v>
      </c>
      <c r="S678" s="31">
        <f t="shared" si="175"/>
        <v>375</v>
      </c>
      <c r="T678" s="31">
        <f t="shared" si="175"/>
        <v>6900000</v>
      </c>
      <c r="U678" s="31">
        <f t="shared" si="175"/>
        <v>10293307.390000001</v>
      </c>
      <c r="V678" s="31">
        <f t="shared" si="175"/>
        <v>0</v>
      </c>
      <c r="W678" s="31">
        <f t="shared" si="175"/>
        <v>0</v>
      </c>
      <c r="X678" s="31">
        <f t="shared" si="175"/>
        <v>0</v>
      </c>
      <c r="Y678" s="31">
        <f t="shared" si="175"/>
        <v>0</v>
      </c>
      <c r="Z678" s="31">
        <f t="shared" si="175"/>
        <v>0</v>
      </c>
      <c r="AA678" s="31">
        <f t="shared" si="175"/>
        <v>0</v>
      </c>
      <c r="AB678" s="31">
        <f t="shared" si="175"/>
        <v>0</v>
      </c>
      <c r="AC678" s="31">
        <f t="shared" si="175"/>
        <v>1930598.37</v>
      </c>
      <c r="AD678" s="31">
        <f t="shared" si="175"/>
        <v>3613507.62</v>
      </c>
      <c r="AE678" s="31">
        <f t="shared" si="175"/>
        <v>120000</v>
      </c>
      <c r="AF678" s="72" t="s">
        <v>757</v>
      </c>
      <c r="AG678" s="72" t="s">
        <v>757</v>
      </c>
      <c r="AH678" s="87" t="s">
        <v>757</v>
      </c>
      <c r="AT678" s="20" t="e">
        <f t="shared" ref="AT678:AT705" si="176">VLOOKUP(C678,AW:AX,2,FALSE)</f>
        <v>#N/A</v>
      </c>
      <c r="BZ678" s="71">
        <v>95396897.950000003</v>
      </c>
      <c r="CB678" s="71">
        <f>BZ678-D678</f>
        <v>-43305397.089999989</v>
      </c>
      <c r="CD678" s="20" t="e">
        <f t="shared" si="170"/>
        <v>#N/A</v>
      </c>
    </row>
    <row r="679" spans="1:84" ht="61.5" x14ac:dyDescent="0.85">
      <c r="A679" s="20">
        <v>1</v>
      </c>
      <c r="B679" s="66">
        <f>SUBTOTAL(103,$A$558:A679)</f>
        <v>120</v>
      </c>
      <c r="C679" s="24" t="s">
        <v>403</v>
      </c>
      <c r="D679" s="31">
        <f t="shared" ref="D679:D708" si="177">E679+F679+G679+H679+I679+J679+L679+N679+P679+R679+T679+U679+V679+W679+X679+Y679+Z679+AA679+AB679+AC679+AD679+AE679</f>
        <v>6231804.3600000003</v>
      </c>
      <c r="E679" s="31">
        <v>0</v>
      </c>
      <c r="F679" s="31">
        <v>0</v>
      </c>
      <c r="G679" s="31">
        <v>0</v>
      </c>
      <c r="H679" s="31">
        <v>0</v>
      </c>
      <c r="I679" s="31">
        <v>0</v>
      </c>
      <c r="J679" s="31">
        <v>0</v>
      </c>
      <c r="K679" s="33">
        <v>0</v>
      </c>
      <c r="L679" s="31">
        <v>0</v>
      </c>
      <c r="M679" s="31">
        <v>1170</v>
      </c>
      <c r="N679" s="31">
        <v>5962368.8300000001</v>
      </c>
      <c r="O679" s="31">
        <v>0</v>
      </c>
      <c r="P679" s="31">
        <v>0</v>
      </c>
      <c r="Q679" s="31">
        <v>0</v>
      </c>
      <c r="R679" s="31">
        <v>0</v>
      </c>
      <c r="S679" s="31">
        <v>0</v>
      </c>
      <c r="T679" s="31">
        <v>0</v>
      </c>
      <c r="U679" s="31">
        <v>0</v>
      </c>
      <c r="V679" s="31">
        <v>0</v>
      </c>
      <c r="W679" s="31">
        <v>0</v>
      </c>
      <c r="X679" s="31">
        <v>0</v>
      </c>
      <c r="Y679" s="31">
        <v>0</v>
      </c>
      <c r="Z679" s="31">
        <v>0</v>
      </c>
      <c r="AA679" s="31">
        <v>0</v>
      </c>
      <c r="AB679" s="31">
        <v>0</v>
      </c>
      <c r="AC679" s="31">
        <f>ROUND(N679*1.5%,2)</f>
        <v>89435.53</v>
      </c>
      <c r="AD679" s="31">
        <v>180000</v>
      </c>
      <c r="AE679" s="31">
        <v>0</v>
      </c>
      <c r="AF679" s="34">
        <v>2021</v>
      </c>
      <c r="AG679" s="34">
        <v>2021</v>
      </c>
      <c r="AH679" s="35">
        <v>2021</v>
      </c>
      <c r="AT679" s="20" t="e">
        <f t="shared" si="176"/>
        <v>#N/A</v>
      </c>
      <c r="BZ679" s="71"/>
      <c r="CD679" s="20" t="e">
        <f t="shared" si="170"/>
        <v>#N/A</v>
      </c>
    </row>
    <row r="680" spans="1:84" ht="61.5" x14ac:dyDescent="0.85">
      <c r="A680" s="20">
        <v>1</v>
      </c>
      <c r="B680" s="66">
        <f>SUBTOTAL(103,$A$558:A680)</f>
        <v>121</v>
      </c>
      <c r="C680" s="24" t="s">
        <v>405</v>
      </c>
      <c r="D680" s="31">
        <f t="shared" si="177"/>
        <v>4914920.1100000003</v>
      </c>
      <c r="E680" s="31">
        <v>0</v>
      </c>
      <c r="F680" s="31">
        <v>0</v>
      </c>
      <c r="G680" s="31">
        <v>0</v>
      </c>
      <c r="H680" s="31">
        <v>0</v>
      </c>
      <c r="I680" s="31">
        <v>0</v>
      </c>
      <c r="J680" s="31">
        <v>0</v>
      </c>
      <c r="K680" s="33">
        <v>0</v>
      </c>
      <c r="L680" s="31">
        <v>0</v>
      </c>
      <c r="M680" s="31">
        <v>880</v>
      </c>
      <c r="N680" s="31">
        <v>4694502.57</v>
      </c>
      <c r="O680" s="31">
        <v>0</v>
      </c>
      <c r="P680" s="31">
        <v>0</v>
      </c>
      <c r="Q680" s="31">
        <v>0</v>
      </c>
      <c r="R680" s="31">
        <v>0</v>
      </c>
      <c r="S680" s="31">
        <v>0</v>
      </c>
      <c r="T680" s="31">
        <v>0</v>
      </c>
      <c r="U680" s="31">
        <v>0</v>
      </c>
      <c r="V680" s="31">
        <v>0</v>
      </c>
      <c r="W680" s="31">
        <v>0</v>
      </c>
      <c r="X680" s="31">
        <v>0</v>
      </c>
      <c r="Y680" s="31">
        <v>0</v>
      </c>
      <c r="Z680" s="31">
        <v>0</v>
      </c>
      <c r="AA680" s="31">
        <v>0</v>
      </c>
      <c r="AB680" s="31">
        <v>0</v>
      </c>
      <c r="AC680" s="31">
        <f>ROUND(N680*1.5%,2)</f>
        <v>70417.539999999994</v>
      </c>
      <c r="AD680" s="31">
        <v>150000</v>
      </c>
      <c r="AE680" s="31">
        <v>0</v>
      </c>
      <c r="AF680" s="34">
        <v>2021</v>
      </c>
      <c r="AG680" s="34">
        <v>2021</v>
      </c>
      <c r="AH680" s="35">
        <v>2021</v>
      </c>
      <c r="AT680" s="20" t="e">
        <f t="shared" si="176"/>
        <v>#N/A</v>
      </c>
      <c r="BZ680" s="71"/>
      <c r="CD680" s="20" t="e">
        <f t="shared" si="170"/>
        <v>#N/A</v>
      </c>
    </row>
    <row r="681" spans="1:84" ht="61.5" x14ac:dyDescent="0.85">
      <c r="A681" s="20">
        <v>1</v>
      </c>
      <c r="B681" s="66">
        <f>SUBTOTAL(103,$A$558:A681)</f>
        <v>122</v>
      </c>
      <c r="C681" s="24" t="s">
        <v>406</v>
      </c>
      <c r="D681" s="31">
        <f t="shared" si="177"/>
        <v>3567125.84</v>
      </c>
      <c r="E681" s="31">
        <v>0</v>
      </c>
      <c r="F681" s="31">
        <v>0</v>
      </c>
      <c r="G681" s="31">
        <v>0</v>
      </c>
      <c r="H681" s="31">
        <v>0</v>
      </c>
      <c r="I681" s="31">
        <v>0</v>
      </c>
      <c r="J681" s="31">
        <v>0</v>
      </c>
      <c r="K681" s="33">
        <v>0</v>
      </c>
      <c r="L681" s="31">
        <v>0</v>
      </c>
      <c r="M681" s="31">
        <v>650</v>
      </c>
      <c r="N681" s="31">
        <v>3366626.44</v>
      </c>
      <c r="O681" s="31">
        <v>0</v>
      </c>
      <c r="P681" s="31">
        <v>0</v>
      </c>
      <c r="Q681" s="31">
        <v>0</v>
      </c>
      <c r="R681" s="31">
        <v>0</v>
      </c>
      <c r="S681" s="31">
        <v>0</v>
      </c>
      <c r="T681" s="31">
        <v>0</v>
      </c>
      <c r="U681" s="31">
        <v>0</v>
      </c>
      <c r="V681" s="31">
        <v>0</v>
      </c>
      <c r="W681" s="31">
        <v>0</v>
      </c>
      <c r="X681" s="31">
        <v>0</v>
      </c>
      <c r="Y681" s="31">
        <v>0</v>
      </c>
      <c r="Z681" s="31">
        <v>0</v>
      </c>
      <c r="AA681" s="31">
        <v>0</v>
      </c>
      <c r="AB681" s="31">
        <v>0</v>
      </c>
      <c r="AC681" s="31">
        <f>ROUND(N681*1.5%,2)</f>
        <v>50499.4</v>
      </c>
      <c r="AD681" s="31">
        <v>150000</v>
      </c>
      <c r="AE681" s="31">
        <v>0</v>
      </c>
      <c r="AF681" s="34">
        <v>2021</v>
      </c>
      <c r="AG681" s="34">
        <v>2021</v>
      </c>
      <c r="AH681" s="35">
        <v>2021</v>
      </c>
      <c r="AT681" s="20" t="e">
        <f t="shared" si="176"/>
        <v>#N/A</v>
      </c>
      <c r="BZ681" s="71"/>
      <c r="CD681" s="20" t="e">
        <f t="shared" si="170"/>
        <v>#N/A</v>
      </c>
    </row>
    <row r="682" spans="1:84" ht="61.5" x14ac:dyDescent="0.85">
      <c r="A682" s="20">
        <v>1</v>
      </c>
      <c r="B682" s="66">
        <f>SUBTOTAL(103,$A$558:A682)</f>
        <v>123</v>
      </c>
      <c r="C682" s="24" t="s">
        <v>407</v>
      </c>
      <c r="D682" s="31">
        <f t="shared" si="177"/>
        <v>3399322.55</v>
      </c>
      <c r="E682" s="31">
        <v>0</v>
      </c>
      <c r="F682" s="31">
        <v>0</v>
      </c>
      <c r="G682" s="31">
        <v>0</v>
      </c>
      <c r="H682" s="31">
        <v>0</v>
      </c>
      <c r="I682" s="31">
        <v>0</v>
      </c>
      <c r="J682" s="31">
        <v>0</v>
      </c>
      <c r="K682" s="33">
        <v>0</v>
      </c>
      <c r="L682" s="31">
        <v>0</v>
      </c>
      <c r="M682" s="31">
        <v>620</v>
      </c>
      <c r="N682" s="31">
        <v>3201303</v>
      </c>
      <c r="O682" s="31">
        <v>0</v>
      </c>
      <c r="P682" s="31">
        <v>0</v>
      </c>
      <c r="Q682" s="31">
        <v>0</v>
      </c>
      <c r="R682" s="31">
        <v>0</v>
      </c>
      <c r="S682" s="31">
        <v>0</v>
      </c>
      <c r="T682" s="31">
        <v>0</v>
      </c>
      <c r="U682" s="31">
        <v>0</v>
      </c>
      <c r="V682" s="31">
        <v>0</v>
      </c>
      <c r="W682" s="31">
        <v>0</v>
      </c>
      <c r="X682" s="31">
        <v>0</v>
      </c>
      <c r="Y682" s="31">
        <v>0</v>
      </c>
      <c r="Z682" s="31">
        <v>0</v>
      </c>
      <c r="AA682" s="31">
        <v>0</v>
      </c>
      <c r="AB682" s="31">
        <v>0</v>
      </c>
      <c r="AC682" s="31">
        <f>ROUND(N682*1.5%,2)</f>
        <v>48019.55</v>
      </c>
      <c r="AD682" s="31">
        <v>150000</v>
      </c>
      <c r="AE682" s="31">
        <v>0</v>
      </c>
      <c r="AF682" s="34">
        <v>2021</v>
      </c>
      <c r="AG682" s="34">
        <v>2021</v>
      </c>
      <c r="AH682" s="35">
        <v>2021</v>
      </c>
      <c r="AT682" s="20" t="e">
        <f t="shared" si="176"/>
        <v>#N/A</v>
      </c>
      <c r="BZ682" s="71"/>
      <c r="CD682" s="20" t="e">
        <f t="shared" si="170"/>
        <v>#N/A</v>
      </c>
    </row>
    <row r="683" spans="1:84" ht="61.5" x14ac:dyDescent="0.85">
      <c r="A683" s="20">
        <v>1</v>
      </c>
      <c r="B683" s="66">
        <f>SUBTOTAL(103,$A$558:A683)</f>
        <v>124</v>
      </c>
      <c r="C683" s="24" t="s">
        <v>408</v>
      </c>
      <c r="D683" s="31">
        <f t="shared" si="177"/>
        <v>3460627.9299999997</v>
      </c>
      <c r="E683" s="31">
        <v>0</v>
      </c>
      <c r="F683" s="31">
        <v>0</v>
      </c>
      <c r="G683" s="31">
        <v>0</v>
      </c>
      <c r="H683" s="31">
        <v>0</v>
      </c>
      <c r="I683" s="31">
        <v>0</v>
      </c>
      <c r="J683" s="31">
        <v>0</v>
      </c>
      <c r="K683" s="33">
        <v>0</v>
      </c>
      <c r="L683" s="31">
        <v>0</v>
      </c>
      <c r="M683" s="31">
        <v>640</v>
      </c>
      <c r="N683" s="31">
        <f>3353051.34+56434.31</f>
        <v>3409485.65</v>
      </c>
      <c r="O683" s="31">
        <v>0</v>
      </c>
      <c r="P683" s="31">
        <v>0</v>
      </c>
      <c r="Q683" s="31">
        <v>0</v>
      </c>
      <c r="R683" s="31">
        <v>0</v>
      </c>
      <c r="S683" s="31">
        <v>0</v>
      </c>
      <c r="T683" s="31">
        <v>0</v>
      </c>
      <c r="U683" s="31">
        <v>0</v>
      </c>
      <c r="V683" s="31">
        <v>0</v>
      </c>
      <c r="W683" s="31">
        <v>0</v>
      </c>
      <c r="X683" s="31">
        <v>0</v>
      </c>
      <c r="Y683" s="31">
        <v>0</v>
      </c>
      <c r="Z683" s="31">
        <v>0</v>
      </c>
      <c r="AA683" s="31">
        <v>0</v>
      </c>
      <c r="AB683" s="31">
        <v>0</v>
      </c>
      <c r="AC683" s="31">
        <f>ROUND(N683*1.5%,2)</f>
        <v>51142.28</v>
      </c>
      <c r="AD683" s="31">
        <v>0</v>
      </c>
      <c r="AE683" s="31">
        <v>0</v>
      </c>
      <c r="AF683" s="34" t="s">
        <v>270</v>
      </c>
      <c r="AG683" s="34">
        <v>2021</v>
      </c>
      <c r="AH683" s="35">
        <v>2021</v>
      </c>
      <c r="AT683" s="20" t="e">
        <f t="shared" si="176"/>
        <v>#N/A</v>
      </c>
      <c r="BZ683" s="71"/>
      <c r="CD683" s="20" t="e">
        <f t="shared" si="170"/>
        <v>#N/A</v>
      </c>
    </row>
    <row r="684" spans="1:84" ht="61.5" x14ac:dyDescent="0.85">
      <c r="A684" s="20">
        <v>1</v>
      </c>
      <c r="B684" s="66">
        <f>SUBTOTAL(103,$A$558:A684)</f>
        <v>125</v>
      </c>
      <c r="C684" s="24" t="s">
        <v>199</v>
      </c>
      <c r="D684" s="31">
        <f t="shared" si="177"/>
        <v>686139</v>
      </c>
      <c r="E684" s="31">
        <v>0</v>
      </c>
      <c r="F684" s="31">
        <v>0</v>
      </c>
      <c r="G684" s="31">
        <v>0</v>
      </c>
      <c r="H684" s="31">
        <v>150356.32999999999</v>
      </c>
      <c r="I684" s="31">
        <v>456677.17</v>
      </c>
      <c r="J684" s="31">
        <v>0</v>
      </c>
      <c r="K684" s="33">
        <v>0</v>
      </c>
      <c r="L684" s="31">
        <v>0</v>
      </c>
      <c r="M684" s="31">
        <v>0</v>
      </c>
      <c r="N684" s="31">
        <v>0</v>
      </c>
      <c r="O684" s="31">
        <v>0</v>
      </c>
      <c r="P684" s="31">
        <v>0</v>
      </c>
      <c r="Q684" s="31">
        <v>0</v>
      </c>
      <c r="R684" s="31">
        <v>0</v>
      </c>
      <c r="S684" s="31">
        <v>0</v>
      </c>
      <c r="T684" s="31">
        <v>0</v>
      </c>
      <c r="U684" s="31">
        <v>0</v>
      </c>
      <c r="V684" s="31">
        <v>0</v>
      </c>
      <c r="W684" s="31">
        <v>0</v>
      </c>
      <c r="X684" s="31">
        <v>0</v>
      </c>
      <c r="Y684" s="31">
        <v>0</v>
      </c>
      <c r="Z684" s="31">
        <v>0</v>
      </c>
      <c r="AA684" s="31">
        <v>0</v>
      </c>
      <c r="AB684" s="31">
        <v>0</v>
      </c>
      <c r="AC684" s="31">
        <f>ROUND((E684+F684+G684+H684+I684+J684)*1.5%,2)</f>
        <v>9105.5</v>
      </c>
      <c r="AD684" s="31">
        <v>70000</v>
      </c>
      <c r="AE684" s="31">
        <v>0</v>
      </c>
      <c r="AF684" s="34">
        <v>2021</v>
      </c>
      <c r="AG684" s="34">
        <v>2021</v>
      </c>
      <c r="AH684" s="35">
        <v>2021</v>
      </c>
      <c r="AT684" s="20" t="e">
        <f t="shared" si="176"/>
        <v>#N/A</v>
      </c>
      <c r="BZ684" s="71"/>
      <c r="CD684" s="20" t="e">
        <f t="shared" si="170"/>
        <v>#N/A</v>
      </c>
    </row>
    <row r="685" spans="1:84" ht="61.5" x14ac:dyDescent="0.85">
      <c r="A685" s="20">
        <v>1</v>
      </c>
      <c r="B685" s="66">
        <f>SUBTOTAL(103,$A$558:A685)</f>
        <v>126</v>
      </c>
      <c r="C685" s="24" t="s">
        <v>200</v>
      </c>
      <c r="D685" s="31">
        <f t="shared" si="177"/>
        <v>783943</v>
      </c>
      <c r="E685" s="31">
        <v>0</v>
      </c>
      <c r="F685" s="31">
        <v>0</v>
      </c>
      <c r="G685" s="31">
        <v>0</v>
      </c>
      <c r="H685" s="31">
        <v>0</v>
      </c>
      <c r="I685" s="31">
        <v>703392.12</v>
      </c>
      <c r="J685" s="31">
        <v>0</v>
      </c>
      <c r="K685" s="33">
        <v>0</v>
      </c>
      <c r="L685" s="31">
        <v>0</v>
      </c>
      <c r="M685" s="31">
        <v>0</v>
      </c>
      <c r="N685" s="31">
        <v>0</v>
      </c>
      <c r="O685" s="31">
        <v>0</v>
      </c>
      <c r="P685" s="31">
        <v>0</v>
      </c>
      <c r="Q685" s="31">
        <v>0</v>
      </c>
      <c r="R685" s="31">
        <v>0</v>
      </c>
      <c r="S685" s="31">
        <v>0</v>
      </c>
      <c r="T685" s="31">
        <v>0</v>
      </c>
      <c r="U685" s="31">
        <v>0</v>
      </c>
      <c r="V685" s="31">
        <v>0</v>
      </c>
      <c r="W685" s="31">
        <v>0</v>
      </c>
      <c r="X685" s="31">
        <v>0</v>
      </c>
      <c r="Y685" s="31">
        <v>0</v>
      </c>
      <c r="Z685" s="31">
        <v>0</v>
      </c>
      <c r="AA685" s="31">
        <v>0</v>
      </c>
      <c r="AB685" s="31">
        <v>0</v>
      </c>
      <c r="AC685" s="31">
        <f>ROUND((E685+F685+G685+H685+I685+J685)*1.5%,2)</f>
        <v>10550.88</v>
      </c>
      <c r="AD685" s="31">
        <v>70000</v>
      </c>
      <c r="AE685" s="31">
        <v>0</v>
      </c>
      <c r="AF685" s="34">
        <v>2021</v>
      </c>
      <c r="AG685" s="34">
        <v>2021</v>
      </c>
      <c r="AH685" s="35">
        <v>2021</v>
      </c>
      <c r="AT685" s="20" t="e">
        <f t="shared" si="176"/>
        <v>#N/A</v>
      </c>
      <c r="BZ685" s="71"/>
      <c r="CD685" s="20" t="e">
        <f t="shared" si="170"/>
        <v>#N/A</v>
      </c>
    </row>
    <row r="686" spans="1:84" ht="61.5" x14ac:dyDescent="0.85">
      <c r="A686" s="20">
        <v>1</v>
      </c>
      <c r="B686" s="66">
        <f>SUBTOTAL(103,$A$558:A686)</f>
        <v>127</v>
      </c>
      <c r="C686" s="24" t="s">
        <v>201</v>
      </c>
      <c r="D686" s="31">
        <f t="shared" si="177"/>
        <v>776127.96</v>
      </c>
      <c r="E686" s="31">
        <v>0</v>
      </c>
      <c r="F686" s="31">
        <v>0</v>
      </c>
      <c r="G686" s="31">
        <v>0</v>
      </c>
      <c r="H686" s="31">
        <v>0</v>
      </c>
      <c r="I686" s="31">
        <v>695692.57</v>
      </c>
      <c r="J686" s="31">
        <v>0</v>
      </c>
      <c r="K686" s="33">
        <v>0</v>
      </c>
      <c r="L686" s="31">
        <v>0</v>
      </c>
      <c r="M686" s="31">
        <v>0</v>
      </c>
      <c r="N686" s="31">
        <v>0</v>
      </c>
      <c r="O686" s="31">
        <v>0</v>
      </c>
      <c r="P686" s="31">
        <v>0</v>
      </c>
      <c r="Q686" s="31">
        <v>0</v>
      </c>
      <c r="R686" s="31">
        <v>0</v>
      </c>
      <c r="S686" s="31">
        <v>0</v>
      </c>
      <c r="T686" s="31">
        <v>0</v>
      </c>
      <c r="U686" s="31">
        <v>0</v>
      </c>
      <c r="V686" s="31">
        <v>0</v>
      </c>
      <c r="W686" s="31">
        <v>0</v>
      </c>
      <c r="X686" s="31">
        <v>0</v>
      </c>
      <c r="Y686" s="31">
        <v>0</v>
      </c>
      <c r="Z686" s="31">
        <v>0</v>
      </c>
      <c r="AA686" s="31">
        <v>0</v>
      </c>
      <c r="AB686" s="31">
        <v>0</v>
      </c>
      <c r="AC686" s="31">
        <f>ROUND((E686+F686+G686+H686+I686+J686)*1.5%,2)</f>
        <v>10435.39</v>
      </c>
      <c r="AD686" s="31">
        <v>70000</v>
      </c>
      <c r="AE686" s="31">
        <v>0</v>
      </c>
      <c r="AF686" s="34">
        <v>2021</v>
      </c>
      <c r="AG686" s="34">
        <v>2021</v>
      </c>
      <c r="AH686" s="35">
        <v>2021</v>
      </c>
      <c r="AT686" s="20" t="e">
        <f t="shared" si="176"/>
        <v>#N/A</v>
      </c>
      <c r="BZ686" s="71"/>
      <c r="CD686" s="20" t="e">
        <f t="shared" si="170"/>
        <v>#N/A</v>
      </c>
    </row>
    <row r="687" spans="1:84" ht="61.5" x14ac:dyDescent="0.85">
      <c r="A687" s="20">
        <v>1</v>
      </c>
      <c r="B687" s="66">
        <f>SUBTOTAL(103,$A$558:A687)</f>
        <v>128</v>
      </c>
      <c r="C687" s="24" t="s">
        <v>409</v>
      </c>
      <c r="D687" s="31">
        <f t="shared" si="177"/>
        <v>2549917.2999999998</v>
      </c>
      <c r="E687" s="31">
        <v>0</v>
      </c>
      <c r="F687" s="31">
        <v>0</v>
      </c>
      <c r="G687" s="31">
        <v>0</v>
      </c>
      <c r="H687" s="31">
        <v>0</v>
      </c>
      <c r="I687" s="31">
        <v>0</v>
      </c>
      <c r="J687" s="31">
        <v>0</v>
      </c>
      <c r="K687" s="33">
        <v>0</v>
      </c>
      <c r="L687" s="31">
        <v>0</v>
      </c>
      <c r="M687" s="31">
        <v>477</v>
      </c>
      <c r="N687" s="31">
        <f>2466356.93+45876.86</f>
        <v>2512233.79</v>
      </c>
      <c r="O687" s="31">
        <v>0</v>
      </c>
      <c r="P687" s="31">
        <v>0</v>
      </c>
      <c r="Q687" s="31">
        <v>0</v>
      </c>
      <c r="R687" s="31">
        <v>0</v>
      </c>
      <c r="S687" s="31">
        <v>0</v>
      </c>
      <c r="T687" s="31">
        <v>0</v>
      </c>
      <c r="U687" s="31">
        <v>0</v>
      </c>
      <c r="V687" s="31">
        <v>0</v>
      </c>
      <c r="W687" s="31">
        <v>0</v>
      </c>
      <c r="X687" s="31">
        <v>0</v>
      </c>
      <c r="Y687" s="31">
        <v>0</v>
      </c>
      <c r="Z687" s="31">
        <v>0</v>
      </c>
      <c r="AA687" s="31">
        <v>0</v>
      </c>
      <c r="AB687" s="31">
        <v>0</v>
      </c>
      <c r="AC687" s="31">
        <f t="shared" ref="AC687:AC701" si="178">ROUND(N687*1.5%,2)</f>
        <v>37683.51</v>
      </c>
      <c r="AD687" s="31">
        <v>0</v>
      </c>
      <c r="AE687" s="31">
        <v>0</v>
      </c>
      <c r="AF687" s="34" t="s">
        <v>270</v>
      </c>
      <c r="AG687" s="34">
        <v>2021</v>
      </c>
      <c r="AH687" s="35">
        <v>2021</v>
      </c>
      <c r="AT687" s="20" t="e">
        <f t="shared" si="176"/>
        <v>#N/A</v>
      </c>
      <c r="BZ687" s="71"/>
      <c r="CD687" s="20" t="e">
        <f t="shared" si="170"/>
        <v>#N/A</v>
      </c>
    </row>
    <row r="688" spans="1:84" ht="61.5" x14ac:dyDescent="0.85">
      <c r="A688" s="20">
        <v>1</v>
      </c>
      <c r="B688" s="66">
        <f>SUBTOTAL(103,$A$558:A688)</f>
        <v>129</v>
      </c>
      <c r="C688" s="24" t="s">
        <v>410</v>
      </c>
      <c r="D688" s="31">
        <f t="shared" si="177"/>
        <v>2559962.94</v>
      </c>
      <c r="E688" s="31">
        <v>0</v>
      </c>
      <c r="F688" s="31">
        <v>0</v>
      </c>
      <c r="G688" s="31">
        <v>0</v>
      </c>
      <c r="H688" s="31">
        <v>0</v>
      </c>
      <c r="I688" s="31">
        <v>0</v>
      </c>
      <c r="J688" s="31">
        <v>0</v>
      </c>
      <c r="K688" s="33">
        <v>0</v>
      </c>
      <c r="L688" s="31">
        <v>0</v>
      </c>
      <c r="M688" s="31">
        <v>472</v>
      </c>
      <c r="N688" s="31">
        <f>2475903.88+46227.1</f>
        <v>2522130.98</v>
      </c>
      <c r="O688" s="31">
        <v>0</v>
      </c>
      <c r="P688" s="31">
        <v>0</v>
      </c>
      <c r="Q688" s="31">
        <v>0</v>
      </c>
      <c r="R688" s="31">
        <v>0</v>
      </c>
      <c r="S688" s="31">
        <v>0</v>
      </c>
      <c r="T688" s="31">
        <v>0</v>
      </c>
      <c r="U688" s="31">
        <v>0</v>
      </c>
      <c r="V688" s="31">
        <v>0</v>
      </c>
      <c r="W688" s="31">
        <v>0</v>
      </c>
      <c r="X688" s="31">
        <v>0</v>
      </c>
      <c r="Y688" s="31">
        <v>0</v>
      </c>
      <c r="Z688" s="31">
        <v>0</v>
      </c>
      <c r="AA688" s="31">
        <v>0</v>
      </c>
      <c r="AB688" s="31">
        <v>0</v>
      </c>
      <c r="AC688" s="31">
        <f t="shared" si="178"/>
        <v>37831.96</v>
      </c>
      <c r="AD688" s="31">
        <v>0</v>
      </c>
      <c r="AE688" s="31">
        <v>0</v>
      </c>
      <c r="AF688" s="34" t="s">
        <v>270</v>
      </c>
      <c r="AG688" s="34">
        <v>2021</v>
      </c>
      <c r="AH688" s="35">
        <v>2021</v>
      </c>
      <c r="AT688" s="20" t="e">
        <f t="shared" si="176"/>
        <v>#N/A</v>
      </c>
      <c r="BZ688" s="71"/>
      <c r="CD688" s="20" t="e">
        <f t="shared" si="170"/>
        <v>#N/A</v>
      </c>
    </row>
    <row r="689" spans="1:82" ht="61.5" x14ac:dyDescent="0.85">
      <c r="A689" s="20">
        <v>1</v>
      </c>
      <c r="B689" s="66">
        <f>SUBTOTAL(103,$A$558:A689)</f>
        <v>130</v>
      </c>
      <c r="C689" s="24" t="s">
        <v>411</v>
      </c>
      <c r="D689" s="31">
        <f t="shared" si="177"/>
        <v>2456912.8200000003</v>
      </c>
      <c r="E689" s="31">
        <v>0</v>
      </c>
      <c r="F689" s="31">
        <v>0</v>
      </c>
      <c r="G689" s="31">
        <v>0</v>
      </c>
      <c r="H689" s="31">
        <v>0</v>
      </c>
      <c r="I689" s="31">
        <v>0</v>
      </c>
      <c r="J689" s="31">
        <v>0</v>
      </c>
      <c r="K689" s="33">
        <v>0</v>
      </c>
      <c r="L689" s="31">
        <v>0</v>
      </c>
      <c r="M689" s="31">
        <v>440</v>
      </c>
      <c r="N689" s="31">
        <v>2302377.16</v>
      </c>
      <c r="O689" s="31">
        <v>0</v>
      </c>
      <c r="P689" s="31">
        <v>0</v>
      </c>
      <c r="Q689" s="31">
        <v>0</v>
      </c>
      <c r="R689" s="31">
        <v>0</v>
      </c>
      <c r="S689" s="31">
        <v>0</v>
      </c>
      <c r="T689" s="31">
        <v>0</v>
      </c>
      <c r="U689" s="31">
        <v>0</v>
      </c>
      <c r="V689" s="31">
        <v>0</v>
      </c>
      <c r="W689" s="31">
        <v>0</v>
      </c>
      <c r="X689" s="31">
        <v>0</v>
      </c>
      <c r="Y689" s="31">
        <v>0</v>
      </c>
      <c r="Z689" s="31">
        <v>0</v>
      </c>
      <c r="AA689" s="31">
        <v>0</v>
      </c>
      <c r="AB689" s="31">
        <v>0</v>
      </c>
      <c r="AC689" s="31">
        <f t="shared" si="178"/>
        <v>34535.660000000003</v>
      </c>
      <c r="AD689" s="31">
        <v>120000</v>
      </c>
      <c r="AE689" s="31">
        <v>0</v>
      </c>
      <c r="AF689" s="34">
        <v>2021</v>
      </c>
      <c r="AG689" s="34">
        <v>2021</v>
      </c>
      <c r="AH689" s="35">
        <v>2021</v>
      </c>
      <c r="AT689" s="20" t="e">
        <f t="shared" si="176"/>
        <v>#N/A</v>
      </c>
      <c r="BZ689" s="71"/>
      <c r="CD689" s="20" t="e">
        <f t="shared" si="170"/>
        <v>#N/A</v>
      </c>
    </row>
    <row r="690" spans="1:82" ht="61.5" x14ac:dyDescent="0.85">
      <c r="A690" s="20">
        <v>1</v>
      </c>
      <c r="B690" s="66">
        <f>SUBTOTAL(103,$A$558:A690)</f>
        <v>131</v>
      </c>
      <c r="C690" s="24" t="s">
        <v>412</v>
      </c>
      <c r="D690" s="31">
        <f t="shared" si="177"/>
        <v>3762569.57</v>
      </c>
      <c r="E690" s="31">
        <v>0</v>
      </c>
      <c r="F690" s="31">
        <v>0</v>
      </c>
      <c r="G690" s="31">
        <v>0</v>
      </c>
      <c r="H690" s="31">
        <v>0</v>
      </c>
      <c r="I690" s="31">
        <v>0</v>
      </c>
      <c r="J690" s="31">
        <v>0</v>
      </c>
      <c r="K690" s="33">
        <v>0</v>
      </c>
      <c r="L690" s="31">
        <v>0</v>
      </c>
      <c r="M690" s="31">
        <v>658</v>
      </c>
      <c r="N690" s="31">
        <v>3529625.19</v>
      </c>
      <c r="O690" s="31">
        <v>0</v>
      </c>
      <c r="P690" s="31">
        <v>0</v>
      </c>
      <c r="Q690" s="31">
        <v>0</v>
      </c>
      <c r="R690" s="31">
        <v>0</v>
      </c>
      <c r="S690" s="31">
        <v>0</v>
      </c>
      <c r="T690" s="31">
        <v>0</v>
      </c>
      <c r="U690" s="31">
        <v>0</v>
      </c>
      <c r="V690" s="31">
        <v>0</v>
      </c>
      <c r="W690" s="31">
        <v>0</v>
      </c>
      <c r="X690" s="31">
        <v>0</v>
      </c>
      <c r="Y690" s="31">
        <v>0</v>
      </c>
      <c r="Z690" s="31">
        <v>0</v>
      </c>
      <c r="AA690" s="31">
        <v>0</v>
      </c>
      <c r="AB690" s="31">
        <v>0</v>
      </c>
      <c r="AC690" s="31">
        <f t="shared" si="178"/>
        <v>52944.38</v>
      </c>
      <c r="AD690" s="31">
        <v>180000</v>
      </c>
      <c r="AE690" s="31">
        <v>0</v>
      </c>
      <c r="AF690" s="34">
        <v>2021</v>
      </c>
      <c r="AG690" s="34">
        <v>2021</v>
      </c>
      <c r="AH690" s="35">
        <v>2021</v>
      </c>
      <c r="AT690" s="20" t="e">
        <f t="shared" si="176"/>
        <v>#N/A</v>
      </c>
      <c r="BZ690" s="71"/>
      <c r="CD690" s="20" t="e">
        <f t="shared" si="170"/>
        <v>#N/A</v>
      </c>
    </row>
    <row r="691" spans="1:82" ht="61.5" x14ac:dyDescent="0.85">
      <c r="A691" s="20">
        <v>1</v>
      </c>
      <c r="B691" s="66">
        <f>SUBTOTAL(103,$A$558:A691)</f>
        <v>132</v>
      </c>
      <c r="C691" s="24" t="s">
        <v>413</v>
      </c>
      <c r="D691" s="31">
        <f t="shared" si="177"/>
        <v>5669999.9900000002</v>
      </c>
      <c r="E691" s="31">
        <v>0</v>
      </c>
      <c r="F691" s="31">
        <v>0</v>
      </c>
      <c r="G691" s="31">
        <v>0</v>
      </c>
      <c r="H691" s="31">
        <v>0</v>
      </c>
      <c r="I691" s="31">
        <v>0</v>
      </c>
      <c r="J691" s="31">
        <v>0</v>
      </c>
      <c r="K691" s="33">
        <v>0</v>
      </c>
      <c r="L691" s="31">
        <v>0</v>
      </c>
      <c r="M691" s="31">
        <v>1134</v>
      </c>
      <c r="N691" s="31">
        <v>5408866.9900000002</v>
      </c>
      <c r="O691" s="31">
        <v>0</v>
      </c>
      <c r="P691" s="31">
        <v>0</v>
      </c>
      <c r="Q691" s="31">
        <v>0</v>
      </c>
      <c r="R691" s="31">
        <v>0</v>
      </c>
      <c r="S691" s="31">
        <v>0</v>
      </c>
      <c r="T691" s="31">
        <v>0</v>
      </c>
      <c r="U691" s="31">
        <v>0</v>
      </c>
      <c r="V691" s="31">
        <v>0</v>
      </c>
      <c r="W691" s="31">
        <v>0</v>
      </c>
      <c r="X691" s="31">
        <v>0</v>
      </c>
      <c r="Y691" s="31">
        <v>0</v>
      </c>
      <c r="Z691" s="31">
        <v>0</v>
      </c>
      <c r="AA691" s="31">
        <v>0</v>
      </c>
      <c r="AB691" s="31">
        <v>0</v>
      </c>
      <c r="AC691" s="31">
        <f t="shared" si="178"/>
        <v>81133</v>
      </c>
      <c r="AD691" s="31">
        <v>180000</v>
      </c>
      <c r="AE691" s="31">
        <v>0</v>
      </c>
      <c r="AF691" s="34">
        <v>2021</v>
      </c>
      <c r="AG691" s="34">
        <v>2021</v>
      </c>
      <c r="AH691" s="35">
        <v>2021</v>
      </c>
      <c r="AT691" s="20" t="e">
        <f t="shared" si="176"/>
        <v>#N/A</v>
      </c>
      <c r="BZ691" s="71"/>
      <c r="CD691" s="20" t="e">
        <f t="shared" si="170"/>
        <v>#N/A</v>
      </c>
    </row>
    <row r="692" spans="1:82" ht="61.5" x14ac:dyDescent="0.85">
      <c r="A692" s="20">
        <v>1</v>
      </c>
      <c r="B692" s="66">
        <f>SUBTOTAL(103,$A$558:A692)</f>
        <v>133</v>
      </c>
      <c r="C692" s="24" t="s">
        <v>414</v>
      </c>
      <c r="D692" s="31">
        <f t="shared" si="177"/>
        <v>2895000</v>
      </c>
      <c r="E692" s="31">
        <v>0</v>
      </c>
      <c r="F692" s="31">
        <v>0</v>
      </c>
      <c r="G692" s="31">
        <v>0</v>
      </c>
      <c r="H692" s="31">
        <v>0</v>
      </c>
      <c r="I692" s="31">
        <v>0</v>
      </c>
      <c r="J692" s="31">
        <v>0</v>
      </c>
      <c r="K692" s="33">
        <v>0</v>
      </c>
      <c r="L692" s="31">
        <v>0</v>
      </c>
      <c r="M692" s="31">
        <v>579</v>
      </c>
      <c r="N692" s="31">
        <v>2704433.5</v>
      </c>
      <c r="O692" s="31">
        <v>0</v>
      </c>
      <c r="P692" s="31">
        <v>0</v>
      </c>
      <c r="Q692" s="31">
        <v>0</v>
      </c>
      <c r="R692" s="31">
        <v>0</v>
      </c>
      <c r="S692" s="31">
        <v>0</v>
      </c>
      <c r="T692" s="31">
        <v>0</v>
      </c>
      <c r="U692" s="31">
        <v>0</v>
      </c>
      <c r="V692" s="31">
        <v>0</v>
      </c>
      <c r="W692" s="31">
        <v>0</v>
      </c>
      <c r="X692" s="31">
        <v>0</v>
      </c>
      <c r="Y692" s="31">
        <v>0</v>
      </c>
      <c r="Z692" s="31">
        <v>0</v>
      </c>
      <c r="AA692" s="31">
        <v>0</v>
      </c>
      <c r="AB692" s="31">
        <v>0</v>
      </c>
      <c r="AC692" s="31">
        <f t="shared" si="178"/>
        <v>40566.5</v>
      </c>
      <c r="AD692" s="31">
        <v>150000</v>
      </c>
      <c r="AE692" s="31">
        <v>0</v>
      </c>
      <c r="AF692" s="34">
        <v>2021</v>
      </c>
      <c r="AG692" s="34">
        <v>2021</v>
      </c>
      <c r="AH692" s="35">
        <v>2021</v>
      </c>
      <c r="AT692" s="20" t="e">
        <f t="shared" si="176"/>
        <v>#N/A</v>
      </c>
      <c r="BZ692" s="71"/>
      <c r="CD692" s="20" t="e">
        <f t="shared" si="170"/>
        <v>#N/A</v>
      </c>
    </row>
    <row r="693" spans="1:82" ht="61.5" x14ac:dyDescent="0.85">
      <c r="A693" s="20">
        <v>1</v>
      </c>
      <c r="B693" s="66">
        <f>SUBTOTAL(103,$A$558:A693)</f>
        <v>134</v>
      </c>
      <c r="C693" s="24" t="s">
        <v>415</v>
      </c>
      <c r="D693" s="31">
        <f t="shared" si="177"/>
        <v>2988437.47</v>
      </c>
      <c r="E693" s="31">
        <v>0</v>
      </c>
      <c r="F693" s="31">
        <v>0</v>
      </c>
      <c r="G693" s="31">
        <v>0</v>
      </c>
      <c r="H693" s="31">
        <v>0</v>
      </c>
      <c r="I693" s="31">
        <v>0</v>
      </c>
      <c r="J693" s="31">
        <v>0</v>
      </c>
      <c r="K693" s="33">
        <v>0</v>
      </c>
      <c r="L693" s="31">
        <v>0</v>
      </c>
      <c r="M693" s="31">
        <v>570</v>
      </c>
      <c r="N693" s="31">
        <f>2873546.42+70726.95</f>
        <v>2944273.37</v>
      </c>
      <c r="O693" s="31">
        <v>0</v>
      </c>
      <c r="P693" s="31">
        <v>0</v>
      </c>
      <c r="Q693" s="31">
        <v>0</v>
      </c>
      <c r="R693" s="31">
        <v>0</v>
      </c>
      <c r="S693" s="31">
        <v>0</v>
      </c>
      <c r="T693" s="31">
        <v>0</v>
      </c>
      <c r="U693" s="31">
        <v>0</v>
      </c>
      <c r="V693" s="31">
        <v>0</v>
      </c>
      <c r="W693" s="31">
        <v>0</v>
      </c>
      <c r="X693" s="31">
        <v>0</v>
      </c>
      <c r="Y693" s="31">
        <v>0</v>
      </c>
      <c r="Z693" s="31">
        <v>0</v>
      </c>
      <c r="AA693" s="31">
        <v>0</v>
      </c>
      <c r="AB693" s="31">
        <v>0</v>
      </c>
      <c r="AC693" s="31">
        <f t="shared" si="178"/>
        <v>44164.1</v>
      </c>
      <c r="AD693" s="31">
        <v>0</v>
      </c>
      <c r="AE693" s="31">
        <v>0</v>
      </c>
      <c r="AF693" s="34" t="s">
        <v>270</v>
      </c>
      <c r="AG693" s="34">
        <v>2021</v>
      </c>
      <c r="AH693" s="35">
        <v>2021</v>
      </c>
      <c r="AT693" s="20" t="e">
        <f t="shared" si="176"/>
        <v>#N/A</v>
      </c>
      <c r="BZ693" s="71"/>
      <c r="CD693" s="20" t="e">
        <f t="shared" si="170"/>
        <v>#N/A</v>
      </c>
    </row>
    <row r="694" spans="1:82" ht="61.5" x14ac:dyDescent="0.85">
      <c r="A694" s="20">
        <v>1</v>
      </c>
      <c r="B694" s="66">
        <f>SUBTOTAL(103,$A$558:A694)</f>
        <v>135</v>
      </c>
      <c r="C694" s="24" t="s">
        <v>416</v>
      </c>
      <c r="D694" s="31">
        <f t="shared" si="177"/>
        <v>1433090.1199999999</v>
      </c>
      <c r="E694" s="31">
        <v>0</v>
      </c>
      <c r="F694" s="31">
        <v>0</v>
      </c>
      <c r="G694" s="31">
        <v>0</v>
      </c>
      <c r="H694" s="31">
        <v>0</v>
      </c>
      <c r="I694" s="31">
        <v>0</v>
      </c>
      <c r="J694" s="31">
        <v>0</v>
      </c>
      <c r="K694" s="33">
        <v>0</v>
      </c>
      <c r="L694" s="31">
        <v>0</v>
      </c>
      <c r="M694" s="31">
        <v>266</v>
      </c>
      <c r="N694" s="31">
        <f>1348509.78+63401.67</f>
        <v>1411911.45</v>
      </c>
      <c r="O694" s="31">
        <v>0</v>
      </c>
      <c r="P694" s="31">
        <v>0</v>
      </c>
      <c r="Q694" s="31">
        <v>0</v>
      </c>
      <c r="R694" s="31">
        <v>0</v>
      </c>
      <c r="S694" s="31">
        <v>0</v>
      </c>
      <c r="T694" s="31">
        <v>0</v>
      </c>
      <c r="U694" s="31">
        <v>0</v>
      </c>
      <c r="V694" s="31">
        <v>0</v>
      </c>
      <c r="W694" s="31">
        <v>0</v>
      </c>
      <c r="X694" s="31">
        <v>0</v>
      </c>
      <c r="Y694" s="31">
        <v>0</v>
      </c>
      <c r="Z694" s="31">
        <v>0</v>
      </c>
      <c r="AA694" s="31">
        <v>0</v>
      </c>
      <c r="AB694" s="31">
        <v>0</v>
      </c>
      <c r="AC694" s="31">
        <f t="shared" si="178"/>
        <v>21178.67</v>
      </c>
      <c r="AD694" s="31">
        <v>0</v>
      </c>
      <c r="AE694" s="31">
        <v>0</v>
      </c>
      <c r="AF694" s="34" t="s">
        <v>270</v>
      </c>
      <c r="AG694" s="34">
        <v>2021</v>
      </c>
      <c r="AH694" s="35">
        <v>2021</v>
      </c>
      <c r="AT694" s="20" t="e">
        <f t="shared" si="176"/>
        <v>#N/A</v>
      </c>
      <c r="BZ694" s="71"/>
      <c r="CD694" s="20" t="e">
        <f t="shared" si="170"/>
        <v>#N/A</v>
      </c>
    </row>
    <row r="695" spans="1:82" ht="61.5" x14ac:dyDescent="0.85">
      <c r="A695" s="20">
        <v>1</v>
      </c>
      <c r="B695" s="66">
        <f>SUBTOTAL(103,$A$558:A695)</f>
        <v>136</v>
      </c>
      <c r="C695" s="24" t="s">
        <v>417</v>
      </c>
      <c r="D695" s="31">
        <f t="shared" si="177"/>
        <v>8150000</v>
      </c>
      <c r="E695" s="31">
        <v>0</v>
      </c>
      <c r="F695" s="31">
        <v>0</v>
      </c>
      <c r="G695" s="31">
        <v>0</v>
      </c>
      <c r="H695" s="31">
        <v>0</v>
      </c>
      <c r="I695" s="31">
        <v>0</v>
      </c>
      <c r="J695" s="31">
        <v>0</v>
      </c>
      <c r="K695" s="33">
        <v>0</v>
      </c>
      <c r="L695" s="31">
        <v>0</v>
      </c>
      <c r="M695" s="31">
        <v>1630</v>
      </c>
      <c r="N695" s="31">
        <v>7852216.75</v>
      </c>
      <c r="O695" s="31">
        <v>0</v>
      </c>
      <c r="P695" s="31">
        <v>0</v>
      </c>
      <c r="Q695" s="31">
        <v>0</v>
      </c>
      <c r="R695" s="31">
        <v>0</v>
      </c>
      <c r="S695" s="31">
        <v>0</v>
      </c>
      <c r="T695" s="31">
        <v>0</v>
      </c>
      <c r="U695" s="31">
        <v>0</v>
      </c>
      <c r="V695" s="31">
        <v>0</v>
      </c>
      <c r="W695" s="31">
        <v>0</v>
      </c>
      <c r="X695" s="31">
        <v>0</v>
      </c>
      <c r="Y695" s="31">
        <v>0</v>
      </c>
      <c r="Z695" s="31">
        <v>0</v>
      </c>
      <c r="AA695" s="31">
        <v>0</v>
      </c>
      <c r="AB695" s="31">
        <v>0</v>
      </c>
      <c r="AC695" s="31">
        <f t="shared" si="178"/>
        <v>117783.25</v>
      </c>
      <c r="AD695" s="31">
        <v>180000</v>
      </c>
      <c r="AE695" s="31">
        <v>0</v>
      </c>
      <c r="AF695" s="34">
        <v>2021</v>
      </c>
      <c r="AG695" s="34">
        <v>2021</v>
      </c>
      <c r="AH695" s="35">
        <v>2021</v>
      </c>
      <c r="AT695" s="20" t="e">
        <f t="shared" si="176"/>
        <v>#N/A</v>
      </c>
      <c r="BZ695" s="71"/>
      <c r="CD695" s="20" t="e">
        <f t="shared" si="170"/>
        <v>#N/A</v>
      </c>
    </row>
    <row r="696" spans="1:82" ht="61.5" x14ac:dyDescent="0.85">
      <c r="A696" s="20">
        <v>1</v>
      </c>
      <c r="B696" s="66">
        <f>SUBTOTAL(103,$A$558:A696)</f>
        <v>137</v>
      </c>
      <c r="C696" s="24" t="s">
        <v>418</v>
      </c>
      <c r="D696" s="31">
        <f t="shared" si="177"/>
        <v>2837751.8</v>
      </c>
      <c r="E696" s="31">
        <v>0</v>
      </c>
      <c r="F696" s="31">
        <v>0</v>
      </c>
      <c r="G696" s="31">
        <v>0</v>
      </c>
      <c r="H696" s="31">
        <v>0</v>
      </c>
      <c r="I696" s="31">
        <v>0</v>
      </c>
      <c r="J696" s="31">
        <v>0</v>
      </c>
      <c r="K696" s="33">
        <v>0</v>
      </c>
      <c r="L696" s="31">
        <v>0</v>
      </c>
      <c r="M696" s="31">
        <v>500</v>
      </c>
      <c r="N696" s="31">
        <v>2677587.98</v>
      </c>
      <c r="O696" s="31">
        <v>0</v>
      </c>
      <c r="P696" s="31">
        <v>0</v>
      </c>
      <c r="Q696" s="31">
        <v>0</v>
      </c>
      <c r="R696" s="31">
        <v>0</v>
      </c>
      <c r="S696" s="31">
        <v>0</v>
      </c>
      <c r="T696" s="31">
        <v>0</v>
      </c>
      <c r="U696" s="31">
        <v>0</v>
      </c>
      <c r="V696" s="31">
        <v>0</v>
      </c>
      <c r="W696" s="31">
        <v>0</v>
      </c>
      <c r="X696" s="31">
        <v>0</v>
      </c>
      <c r="Y696" s="31">
        <v>0</v>
      </c>
      <c r="Z696" s="31">
        <v>0</v>
      </c>
      <c r="AA696" s="31">
        <v>0</v>
      </c>
      <c r="AB696" s="31">
        <v>0</v>
      </c>
      <c r="AC696" s="31">
        <f t="shared" si="178"/>
        <v>40163.82</v>
      </c>
      <c r="AD696" s="31">
        <v>120000</v>
      </c>
      <c r="AE696" s="31">
        <v>0</v>
      </c>
      <c r="AF696" s="34">
        <v>2021</v>
      </c>
      <c r="AG696" s="34">
        <v>2021</v>
      </c>
      <c r="AH696" s="35">
        <v>2021</v>
      </c>
      <c r="AT696" s="20" t="e">
        <f t="shared" si="176"/>
        <v>#N/A</v>
      </c>
      <c r="BZ696" s="71"/>
      <c r="CD696" s="20" t="e">
        <f t="shared" si="170"/>
        <v>#N/A</v>
      </c>
    </row>
    <row r="697" spans="1:82" ht="61.5" x14ac:dyDescent="0.85">
      <c r="A697" s="20">
        <v>1</v>
      </c>
      <c r="B697" s="66">
        <f>SUBTOTAL(103,$A$558:A697)</f>
        <v>138</v>
      </c>
      <c r="C697" s="24" t="s">
        <v>419</v>
      </c>
      <c r="D697" s="31">
        <f t="shared" si="177"/>
        <v>2479122.38</v>
      </c>
      <c r="E697" s="31">
        <v>0</v>
      </c>
      <c r="F697" s="31">
        <v>0</v>
      </c>
      <c r="G697" s="31">
        <v>0</v>
      </c>
      <c r="H697" s="31">
        <v>0</v>
      </c>
      <c r="I697" s="31">
        <v>0</v>
      </c>
      <c r="J697" s="31">
        <v>0</v>
      </c>
      <c r="K697" s="33">
        <v>0</v>
      </c>
      <c r="L697" s="31">
        <v>0</v>
      </c>
      <c r="M697" s="31">
        <v>420</v>
      </c>
      <c r="N697" s="31">
        <v>2324258.5</v>
      </c>
      <c r="O697" s="31">
        <v>0</v>
      </c>
      <c r="P697" s="31">
        <v>0</v>
      </c>
      <c r="Q697" s="31">
        <v>0</v>
      </c>
      <c r="R697" s="31">
        <v>0</v>
      </c>
      <c r="S697" s="31">
        <v>0</v>
      </c>
      <c r="T697" s="31">
        <v>0</v>
      </c>
      <c r="U697" s="31">
        <v>0</v>
      </c>
      <c r="V697" s="31">
        <v>0</v>
      </c>
      <c r="W697" s="31">
        <v>0</v>
      </c>
      <c r="X697" s="31">
        <v>0</v>
      </c>
      <c r="Y697" s="31">
        <v>0</v>
      </c>
      <c r="Z697" s="31">
        <v>0</v>
      </c>
      <c r="AA697" s="31">
        <v>0</v>
      </c>
      <c r="AB697" s="31">
        <v>0</v>
      </c>
      <c r="AC697" s="31">
        <f t="shared" si="178"/>
        <v>34863.879999999997</v>
      </c>
      <c r="AD697" s="31">
        <v>120000</v>
      </c>
      <c r="AE697" s="31">
        <v>0</v>
      </c>
      <c r="AF697" s="34">
        <v>2021</v>
      </c>
      <c r="AG697" s="34">
        <v>2021</v>
      </c>
      <c r="AH697" s="35">
        <v>2021</v>
      </c>
      <c r="AT697" s="20" t="e">
        <f t="shared" si="176"/>
        <v>#N/A</v>
      </c>
      <c r="BZ697" s="71"/>
      <c r="CD697" s="20" t="e">
        <f t="shared" si="170"/>
        <v>#N/A</v>
      </c>
    </row>
    <row r="698" spans="1:82" ht="61.5" x14ac:dyDescent="0.85">
      <c r="A698" s="20">
        <v>1</v>
      </c>
      <c r="B698" s="66">
        <f>SUBTOTAL(103,$A$558:A698)</f>
        <v>139</v>
      </c>
      <c r="C698" s="24" t="s">
        <v>202</v>
      </c>
      <c r="D698" s="31">
        <f t="shared" si="177"/>
        <v>3697950</v>
      </c>
      <c r="E698" s="31">
        <v>0</v>
      </c>
      <c r="F698" s="31">
        <v>0</v>
      </c>
      <c r="G698" s="31">
        <v>0</v>
      </c>
      <c r="H698" s="31">
        <v>0</v>
      </c>
      <c r="I698" s="31">
        <v>0</v>
      </c>
      <c r="J698" s="31">
        <v>0</v>
      </c>
      <c r="K698" s="33">
        <v>0</v>
      </c>
      <c r="L698" s="31">
        <v>0</v>
      </c>
      <c r="M698" s="31">
        <v>0</v>
      </c>
      <c r="N698" s="31">
        <v>0</v>
      </c>
      <c r="O698" s="31">
        <v>0</v>
      </c>
      <c r="P698" s="31">
        <v>0</v>
      </c>
      <c r="Q698" s="31">
        <v>0</v>
      </c>
      <c r="R698" s="31">
        <v>0</v>
      </c>
      <c r="S698" s="31">
        <v>0</v>
      </c>
      <c r="T698" s="31">
        <v>0</v>
      </c>
      <c r="U698" s="31">
        <v>3495517.24</v>
      </c>
      <c r="V698" s="31">
        <v>0</v>
      </c>
      <c r="W698" s="31">
        <v>0</v>
      </c>
      <c r="X698" s="31">
        <v>0</v>
      </c>
      <c r="Y698" s="31">
        <v>0</v>
      </c>
      <c r="Z698" s="31">
        <v>0</v>
      </c>
      <c r="AA698" s="31">
        <v>0</v>
      </c>
      <c r="AB698" s="31">
        <v>0</v>
      </c>
      <c r="AC698" s="31">
        <f>ROUND(U698*1.5%,2)</f>
        <v>52432.76</v>
      </c>
      <c r="AD698" s="31">
        <v>150000</v>
      </c>
      <c r="AE698" s="31">
        <v>0</v>
      </c>
      <c r="AF698" s="34">
        <v>2021</v>
      </c>
      <c r="AG698" s="34">
        <v>2021</v>
      </c>
      <c r="AH698" s="35">
        <v>2021</v>
      </c>
      <c r="AT698" s="20" t="e">
        <f t="shared" si="176"/>
        <v>#N/A</v>
      </c>
      <c r="BZ698" s="71"/>
      <c r="CD698" s="20" t="e">
        <f t="shared" si="170"/>
        <v>#N/A</v>
      </c>
    </row>
    <row r="699" spans="1:82" ht="61.5" x14ac:dyDescent="0.85">
      <c r="A699" s="20">
        <v>1</v>
      </c>
      <c r="B699" s="66">
        <f>SUBTOTAL(103,$A$558:A699)</f>
        <v>140</v>
      </c>
      <c r="C699" s="24" t="s">
        <v>204</v>
      </c>
      <c r="D699" s="31">
        <f t="shared" si="177"/>
        <v>3680000</v>
      </c>
      <c r="E699" s="31">
        <v>0</v>
      </c>
      <c r="F699" s="31">
        <v>0</v>
      </c>
      <c r="G699" s="31">
        <v>0</v>
      </c>
      <c r="H699" s="31">
        <v>0</v>
      </c>
      <c r="I699" s="31">
        <v>0</v>
      </c>
      <c r="J699" s="31">
        <v>0</v>
      </c>
      <c r="K699" s="33">
        <v>0</v>
      </c>
      <c r="L699" s="31">
        <v>0</v>
      </c>
      <c r="M699" s="31">
        <v>0</v>
      </c>
      <c r="N699" s="31">
        <v>0</v>
      </c>
      <c r="O699" s="31">
        <v>0</v>
      </c>
      <c r="P699" s="31">
        <v>0</v>
      </c>
      <c r="Q699" s="31">
        <v>0</v>
      </c>
      <c r="R699" s="31">
        <v>0</v>
      </c>
      <c r="S699" s="31">
        <v>0</v>
      </c>
      <c r="T699" s="31">
        <v>0</v>
      </c>
      <c r="U699" s="31">
        <v>3477832.51</v>
      </c>
      <c r="V699" s="31">
        <v>0</v>
      </c>
      <c r="W699" s="31">
        <v>0</v>
      </c>
      <c r="X699" s="31">
        <v>0</v>
      </c>
      <c r="Y699" s="31">
        <v>0</v>
      </c>
      <c r="Z699" s="31">
        <v>0</v>
      </c>
      <c r="AA699" s="31">
        <v>0</v>
      </c>
      <c r="AB699" s="31">
        <v>0</v>
      </c>
      <c r="AC699" s="31">
        <f>ROUND(U699*1.5%,2)</f>
        <v>52167.49</v>
      </c>
      <c r="AD699" s="31">
        <v>150000</v>
      </c>
      <c r="AE699" s="31">
        <v>0</v>
      </c>
      <c r="AF699" s="34">
        <v>2021</v>
      </c>
      <c r="AG699" s="34">
        <v>2021</v>
      </c>
      <c r="AH699" s="35">
        <v>2021</v>
      </c>
      <c r="AT699" s="20" t="e">
        <f t="shared" si="176"/>
        <v>#N/A</v>
      </c>
      <c r="BZ699" s="71"/>
      <c r="CD699" s="20" t="e">
        <f t="shared" si="170"/>
        <v>#N/A</v>
      </c>
    </row>
    <row r="700" spans="1:82" ht="61.5" x14ac:dyDescent="0.85">
      <c r="A700" s="20">
        <v>1</v>
      </c>
      <c r="B700" s="66">
        <f>SUBTOTAL(103,$A$558:A700)</f>
        <v>141</v>
      </c>
      <c r="C700" s="24" t="s">
        <v>203</v>
      </c>
      <c r="D700" s="31">
        <f t="shared" si="177"/>
        <v>3519757</v>
      </c>
      <c r="E700" s="31">
        <v>0</v>
      </c>
      <c r="F700" s="31">
        <v>0</v>
      </c>
      <c r="G700" s="31">
        <v>0</v>
      </c>
      <c r="H700" s="31">
        <v>0</v>
      </c>
      <c r="I700" s="31">
        <v>0</v>
      </c>
      <c r="J700" s="31">
        <v>0</v>
      </c>
      <c r="K700" s="33">
        <v>0</v>
      </c>
      <c r="L700" s="31">
        <v>0</v>
      </c>
      <c r="M700" s="31">
        <v>0</v>
      </c>
      <c r="N700" s="31">
        <v>0</v>
      </c>
      <c r="O700" s="31">
        <v>0</v>
      </c>
      <c r="P700" s="31">
        <v>0</v>
      </c>
      <c r="Q700" s="31">
        <v>0</v>
      </c>
      <c r="R700" s="31">
        <v>0</v>
      </c>
      <c r="S700" s="31">
        <v>0</v>
      </c>
      <c r="T700" s="31">
        <v>0</v>
      </c>
      <c r="U700" s="31">
        <v>3319957.64</v>
      </c>
      <c r="V700" s="31">
        <v>0</v>
      </c>
      <c r="W700" s="31">
        <v>0</v>
      </c>
      <c r="X700" s="31">
        <v>0</v>
      </c>
      <c r="Y700" s="31">
        <v>0</v>
      </c>
      <c r="Z700" s="31">
        <v>0</v>
      </c>
      <c r="AA700" s="31">
        <v>0</v>
      </c>
      <c r="AB700" s="31">
        <v>0</v>
      </c>
      <c r="AC700" s="31">
        <f>ROUND(U700*1.5%,2)</f>
        <v>49799.360000000001</v>
      </c>
      <c r="AD700" s="31">
        <v>150000</v>
      </c>
      <c r="AE700" s="31">
        <v>0</v>
      </c>
      <c r="AF700" s="34">
        <v>2021</v>
      </c>
      <c r="AG700" s="34">
        <v>2021</v>
      </c>
      <c r="AH700" s="35">
        <v>2021</v>
      </c>
      <c r="AT700" s="20" t="e">
        <f t="shared" si="176"/>
        <v>#N/A</v>
      </c>
      <c r="BZ700" s="71"/>
      <c r="CD700" s="20" t="e">
        <f t="shared" si="170"/>
        <v>#N/A</v>
      </c>
    </row>
    <row r="701" spans="1:82" ht="61.5" x14ac:dyDescent="0.85">
      <c r="A701" s="20">
        <v>1</v>
      </c>
      <c r="B701" s="66">
        <f>SUBTOTAL(103,$A$558:A701)</f>
        <v>142</v>
      </c>
      <c r="C701" s="24" t="s">
        <v>420</v>
      </c>
      <c r="D701" s="31">
        <f t="shared" si="177"/>
        <v>4335791.2699999996</v>
      </c>
      <c r="E701" s="31">
        <v>0</v>
      </c>
      <c r="F701" s="31">
        <v>0</v>
      </c>
      <c r="G701" s="31">
        <v>0</v>
      </c>
      <c r="H701" s="31">
        <v>0</v>
      </c>
      <c r="I701" s="31">
        <v>0</v>
      </c>
      <c r="J701" s="31">
        <v>0</v>
      </c>
      <c r="K701" s="33">
        <v>0</v>
      </c>
      <c r="L701" s="31">
        <v>0</v>
      </c>
      <c r="M701" s="31">
        <v>776</v>
      </c>
      <c r="N701" s="31">
        <v>4123932.29</v>
      </c>
      <c r="O701" s="31">
        <v>0</v>
      </c>
      <c r="P701" s="31">
        <v>0</v>
      </c>
      <c r="Q701" s="31">
        <v>0</v>
      </c>
      <c r="R701" s="31">
        <v>0</v>
      </c>
      <c r="S701" s="31">
        <v>0</v>
      </c>
      <c r="T701" s="31">
        <v>0</v>
      </c>
      <c r="U701" s="31">
        <v>0</v>
      </c>
      <c r="V701" s="31">
        <v>0</v>
      </c>
      <c r="W701" s="31">
        <v>0</v>
      </c>
      <c r="X701" s="31">
        <v>0</v>
      </c>
      <c r="Y701" s="31">
        <v>0</v>
      </c>
      <c r="Z701" s="31">
        <v>0</v>
      </c>
      <c r="AA701" s="31">
        <v>0</v>
      </c>
      <c r="AB701" s="31">
        <v>0</v>
      </c>
      <c r="AC701" s="31">
        <f t="shared" si="178"/>
        <v>61858.98</v>
      </c>
      <c r="AD701" s="31">
        <v>150000</v>
      </c>
      <c r="AE701" s="31">
        <v>0</v>
      </c>
      <c r="AF701" s="34">
        <v>2021</v>
      </c>
      <c r="AG701" s="34">
        <v>2021</v>
      </c>
      <c r="AH701" s="35">
        <v>2021</v>
      </c>
      <c r="AT701" s="20" t="e">
        <f t="shared" si="176"/>
        <v>#N/A</v>
      </c>
      <c r="BZ701" s="71"/>
      <c r="CD701" s="20" t="e">
        <f t="shared" si="170"/>
        <v>#N/A</v>
      </c>
    </row>
    <row r="702" spans="1:82" ht="61.5" x14ac:dyDescent="0.85">
      <c r="A702" s="20">
        <v>1</v>
      </c>
      <c r="B702" s="66">
        <f>SUBTOTAL(103,$A$558:A702)</f>
        <v>143</v>
      </c>
      <c r="C702" s="24" t="s">
        <v>429</v>
      </c>
      <c r="D702" s="31">
        <f t="shared" si="177"/>
        <v>3541530.1000000006</v>
      </c>
      <c r="E702" s="31">
        <v>0</v>
      </c>
      <c r="F702" s="31">
        <v>0</v>
      </c>
      <c r="G702" s="31">
        <v>0</v>
      </c>
      <c r="H702" s="31">
        <v>0</v>
      </c>
      <c r="I702" s="31">
        <v>0</v>
      </c>
      <c r="J702" s="31">
        <v>0</v>
      </c>
      <c r="K702" s="74">
        <v>0</v>
      </c>
      <c r="L702" s="31">
        <v>0</v>
      </c>
      <c r="M702" s="31">
        <v>734</v>
      </c>
      <c r="N702" s="31">
        <f>3341408.97-118226.61</f>
        <v>3223182.3600000003</v>
      </c>
      <c r="O702" s="31">
        <v>0</v>
      </c>
      <c r="P702" s="31">
        <v>0</v>
      </c>
      <c r="Q702" s="31">
        <v>0</v>
      </c>
      <c r="R702" s="31">
        <v>0</v>
      </c>
      <c r="S702" s="31">
        <v>0</v>
      </c>
      <c r="T702" s="31">
        <v>0</v>
      </c>
      <c r="U702" s="31">
        <v>0</v>
      </c>
      <c r="V702" s="31">
        <v>0</v>
      </c>
      <c r="W702" s="31">
        <v>0</v>
      </c>
      <c r="X702" s="31">
        <v>0</v>
      </c>
      <c r="Y702" s="31">
        <v>0</v>
      </c>
      <c r="Z702" s="31">
        <v>0</v>
      </c>
      <c r="AA702" s="31">
        <v>0</v>
      </c>
      <c r="AB702" s="31">
        <v>0</v>
      </c>
      <c r="AC702" s="31">
        <f>ROUND(N702*1.5%,2)</f>
        <v>48347.74</v>
      </c>
      <c r="AD702" s="31">
        <v>150000</v>
      </c>
      <c r="AE702" s="31">
        <v>120000</v>
      </c>
      <c r="AF702" s="34">
        <v>2021</v>
      </c>
      <c r="AG702" s="34">
        <v>2021</v>
      </c>
      <c r="AH702" s="35">
        <v>2021</v>
      </c>
      <c r="AT702" s="20" t="e">
        <f t="shared" si="176"/>
        <v>#N/A</v>
      </c>
      <c r="BZ702" s="71"/>
    </row>
    <row r="703" spans="1:82" ht="61.5" x14ac:dyDescent="0.85">
      <c r="A703" s="20">
        <v>1</v>
      </c>
      <c r="B703" s="66">
        <f>SUBTOTAL(103,$A$558:A703)</f>
        <v>144</v>
      </c>
      <c r="C703" s="24" t="s">
        <v>422</v>
      </c>
      <c r="D703" s="31">
        <f t="shared" si="177"/>
        <v>4900000</v>
      </c>
      <c r="E703" s="31">
        <v>0</v>
      </c>
      <c r="F703" s="31">
        <v>0</v>
      </c>
      <c r="G703" s="31">
        <v>0</v>
      </c>
      <c r="H703" s="31">
        <v>0</v>
      </c>
      <c r="I703" s="31">
        <v>0</v>
      </c>
      <c r="J703" s="31">
        <v>0</v>
      </c>
      <c r="K703" s="33">
        <v>0</v>
      </c>
      <c r="L703" s="31">
        <v>0</v>
      </c>
      <c r="M703" s="31">
        <v>0</v>
      </c>
      <c r="N703" s="31">
        <v>0</v>
      </c>
      <c r="O703" s="31">
        <v>0</v>
      </c>
      <c r="P703" s="31">
        <v>0</v>
      </c>
      <c r="Q703" s="31">
        <v>947</v>
      </c>
      <c r="R703" s="31">
        <v>4699507.3899999997</v>
      </c>
      <c r="S703" s="31">
        <v>0</v>
      </c>
      <c r="T703" s="31">
        <v>0</v>
      </c>
      <c r="U703" s="31">
        <v>0</v>
      </c>
      <c r="V703" s="31">
        <v>0</v>
      </c>
      <c r="W703" s="31">
        <v>0</v>
      </c>
      <c r="X703" s="31">
        <v>0</v>
      </c>
      <c r="Y703" s="31">
        <v>0</v>
      </c>
      <c r="Z703" s="31">
        <v>0</v>
      </c>
      <c r="AA703" s="31">
        <v>0</v>
      </c>
      <c r="AB703" s="31">
        <v>0</v>
      </c>
      <c r="AC703" s="31">
        <f>ROUND(R703*1.5%,2)</f>
        <v>70492.61</v>
      </c>
      <c r="AD703" s="31">
        <v>130000</v>
      </c>
      <c r="AE703" s="31">
        <v>0</v>
      </c>
      <c r="AF703" s="34">
        <v>2021</v>
      </c>
      <c r="AG703" s="34">
        <v>2021</v>
      </c>
      <c r="AH703" s="35">
        <v>2021</v>
      </c>
      <c r="AT703" s="20" t="e">
        <f t="shared" si="176"/>
        <v>#N/A</v>
      </c>
      <c r="BZ703" s="71"/>
      <c r="CD703" s="20" t="e">
        <f t="shared" ref="CD703:CD734" si="179">VLOOKUP(C703,CE:CF,2,FALSE)</f>
        <v>#N/A</v>
      </c>
    </row>
    <row r="704" spans="1:82" ht="61.5" x14ac:dyDescent="0.85">
      <c r="A704" s="20">
        <v>1</v>
      </c>
      <c r="B704" s="66">
        <f>SUBTOTAL(103,$A$558:A704)</f>
        <v>145</v>
      </c>
      <c r="C704" s="24" t="s">
        <v>423</v>
      </c>
      <c r="D704" s="31">
        <f t="shared" si="177"/>
        <v>3393815.22</v>
      </c>
      <c r="E704" s="31">
        <v>0</v>
      </c>
      <c r="F704" s="31">
        <v>0</v>
      </c>
      <c r="G704" s="31">
        <v>0</v>
      </c>
      <c r="H704" s="31">
        <v>0</v>
      </c>
      <c r="I704" s="31">
        <v>0</v>
      </c>
      <c r="J704" s="31">
        <v>0</v>
      </c>
      <c r="K704" s="33">
        <v>0</v>
      </c>
      <c r="L704" s="31">
        <v>0</v>
      </c>
      <c r="M704" s="31">
        <v>600</v>
      </c>
      <c r="N704" s="31">
        <v>3195877.06</v>
      </c>
      <c r="O704" s="31">
        <v>0</v>
      </c>
      <c r="P704" s="31">
        <v>0</v>
      </c>
      <c r="Q704" s="31">
        <v>0</v>
      </c>
      <c r="R704" s="31">
        <v>0</v>
      </c>
      <c r="S704" s="31">
        <v>0</v>
      </c>
      <c r="T704" s="31">
        <v>0</v>
      </c>
      <c r="U704" s="31">
        <v>0</v>
      </c>
      <c r="V704" s="31">
        <v>0</v>
      </c>
      <c r="W704" s="31">
        <v>0</v>
      </c>
      <c r="X704" s="31">
        <v>0</v>
      </c>
      <c r="Y704" s="31">
        <v>0</v>
      </c>
      <c r="Z704" s="31">
        <v>0</v>
      </c>
      <c r="AA704" s="31">
        <v>0</v>
      </c>
      <c r="AB704" s="31">
        <v>0</v>
      </c>
      <c r="AC704" s="31">
        <f t="shared" ref="AC704:AC708" si="180">ROUND(N704*1.5%,2)</f>
        <v>47938.16</v>
      </c>
      <c r="AD704" s="31">
        <v>150000</v>
      </c>
      <c r="AE704" s="31">
        <v>0</v>
      </c>
      <c r="AF704" s="34">
        <v>2021</v>
      </c>
      <c r="AG704" s="34">
        <v>2021</v>
      </c>
      <c r="AH704" s="35">
        <v>2021</v>
      </c>
      <c r="AT704" s="20" t="e">
        <f t="shared" si="176"/>
        <v>#N/A</v>
      </c>
      <c r="BZ704" s="71"/>
      <c r="CD704" s="20" t="e">
        <f t="shared" si="179"/>
        <v>#N/A</v>
      </c>
    </row>
    <row r="705" spans="1:84" ht="61.5" x14ac:dyDescent="0.85">
      <c r="A705" s="20">
        <v>1</v>
      </c>
      <c r="B705" s="66">
        <f>SUBTOTAL(103,$A$558:A705)</f>
        <v>146</v>
      </c>
      <c r="C705" s="24" t="s">
        <v>424</v>
      </c>
      <c r="D705" s="31">
        <f t="shared" si="177"/>
        <v>2624171.2799999998</v>
      </c>
      <c r="E705" s="31">
        <v>0</v>
      </c>
      <c r="F705" s="31">
        <v>0</v>
      </c>
      <c r="G705" s="31">
        <v>0</v>
      </c>
      <c r="H705" s="31">
        <v>0</v>
      </c>
      <c r="I705" s="31">
        <v>0</v>
      </c>
      <c r="J705" s="31">
        <v>0</v>
      </c>
      <c r="K705" s="33">
        <v>0</v>
      </c>
      <c r="L705" s="31">
        <v>0</v>
      </c>
      <c r="M705" s="31">
        <v>486</v>
      </c>
      <c r="N705" s="31">
        <f>2541002.13+44388.29</f>
        <v>2585390.42</v>
      </c>
      <c r="O705" s="31">
        <v>0</v>
      </c>
      <c r="P705" s="31">
        <v>0</v>
      </c>
      <c r="Q705" s="31">
        <v>0</v>
      </c>
      <c r="R705" s="31">
        <v>0</v>
      </c>
      <c r="S705" s="31">
        <v>0</v>
      </c>
      <c r="T705" s="31">
        <v>0</v>
      </c>
      <c r="U705" s="31">
        <v>0</v>
      </c>
      <c r="V705" s="31">
        <v>0</v>
      </c>
      <c r="W705" s="31">
        <v>0</v>
      </c>
      <c r="X705" s="31">
        <v>0</v>
      </c>
      <c r="Y705" s="31">
        <v>0</v>
      </c>
      <c r="Z705" s="31">
        <v>0</v>
      </c>
      <c r="AA705" s="31">
        <v>0</v>
      </c>
      <c r="AB705" s="31">
        <v>0</v>
      </c>
      <c r="AC705" s="31">
        <f t="shared" si="180"/>
        <v>38780.86</v>
      </c>
      <c r="AD705" s="31">
        <v>0</v>
      </c>
      <c r="AE705" s="31">
        <v>0</v>
      </c>
      <c r="AF705" s="34" t="s">
        <v>270</v>
      </c>
      <c r="AG705" s="34">
        <v>2021</v>
      </c>
      <c r="AH705" s="35">
        <v>2021</v>
      </c>
      <c r="AT705" s="20" t="e">
        <f t="shared" si="176"/>
        <v>#N/A</v>
      </c>
      <c r="BZ705" s="71"/>
      <c r="CD705" s="20" t="e">
        <f t="shared" si="179"/>
        <v>#N/A</v>
      </c>
    </row>
    <row r="706" spans="1:84" ht="61.5" x14ac:dyDescent="0.85">
      <c r="A706" s="20">
        <v>1</v>
      </c>
      <c r="B706" s="66">
        <f>SUBTOTAL(103,$A$558:A706)</f>
        <v>147</v>
      </c>
      <c r="C706" s="24" t="s">
        <v>1634</v>
      </c>
      <c r="D706" s="31">
        <f t="shared" si="177"/>
        <v>5101600</v>
      </c>
      <c r="E706" s="31">
        <v>0</v>
      </c>
      <c r="F706" s="31">
        <v>0</v>
      </c>
      <c r="G706" s="31">
        <v>0</v>
      </c>
      <c r="H706" s="31">
        <v>0</v>
      </c>
      <c r="I706" s="31">
        <v>0</v>
      </c>
      <c r="J706" s="31">
        <v>0</v>
      </c>
      <c r="K706" s="33">
        <v>0</v>
      </c>
      <c r="L706" s="31">
        <v>0</v>
      </c>
      <c r="M706" s="31">
        <v>911</v>
      </c>
      <c r="N706" s="31">
        <v>4878423.6500000004</v>
      </c>
      <c r="O706" s="31">
        <v>0</v>
      </c>
      <c r="P706" s="31">
        <v>0</v>
      </c>
      <c r="Q706" s="31">
        <v>0</v>
      </c>
      <c r="R706" s="31">
        <v>0</v>
      </c>
      <c r="S706" s="31">
        <v>0</v>
      </c>
      <c r="T706" s="31">
        <v>0</v>
      </c>
      <c r="U706" s="31">
        <v>0</v>
      </c>
      <c r="V706" s="31">
        <v>0</v>
      </c>
      <c r="W706" s="31">
        <v>0</v>
      </c>
      <c r="X706" s="31">
        <v>0</v>
      </c>
      <c r="Y706" s="31">
        <v>0</v>
      </c>
      <c r="Z706" s="31">
        <v>0</v>
      </c>
      <c r="AA706" s="31">
        <v>0</v>
      </c>
      <c r="AB706" s="31">
        <v>0</v>
      </c>
      <c r="AC706" s="31">
        <f t="shared" si="180"/>
        <v>73176.350000000006</v>
      </c>
      <c r="AD706" s="31">
        <v>150000</v>
      </c>
      <c r="AE706" s="31">
        <v>0</v>
      </c>
      <c r="AF706" s="34">
        <v>2021</v>
      </c>
      <c r="AG706" s="34">
        <v>2021</v>
      </c>
      <c r="AH706" s="35">
        <v>2021</v>
      </c>
      <c r="BZ706" s="71"/>
      <c r="CD706" s="20" t="e">
        <f t="shared" si="179"/>
        <v>#N/A</v>
      </c>
    </row>
    <row r="707" spans="1:84" ht="61.5" x14ac:dyDescent="0.85">
      <c r="A707" s="20">
        <v>1</v>
      </c>
      <c r="B707" s="66">
        <f>SUBTOTAL(103,$A$558:A707)</f>
        <v>148</v>
      </c>
      <c r="C707" s="24" t="s">
        <v>1665</v>
      </c>
      <c r="D707" s="31">
        <f t="shared" si="177"/>
        <v>2638742.77</v>
      </c>
      <c r="E707" s="31">
        <v>0</v>
      </c>
      <c r="F707" s="31">
        <v>0</v>
      </c>
      <c r="G707" s="31">
        <v>0</v>
      </c>
      <c r="H707" s="31">
        <v>0</v>
      </c>
      <c r="I707" s="31">
        <v>0</v>
      </c>
      <c r="J707" s="31">
        <v>0</v>
      </c>
      <c r="K707" s="33">
        <v>0</v>
      </c>
      <c r="L707" s="31">
        <v>0</v>
      </c>
      <c r="M707" s="31">
        <v>480</v>
      </c>
      <c r="N707" s="31">
        <v>2451963.3199999998</v>
      </c>
      <c r="O707" s="31">
        <v>0</v>
      </c>
      <c r="P707" s="31">
        <v>0</v>
      </c>
      <c r="Q707" s="31">
        <v>0</v>
      </c>
      <c r="R707" s="31">
        <v>0</v>
      </c>
      <c r="S707" s="31">
        <v>0</v>
      </c>
      <c r="T707" s="31">
        <v>0</v>
      </c>
      <c r="U707" s="31">
        <v>0</v>
      </c>
      <c r="V707" s="31">
        <v>0</v>
      </c>
      <c r="W707" s="31">
        <v>0</v>
      </c>
      <c r="X707" s="31">
        <v>0</v>
      </c>
      <c r="Y707" s="31">
        <v>0</v>
      </c>
      <c r="Z707" s="31">
        <v>0</v>
      </c>
      <c r="AA707" s="31">
        <v>0</v>
      </c>
      <c r="AB707" s="31">
        <v>0</v>
      </c>
      <c r="AC707" s="31">
        <f t="shared" si="180"/>
        <v>36779.449999999997</v>
      </c>
      <c r="AD707" s="31">
        <v>150000</v>
      </c>
      <c r="AE707" s="31">
        <v>0</v>
      </c>
      <c r="AF707" s="34">
        <v>2021</v>
      </c>
      <c r="AG707" s="34">
        <v>2021</v>
      </c>
      <c r="AH707" s="35">
        <v>2021</v>
      </c>
      <c r="BZ707" s="71"/>
      <c r="CD707" s="20" t="e">
        <f t="shared" si="179"/>
        <v>#N/A</v>
      </c>
    </row>
    <row r="708" spans="1:84" ht="61.5" x14ac:dyDescent="0.85">
      <c r="A708" s="20">
        <v>1</v>
      </c>
      <c r="B708" s="66">
        <f>SUBTOTAL(103,$A$558:A708)</f>
        <v>149</v>
      </c>
      <c r="C708" s="24" t="s">
        <v>1666</v>
      </c>
      <c r="D708" s="31">
        <f t="shared" si="177"/>
        <v>3267279.28</v>
      </c>
      <c r="E708" s="31">
        <v>0</v>
      </c>
      <c r="F708" s="31">
        <v>0</v>
      </c>
      <c r="G708" s="31">
        <v>0</v>
      </c>
      <c r="H708" s="31">
        <v>0</v>
      </c>
      <c r="I708" s="31">
        <v>0</v>
      </c>
      <c r="J708" s="31">
        <v>0</v>
      </c>
      <c r="K708" s="33">
        <v>0</v>
      </c>
      <c r="L708" s="31">
        <v>0</v>
      </c>
      <c r="M708" s="31">
        <v>600</v>
      </c>
      <c r="N708" s="31">
        <v>3100767.76</v>
      </c>
      <c r="O708" s="31">
        <v>0</v>
      </c>
      <c r="P708" s="31">
        <v>0</v>
      </c>
      <c r="Q708" s="31">
        <v>0</v>
      </c>
      <c r="R708" s="31">
        <v>0</v>
      </c>
      <c r="S708" s="31">
        <v>0</v>
      </c>
      <c r="T708" s="31">
        <v>0</v>
      </c>
      <c r="U708" s="31">
        <v>0</v>
      </c>
      <c r="V708" s="31">
        <v>0</v>
      </c>
      <c r="W708" s="31">
        <v>0</v>
      </c>
      <c r="X708" s="31">
        <v>0</v>
      </c>
      <c r="Y708" s="31">
        <v>0</v>
      </c>
      <c r="Z708" s="31">
        <v>0</v>
      </c>
      <c r="AA708" s="31">
        <v>0</v>
      </c>
      <c r="AB708" s="31">
        <v>0</v>
      </c>
      <c r="AC708" s="31">
        <f t="shared" si="180"/>
        <v>46511.519999999997</v>
      </c>
      <c r="AD708" s="31">
        <v>120000</v>
      </c>
      <c r="AE708" s="31">
        <v>0</v>
      </c>
      <c r="AF708" s="34">
        <v>2021</v>
      </c>
      <c r="AG708" s="34">
        <v>2021</v>
      </c>
      <c r="AH708" s="35">
        <v>2021</v>
      </c>
      <c r="BZ708" s="71"/>
      <c r="CD708" s="20" t="e">
        <f t="shared" si="179"/>
        <v>#N/A</v>
      </c>
    </row>
    <row r="709" spans="1:84" ht="61.5" x14ac:dyDescent="0.85">
      <c r="A709" s="20">
        <v>1</v>
      </c>
      <c r="B709" s="66">
        <f>SUBTOTAL(103,$A$558:A709)</f>
        <v>150</v>
      </c>
      <c r="C709" s="24" t="s">
        <v>440</v>
      </c>
      <c r="D709" s="31">
        <f>E709+F709+G709+H709+I709+J709+L709+N709+P709+R709+T709+U709+V709+W709+X709+Y709+Z709+AA709+AB709+AC709+AD709+AE709</f>
        <v>4331631.53</v>
      </c>
      <c r="E709" s="31">
        <v>0</v>
      </c>
      <c r="F709" s="31">
        <v>0</v>
      </c>
      <c r="G709" s="31">
        <v>0</v>
      </c>
      <c r="H709" s="31">
        <v>0</v>
      </c>
      <c r="I709" s="31">
        <v>0</v>
      </c>
      <c r="J709" s="31">
        <v>0</v>
      </c>
      <c r="K709" s="33">
        <v>2</v>
      </c>
      <c r="L709" s="31">
        <v>4331631.53</v>
      </c>
      <c r="M709" s="31">
        <v>0</v>
      </c>
      <c r="N709" s="31">
        <v>0</v>
      </c>
      <c r="O709" s="31">
        <v>0</v>
      </c>
      <c r="P709" s="31">
        <v>0</v>
      </c>
      <c r="Q709" s="31">
        <v>0</v>
      </c>
      <c r="R709" s="31">
        <v>0</v>
      </c>
      <c r="S709" s="31">
        <v>0</v>
      </c>
      <c r="T709" s="31">
        <v>0</v>
      </c>
      <c r="U709" s="31">
        <v>0</v>
      </c>
      <c r="V709" s="31">
        <v>0</v>
      </c>
      <c r="W709" s="31">
        <v>0</v>
      </c>
      <c r="X709" s="31">
        <v>0</v>
      </c>
      <c r="Y709" s="31">
        <v>0</v>
      </c>
      <c r="Z709" s="31">
        <v>0</v>
      </c>
      <c r="AA709" s="31">
        <v>0</v>
      </c>
      <c r="AB709" s="31">
        <v>0</v>
      </c>
      <c r="AC709" s="31">
        <f>ROUND(N709*1.5%,2)</f>
        <v>0</v>
      </c>
      <c r="AD709" s="31">
        <v>0</v>
      </c>
      <c r="AE709" s="31">
        <v>0</v>
      </c>
      <c r="AF709" s="35" t="s">
        <v>270</v>
      </c>
      <c r="AG709" s="34">
        <v>2021</v>
      </c>
      <c r="AH709" s="35" t="s">
        <v>270</v>
      </c>
      <c r="BZ709" s="71"/>
      <c r="CD709" s="20" t="e">
        <f t="shared" si="179"/>
        <v>#N/A</v>
      </c>
    </row>
    <row r="710" spans="1:84" ht="61.5" x14ac:dyDescent="0.85">
      <c r="A710" s="20">
        <v>1</v>
      </c>
      <c r="B710" s="66">
        <f>SUBTOTAL(103,$A$558:A710)</f>
        <v>151</v>
      </c>
      <c r="C710" s="24" t="s">
        <v>1686</v>
      </c>
      <c r="D710" s="31">
        <f>E710+F710+G710+H710+I710+J710+L710+N710+P710+R710+T710+U710+V710+W710+X710+Y710+Z710+AA710+AB710+AC710+AD710+AE710</f>
        <v>3267843.12</v>
      </c>
      <c r="E710" s="31">
        <v>0</v>
      </c>
      <c r="F710" s="31">
        <v>0</v>
      </c>
      <c r="G710" s="31">
        <v>0</v>
      </c>
      <c r="H710" s="31">
        <v>0</v>
      </c>
      <c r="I710" s="31">
        <v>0</v>
      </c>
      <c r="J710" s="31">
        <v>0</v>
      </c>
      <c r="K710" s="33">
        <v>0</v>
      </c>
      <c r="L710" s="31">
        <v>0</v>
      </c>
      <c r="M710" s="31">
        <v>600</v>
      </c>
      <c r="N710" s="31">
        <f>3120000+2620.93-1593.23</f>
        <v>3121027.7</v>
      </c>
      <c r="O710" s="31">
        <v>0</v>
      </c>
      <c r="P710" s="31">
        <v>0</v>
      </c>
      <c r="Q710" s="31">
        <v>0</v>
      </c>
      <c r="R710" s="31">
        <v>0</v>
      </c>
      <c r="S710" s="31">
        <v>0</v>
      </c>
      <c r="T710" s="31">
        <v>0</v>
      </c>
      <c r="U710" s="31">
        <v>0</v>
      </c>
      <c r="V710" s="31">
        <v>0</v>
      </c>
      <c r="W710" s="31">
        <v>0</v>
      </c>
      <c r="X710" s="31">
        <v>0</v>
      </c>
      <c r="Y710" s="31">
        <v>0</v>
      </c>
      <c r="Z710" s="31">
        <v>0</v>
      </c>
      <c r="AA710" s="31">
        <v>0</v>
      </c>
      <c r="AB710" s="31">
        <v>0</v>
      </c>
      <c r="AC710" s="31">
        <f>ROUND(N710*1.5%,2)</f>
        <v>46815.42</v>
      </c>
      <c r="AD710" s="31">
        <v>100000</v>
      </c>
      <c r="AE710" s="31">
        <v>0</v>
      </c>
      <c r="AF710" s="34">
        <v>2021</v>
      </c>
      <c r="AG710" s="34">
        <v>2021</v>
      </c>
      <c r="AH710" s="35">
        <v>2021</v>
      </c>
      <c r="BZ710" s="71"/>
      <c r="CD710" s="20" t="e">
        <f t="shared" si="179"/>
        <v>#N/A</v>
      </c>
    </row>
    <row r="711" spans="1:84" ht="61.5" x14ac:dyDescent="0.85">
      <c r="A711" s="20">
        <v>1</v>
      </c>
      <c r="B711" s="66">
        <f>SUBTOTAL(103,$A$558:A711)</f>
        <v>152</v>
      </c>
      <c r="C711" s="24" t="s">
        <v>1687</v>
      </c>
      <c r="D711" s="31">
        <f>E711+F711+G711+H711+I711+J711+L711+N711+P711+R711+T711+U711+V711+W711+X711+Y711+Z711+AA711+AB711+AC711+AD711+AE711</f>
        <v>2422320</v>
      </c>
      <c r="E711" s="31">
        <v>0</v>
      </c>
      <c r="F711" s="31">
        <v>0</v>
      </c>
      <c r="G711" s="31">
        <v>0</v>
      </c>
      <c r="H711" s="31">
        <v>0</v>
      </c>
      <c r="I711" s="31">
        <v>0</v>
      </c>
      <c r="J711" s="31">
        <v>0</v>
      </c>
      <c r="K711" s="33">
        <v>0</v>
      </c>
      <c r="L711" s="31">
        <v>0</v>
      </c>
      <c r="M711" s="31">
        <v>440</v>
      </c>
      <c r="N711" s="31">
        <f>2288000+26100.87</f>
        <v>2314100.87</v>
      </c>
      <c r="O711" s="31">
        <v>0</v>
      </c>
      <c r="P711" s="31">
        <v>0</v>
      </c>
      <c r="Q711" s="31">
        <v>0</v>
      </c>
      <c r="R711" s="31">
        <v>0</v>
      </c>
      <c r="S711" s="31">
        <v>0</v>
      </c>
      <c r="T711" s="31">
        <v>0</v>
      </c>
      <c r="U711" s="31">
        <v>0</v>
      </c>
      <c r="V711" s="31">
        <v>0</v>
      </c>
      <c r="W711" s="31">
        <v>0</v>
      </c>
      <c r="X711" s="31">
        <v>0</v>
      </c>
      <c r="Y711" s="31">
        <v>0</v>
      </c>
      <c r="Z711" s="31">
        <v>0</v>
      </c>
      <c r="AA711" s="31">
        <v>0</v>
      </c>
      <c r="AB711" s="31">
        <v>0</v>
      </c>
      <c r="AC711" s="31">
        <f>ROUND(N711*1.5%,2)</f>
        <v>34711.51</v>
      </c>
      <c r="AD711" s="31">
        <v>73507.62</v>
      </c>
      <c r="AE711" s="31">
        <v>0</v>
      </c>
      <c r="AF711" s="34">
        <v>2021</v>
      </c>
      <c r="AG711" s="34">
        <v>2021</v>
      </c>
      <c r="AH711" s="35">
        <v>2021</v>
      </c>
      <c r="BZ711" s="71"/>
      <c r="CD711" s="20" t="e">
        <f t="shared" si="179"/>
        <v>#N/A</v>
      </c>
    </row>
    <row r="712" spans="1:84" ht="61.5" x14ac:dyDescent="0.85">
      <c r="A712" s="20">
        <v>1</v>
      </c>
      <c r="B712" s="66">
        <f>SUBTOTAL(103,$A$558:A712)</f>
        <v>153</v>
      </c>
      <c r="C712" s="24" t="s">
        <v>1157</v>
      </c>
      <c r="D712" s="31">
        <f>E712+F712+G712+H712+I712+J712+L712+N712+P712+R712+T712+U712+V712+W712+X712+Y712+Z712+AA712+AB712+AC712+AD712+AE712</f>
        <v>2050106.0299999998</v>
      </c>
      <c r="E712" s="31">
        <v>0</v>
      </c>
      <c r="F712" s="31">
        <v>0</v>
      </c>
      <c r="G712" s="31">
        <v>0</v>
      </c>
      <c r="H712" s="31">
        <v>0</v>
      </c>
      <c r="I712" s="31">
        <v>0</v>
      </c>
      <c r="J712" s="31">
        <v>0</v>
      </c>
      <c r="K712" s="33">
        <v>0</v>
      </c>
      <c r="L712" s="31">
        <v>0</v>
      </c>
      <c r="M712" s="31">
        <v>0</v>
      </c>
      <c r="N712" s="31">
        <v>0</v>
      </c>
      <c r="O712" s="31">
        <v>0</v>
      </c>
      <c r="P712" s="31">
        <v>0</v>
      </c>
      <c r="Q712" s="31">
        <v>1645.95</v>
      </c>
      <c r="R712" s="31">
        <v>2019808.9</v>
      </c>
      <c r="S712" s="31">
        <v>0</v>
      </c>
      <c r="T712" s="31">
        <v>0</v>
      </c>
      <c r="U712" s="31">
        <v>0</v>
      </c>
      <c r="V712" s="31">
        <v>0</v>
      </c>
      <c r="W712" s="31">
        <v>0</v>
      </c>
      <c r="X712" s="31">
        <v>0</v>
      </c>
      <c r="Y712" s="31">
        <v>0</v>
      </c>
      <c r="Z712" s="31">
        <v>0</v>
      </c>
      <c r="AA712" s="31">
        <v>0</v>
      </c>
      <c r="AB712" s="31">
        <v>0</v>
      </c>
      <c r="AC712" s="31">
        <f>ROUND(R712*1.5%,2)</f>
        <v>30297.13</v>
      </c>
      <c r="AD712" s="31">
        <v>0</v>
      </c>
      <c r="AE712" s="31">
        <v>0</v>
      </c>
      <c r="AF712" s="34" t="s">
        <v>270</v>
      </c>
      <c r="AG712" s="34">
        <v>2021</v>
      </c>
      <c r="AH712" s="35">
        <v>2021</v>
      </c>
      <c r="BZ712" s="71"/>
      <c r="CD712" s="20" t="e">
        <f t="shared" si="179"/>
        <v>#N/A</v>
      </c>
      <c r="CE712" s="109" t="s">
        <v>1235</v>
      </c>
      <c r="CF712" s="109">
        <v>542.66</v>
      </c>
    </row>
    <row r="713" spans="1:84" ht="61.5" x14ac:dyDescent="0.85">
      <c r="A713" s="20">
        <v>1</v>
      </c>
      <c r="B713" s="66">
        <f>SUBTOTAL(103,$A$558:A713)</f>
        <v>154</v>
      </c>
      <c r="C713" s="24" t="s">
        <v>1297</v>
      </c>
      <c r="D713" s="31">
        <f t="shared" ref="D713:D714" si="181">E713+F713+G713+H713+I713+J713+L713+N713+P713+R713+T713+U713+V713+W713+X713+Y713+Z713+AA713+AB713+AC713+AD713+AE713</f>
        <v>13280548.279999999</v>
      </c>
      <c r="E713" s="31">
        <v>0</v>
      </c>
      <c r="F713" s="31">
        <v>0</v>
      </c>
      <c r="G713" s="31">
        <v>0</v>
      </c>
      <c r="H713" s="31">
        <v>0</v>
      </c>
      <c r="I713" s="31">
        <v>0</v>
      </c>
      <c r="J713" s="31">
        <v>0</v>
      </c>
      <c r="K713" s="33">
        <v>0</v>
      </c>
      <c r="L713" s="31">
        <v>0</v>
      </c>
      <c r="M713" s="31">
        <v>0</v>
      </c>
      <c r="N713" s="31">
        <v>0</v>
      </c>
      <c r="O713" s="31">
        <v>0</v>
      </c>
      <c r="P713" s="31">
        <v>0</v>
      </c>
      <c r="Q713" s="31">
        <v>2524</v>
      </c>
      <c r="R713" s="31">
        <v>13084284.02</v>
      </c>
      <c r="S713" s="31">
        <v>0</v>
      </c>
      <c r="T713" s="31">
        <v>0</v>
      </c>
      <c r="U713" s="31">
        <v>0</v>
      </c>
      <c r="V713" s="31">
        <v>0</v>
      </c>
      <c r="W713" s="31">
        <v>0</v>
      </c>
      <c r="X713" s="31">
        <v>0</v>
      </c>
      <c r="Y713" s="31">
        <v>0</v>
      </c>
      <c r="Z713" s="31">
        <v>0</v>
      </c>
      <c r="AA713" s="31">
        <v>0</v>
      </c>
      <c r="AB713" s="31">
        <v>0</v>
      </c>
      <c r="AC713" s="31">
        <f>ROUND(R713*1.5%,2)</f>
        <v>196264.26</v>
      </c>
      <c r="AD713" s="39">
        <v>0</v>
      </c>
      <c r="AE713" s="31">
        <v>0</v>
      </c>
      <c r="AF713" s="34" t="s">
        <v>270</v>
      </c>
      <c r="AG713" s="34">
        <v>2021</v>
      </c>
      <c r="AH713" s="35">
        <v>2021</v>
      </c>
      <c r="AI713" s="34">
        <v>2020</v>
      </c>
      <c r="AJ713" s="34">
        <v>2020</v>
      </c>
      <c r="AK713" s="34">
        <v>2020</v>
      </c>
      <c r="AL713" s="34">
        <v>2020</v>
      </c>
      <c r="AM713" s="34">
        <v>2020</v>
      </c>
      <c r="AN713" s="34">
        <v>2020</v>
      </c>
      <c r="AO713" s="34">
        <v>2020</v>
      </c>
      <c r="AP713" s="34">
        <v>2020</v>
      </c>
      <c r="AQ713" s="34">
        <v>2020</v>
      </c>
      <c r="AR713" s="34">
        <v>2020</v>
      </c>
      <c r="AS713" s="34">
        <v>2020</v>
      </c>
      <c r="AT713" s="34">
        <v>2020</v>
      </c>
      <c r="AU713" s="34">
        <v>2020</v>
      </c>
      <c r="AV713" s="34">
        <v>2020</v>
      </c>
      <c r="AW713" s="34">
        <v>2020</v>
      </c>
      <c r="AX713" s="34">
        <v>2020</v>
      </c>
      <c r="AY713" s="34">
        <v>2020</v>
      </c>
      <c r="AZ713" s="34">
        <v>2020</v>
      </c>
      <c r="BA713" s="34">
        <v>2020</v>
      </c>
      <c r="BB713" s="34">
        <v>2020</v>
      </c>
      <c r="BC713" s="34">
        <v>2020</v>
      </c>
      <c r="BD713" s="34">
        <v>2020</v>
      </c>
      <c r="BE713" s="34">
        <v>2020</v>
      </c>
      <c r="BF713" s="34">
        <v>2020</v>
      </c>
      <c r="BG713" s="34">
        <v>2020</v>
      </c>
      <c r="BH713" s="34">
        <v>2020</v>
      </c>
      <c r="BI713" s="34">
        <v>2020</v>
      </c>
      <c r="BJ713" s="34">
        <v>2020</v>
      </c>
      <c r="BK713" s="34">
        <v>2020</v>
      </c>
      <c r="BL713" s="34">
        <v>2020</v>
      </c>
      <c r="BM713" s="34">
        <v>2020</v>
      </c>
      <c r="BN713" s="34">
        <v>2020</v>
      </c>
      <c r="BO713" s="34">
        <v>2020</v>
      </c>
      <c r="BP713" s="34">
        <v>2020</v>
      </c>
      <c r="BQ713" s="34">
        <v>2020</v>
      </c>
      <c r="BR713" s="34">
        <v>2020</v>
      </c>
      <c r="BS713" s="34">
        <v>2020</v>
      </c>
      <c r="BT713" s="34">
        <v>2020</v>
      </c>
      <c r="BU713" s="34">
        <v>2020</v>
      </c>
      <c r="BV713" s="34">
        <v>2020</v>
      </c>
      <c r="BW713" s="34">
        <v>2020</v>
      </c>
      <c r="BZ713" s="71"/>
      <c r="CD713" s="20" t="e">
        <f t="shared" si="179"/>
        <v>#N/A</v>
      </c>
    </row>
    <row r="714" spans="1:84" ht="61.5" x14ac:dyDescent="0.85">
      <c r="A714" s="20">
        <v>1</v>
      </c>
      <c r="B714" s="66">
        <f>SUBTOTAL(103,$A$558:A714)</f>
        <v>155</v>
      </c>
      <c r="C714" s="24" t="s">
        <v>1603</v>
      </c>
      <c r="D714" s="31">
        <f t="shared" si="181"/>
        <v>7003500</v>
      </c>
      <c r="E714" s="31">
        <v>0</v>
      </c>
      <c r="F714" s="31">
        <v>0</v>
      </c>
      <c r="G714" s="31">
        <v>0</v>
      </c>
      <c r="H714" s="31">
        <v>0</v>
      </c>
      <c r="I714" s="31">
        <v>0</v>
      </c>
      <c r="J714" s="31">
        <v>0</v>
      </c>
      <c r="K714" s="33">
        <v>0</v>
      </c>
      <c r="L714" s="31">
        <v>0</v>
      </c>
      <c r="M714" s="31">
        <v>0</v>
      </c>
      <c r="N714" s="31">
        <v>0</v>
      </c>
      <c r="O714" s="31">
        <v>0</v>
      </c>
      <c r="P714" s="31">
        <v>0</v>
      </c>
      <c r="Q714" s="31">
        <v>0</v>
      </c>
      <c r="R714" s="31">
        <v>0</v>
      </c>
      <c r="S714" s="31">
        <v>375</v>
      </c>
      <c r="T714" s="31">
        <f>6900000</f>
        <v>6900000</v>
      </c>
      <c r="U714" s="31">
        <v>0</v>
      </c>
      <c r="V714" s="31">
        <v>0</v>
      </c>
      <c r="W714" s="31">
        <v>0</v>
      </c>
      <c r="X714" s="31">
        <v>0</v>
      </c>
      <c r="Y714" s="31">
        <v>0</v>
      </c>
      <c r="Z714" s="31">
        <v>0</v>
      </c>
      <c r="AA714" s="31">
        <v>0</v>
      </c>
      <c r="AB714" s="31">
        <v>0</v>
      </c>
      <c r="AC714" s="31">
        <f>ROUND((N714+T714)*1.5%,2)</f>
        <v>103500</v>
      </c>
      <c r="AD714" s="39">
        <v>0</v>
      </c>
      <c r="AE714" s="31">
        <v>0</v>
      </c>
      <c r="AF714" s="34" t="s">
        <v>270</v>
      </c>
      <c r="AG714" s="34">
        <v>2021</v>
      </c>
      <c r="AH714" s="35">
        <v>2021</v>
      </c>
      <c r="BZ714" s="71"/>
      <c r="CD714" s="20" t="e">
        <f t="shared" si="179"/>
        <v>#N/A</v>
      </c>
    </row>
    <row r="715" spans="1:84" ht="61.5" x14ac:dyDescent="0.85">
      <c r="A715" s="20">
        <v>1</v>
      </c>
      <c r="B715" s="66">
        <f>SUBTOTAL(103,$A$558:A715)</f>
        <v>156</v>
      </c>
      <c r="C715" s="24" t="s">
        <v>1890</v>
      </c>
      <c r="D715" s="31">
        <f t="shared" ref="D715:D717" si="182">E715+F715+G715+H715+I715+J715+L715+N715+P715+R715+T715+U715+V715+W715+X715+Y715+Z715+AA715+AB715+AC715+AD715+AE715</f>
        <v>3380273.29</v>
      </c>
      <c r="E715" s="31">
        <v>0</v>
      </c>
      <c r="F715" s="31">
        <v>0</v>
      </c>
      <c r="G715" s="31">
        <v>0</v>
      </c>
      <c r="H715" s="31">
        <v>0</v>
      </c>
      <c r="I715" s="31">
        <v>3231796.34</v>
      </c>
      <c r="J715" s="31">
        <v>0</v>
      </c>
      <c r="K715" s="33">
        <v>0</v>
      </c>
      <c r="L715" s="31">
        <v>0</v>
      </c>
      <c r="M715" s="31">
        <v>0</v>
      </c>
      <c r="N715" s="31">
        <v>0</v>
      </c>
      <c r="O715" s="31">
        <v>0</v>
      </c>
      <c r="P715" s="31">
        <v>0</v>
      </c>
      <c r="Q715" s="31">
        <v>0</v>
      </c>
      <c r="R715" s="31">
        <v>0</v>
      </c>
      <c r="S715" s="31">
        <v>0</v>
      </c>
      <c r="T715" s="31">
        <v>0</v>
      </c>
      <c r="U715" s="31">
        <v>0</v>
      </c>
      <c r="V715" s="31">
        <v>0</v>
      </c>
      <c r="W715" s="31">
        <v>0</v>
      </c>
      <c r="X715" s="31">
        <v>0</v>
      </c>
      <c r="Y715" s="31">
        <v>0</v>
      </c>
      <c r="Z715" s="31">
        <v>0</v>
      </c>
      <c r="AA715" s="31">
        <v>0</v>
      </c>
      <c r="AB715" s="31">
        <v>0</v>
      </c>
      <c r="AC715" s="31">
        <f>ROUND((E715+F715+G715+H715+I715+J715)*1.5%,2)</f>
        <v>48476.95</v>
      </c>
      <c r="AD715" s="31">
        <v>100000</v>
      </c>
      <c r="AE715" s="31">
        <v>0</v>
      </c>
      <c r="AF715" s="34">
        <v>2021</v>
      </c>
      <c r="AG715" s="34">
        <v>2021</v>
      </c>
      <c r="AH715" s="35">
        <v>2021</v>
      </c>
      <c r="BZ715" s="71"/>
      <c r="CD715" s="20" t="e">
        <f t="shared" si="179"/>
        <v>#N/A</v>
      </c>
    </row>
    <row r="716" spans="1:84" ht="61.5" x14ac:dyDescent="0.85">
      <c r="A716" s="20">
        <v>1</v>
      </c>
      <c r="B716" s="66">
        <f>SUBTOTAL(103,$A$558:A716)</f>
        <v>157</v>
      </c>
      <c r="C716" s="24" t="s">
        <v>1164</v>
      </c>
      <c r="D716" s="31">
        <f t="shared" si="182"/>
        <v>464475.87</v>
      </c>
      <c r="E716" s="31">
        <v>0</v>
      </c>
      <c r="F716" s="31">
        <v>0</v>
      </c>
      <c r="G716" s="31">
        <v>0</v>
      </c>
      <c r="H716" s="31">
        <v>0</v>
      </c>
      <c r="I716" s="31">
        <v>457611.69</v>
      </c>
      <c r="J716" s="31">
        <v>0</v>
      </c>
      <c r="K716" s="33">
        <v>0</v>
      </c>
      <c r="L716" s="31">
        <v>0</v>
      </c>
      <c r="M716" s="31">
        <v>0</v>
      </c>
      <c r="N716" s="31">
        <v>0</v>
      </c>
      <c r="O716" s="31">
        <v>0</v>
      </c>
      <c r="P716" s="31">
        <v>0</v>
      </c>
      <c r="Q716" s="31">
        <v>0</v>
      </c>
      <c r="R716" s="31">
        <v>0</v>
      </c>
      <c r="S716" s="31">
        <v>0</v>
      </c>
      <c r="T716" s="31">
        <v>0</v>
      </c>
      <c r="U716" s="31">
        <v>0</v>
      </c>
      <c r="V716" s="31">
        <v>0</v>
      </c>
      <c r="W716" s="31">
        <v>0</v>
      </c>
      <c r="X716" s="31">
        <v>0</v>
      </c>
      <c r="Y716" s="31">
        <v>0</v>
      </c>
      <c r="Z716" s="31">
        <v>0</v>
      </c>
      <c r="AA716" s="31">
        <v>0</v>
      </c>
      <c r="AB716" s="31">
        <v>0</v>
      </c>
      <c r="AC716" s="31">
        <f>ROUND((E716+F716+G716+H716+I716+J716)*1.5%,2)</f>
        <v>6864.18</v>
      </c>
      <c r="AD716" s="31">
        <v>0</v>
      </c>
      <c r="AE716" s="31">
        <v>0</v>
      </c>
      <c r="AF716" s="34" t="s">
        <v>270</v>
      </c>
      <c r="AG716" s="34">
        <v>2021</v>
      </c>
      <c r="AH716" s="34">
        <v>2021</v>
      </c>
      <c r="BZ716" s="71"/>
      <c r="CD716" s="20" t="e">
        <f t="shared" si="179"/>
        <v>#N/A</v>
      </c>
      <c r="CE716" s="109" t="s">
        <v>454</v>
      </c>
      <c r="CF716" s="109">
        <v>556.79999999999995</v>
      </c>
    </row>
    <row r="717" spans="1:84" ht="61.5" x14ac:dyDescent="0.85">
      <c r="A717" s="20">
        <v>1</v>
      </c>
      <c r="B717" s="66">
        <f>SUBTOTAL(103,$A$558:A717)</f>
        <v>158</v>
      </c>
      <c r="C717" s="24" t="s">
        <v>1165</v>
      </c>
      <c r="D717" s="31">
        <f t="shared" si="182"/>
        <v>198184.86</v>
      </c>
      <c r="E717" s="31">
        <v>0</v>
      </c>
      <c r="F717" s="31">
        <v>0</v>
      </c>
      <c r="G717" s="31">
        <v>0</v>
      </c>
      <c r="H717" s="31">
        <v>0</v>
      </c>
      <c r="I717" s="31">
        <v>195256.02</v>
      </c>
      <c r="J717" s="31">
        <v>0</v>
      </c>
      <c r="K717" s="33">
        <v>0</v>
      </c>
      <c r="L717" s="31">
        <v>0</v>
      </c>
      <c r="M717" s="31">
        <v>0</v>
      </c>
      <c r="N717" s="31">
        <v>0</v>
      </c>
      <c r="O717" s="31">
        <v>0</v>
      </c>
      <c r="P717" s="31">
        <v>0</v>
      </c>
      <c r="Q717" s="31">
        <v>0</v>
      </c>
      <c r="R717" s="31">
        <v>0</v>
      </c>
      <c r="S717" s="31">
        <v>0</v>
      </c>
      <c r="T717" s="31">
        <v>0</v>
      </c>
      <c r="U717" s="31">
        <v>0</v>
      </c>
      <c r="V717" s="31">
        <v>0</v>
      </c>
      <c r="W717" s="31">
        <v>0</v>
      </c>
      <c r="X717" s="31">
        <v>0</v>
      </c>
      <c r="Y717" s="31">
        <v>0</v>
      </c>
      <c r="Z717" s="31">
        <v>0</v>
      </c>
      <c r="AA717" s="31">
        <v>0</v>
      </c>
      <c r="AB717" s="31">
        <v>0</v>
      </c>
      <c r="AC717" s="31">
        <f>ROUND((E717+F717+G717+H717+I717+J717)*1.5%,2)</f>
        <v>2928.84</v>
      </c>
      <c r="AD717" s="31">
        <v>0</v>
      </c>
      <c r="AE717" s="31">
        <v>0</v>
      </c>
      <c r="AF717" s="34" t="s">
        <v>270</v>
      </c>
      <c r="AG717" s="34">
        <v>2021</v>
      </c>
      <c r="AH717" s="34">
        <v>2021</v>
      </c>
      <c r="BZ717" s="71"/>
      <c r="CD717" s="20" t="e">
        <f t="shared" si="179"/>
        <v>#N/A</v>
      </c>
      <c r="CE717" s="109" t="s">
        <v>680</v>
      </c>
      <c r="CF717" s="109">
        <v>243.96</v>
      </c>
    </row>
    <row r="718" spans="1:84" ht="61.5" x14ac:dyDescent="0.85">
      <c r="B718" s="24" t="s">
        <v>766</v>
      </c>
      <c r="C718" s="24"/>
      <c r="D718" s="195">
        <f t="shared" ref="D718:AE718" si="183">SUM(D719:D736)</f>
        <v>88190296.719999999</v>
      </c>
      <c r="E718" s="31">
        <f t="shared" si="183"/>
        <v>845974.22</v>
      </c>
      <c r="F718" s="31">
        <f t="shared" si="183"/>
        <v>0</v>
      </c>
      <c r="G718" s="31">
        <f t="shared" si="183"/>
        <v>7605779.9500000011</v>
      </c>
      <c r="H718" s="31">
        <f t="shared" si="183"/>
        <v>1536697.15</v>
      </c>
      <c r="I718" s="31">
        <f t="shared" si="183"/>
        <v>3646652.83</v>
      </c>
      <c r="J718" s="31">
        <f t="shared" si="183"/>
        <v>0</v>
      </c>
      <c r="K718" s="33">
        <f t="shared" si="183"/>
        <v>8</v>
      </c>
      <c r="L718" s="31">
        <f t="shared" si="183"/>
        <v>15847834.77</v>
      </c>
      <c r="M718" s="31">
        <f t="shared" si="183"/>
        <v>9427.9600000000009</v>
      </c>
      <c r="N718" s="31">
        <f t="shared" si="183"/>
        <v>44677848.160000004</v>
      </c>
      <c r="O718" s="31">
        <f t="shared" si="183"/>
        <v>0</v>
      </c>
      <c r="P718" s="31">
        <f t="shared" si="183"/>
        <v>0</v>
      </c>
      <c r="Q718" s="31">
        <f t="shared" si="183"/>
        <v>3460.1</v>
      </c>
      <c r="R718" s="31">
        <f t="shared" si="183"/>
        <v>11567065.35</v>
      </c>
      <c r="S718" s="31">
        <f t="shared" si="183"/>
        <v>0</v>
      </c>
      <c r="T718" s="31">
        <f t="shared" si="183"/>
        <v>0</v>
      </c>
      <c r="U718" s="31">
        <f t="shared" si="183"/>
        <v>0</v>
      </c>
      <c r="V718" s="31">
        <f t="shared" si="183"/>
        <v>210000</v>
      </c>
      <c r="W718" s="31">
        <f t="shared" si="183"/>
        <v>0</v>
      </c>
      <c r="X718" s="31">
        <f t="shared" si="183"/>
        <v>0</v>
      </c>
      <c r="Y718" s="31">
        <f t="shared" si="183"/>
        <v>0</v>
      </c>
      <c r="Z718" s="31">
        <f t="shared" si="183"/>
        <v>0</v>
      </c>
      <c r="AA718" s="31">
        <f t="shared" si="183"/>
        <v>0</v>
      </c>
      <c r="AB718" s="31">
        <f t="shared" si="183"/>
        <v>0</v>
      </c>
      <c r="AC718" s="31">
        <f t="shared" si="183"/>
        <v>1002444.29</v>
      </c>
      <c r="AD718" s="31">
        <f t="shared" si="183"/>
        <v>770000</v>
      </c>
      <c r="AE718" s="31">
        <f t="shared" si="183"/>
        <v>480000</v>
      </c>
      <c r="AF718" s="72" t="s">
        <v>757</v>
      </c>
      <c r="AG718" s="72" t="s">
        <v>757</v>
      </c>
      <c r="AH718" s="87" t="s">
        <v>757</v>
      </c>
      <c r="AT718" s="20" t="e">
        <f>VLOOKUP(C718,AW:AX,2,FALSE)</f>
        <v>#N/A</v>
      </c>
      <c r="BZ718" s="71">
        <v>43029746.93</v>
      </c>
      <c r="CD718" s="20" t="e">
        <f t="shared" si="179"/>
        <v>#N/A</v>
      </c>
    </row>
    <row r="719" spans="1:84" ht="61.5" x14ac:dyDescent="0.85">
      <c r="A719" s="20">
        <v>1</v>
      </c>
      <c r="B719" s="66">
        <f>SUBTOTAL(103,$A$558:A719)</f>
        <v>159</v>
      </c>
      <c r="C719" s="24" t="s">
        <v>779</v>
      </c>
      <c r="D719" s="31">
        <f t="shared" ref="D719:D724" si="184">E719+F719+G719+H719+I719+J719+L719+N719+P719+R719+T719+U719+V719+W719+X719+Y719+Z719+AA719+AB719+AC719+AD719+AE719</f>
        <v>3593042</v>
      </c>
      <c r="E719" s="31">
        <v>0</v>
      </c>
      <c r="F719" s="31">
        <v>0</v>
      </c>
      <c r="G719" s="31">
        <v>0</v>
      </c>
      <c r="H719" s="31">
        <v>0</v>
      </c>
      <c r="I719" s="31">
        <v>0</v>
      </c>
      <c r="J719" s="31">
        <v>0</v>
      </c>
      <c r="K719" s="33">
        <v>0</v>
      </c>
      <c r="L719" s="31">
        <v>0</v>
      </c>
      <c r="M719" s="31">
        <v>690</v>
      </c>
      <c r="N719" s="31">
        <v>3431568.47</v>
      </c>
      <c r="O719" s="31">
        <v>0</v>
      </c>
      <c r="P719" s="31">
        <v>0</v>
      </c>
      <c r="Q719" s="31">
        <v>0</v>
      </c>
      <c r="R719" s="31">
        <v>0</v>
      </c>
      <c r="S719" s="31">
        <v>0</v>
      </c>
      <c r="T719" s="31">
        <v>0</v>
      </c>
      <c r="U719" s="31">
        <v>0</v>
      </c>
      <c r="V719" s="31">
        <v>0</v>
      </c>
      <c r="W719" s="31">
        <v>0</v>
      </c>
      <c r="X719" s="31">
        <v>0</v>
      </c>
      <c r="Y719" s="31">
        <v>0</v>
      </c>
      <c r="Z719" s="31">
        <v>0</v>
      </c>
      <c r="AA719" s="31">
        <v>0</v>
      </c>
      <c r="AB719" s="31">
        <v>0</v>
      </c>
      <c r="AC719" s="31">
        <f>ROUND(N719*1.5%,2)</f>
        <v>51473.53</v>
      </c>
      <c r="AD719" s="31">
        <v>110000</v>
      </c>
      <c r="AE719" s="31">
        <v>0</v>
      </c>
      <c r="AF719" s="34">
        <v>2021</v>
      </c>
      <c r="AG719" s="34">
        <v>2021</v>
      </c>
      <c r="AH719" s="35">
        <v>2021</v>
      </c>
      <c r="AT719" s="20" t="e">
        <f>VLOOKUP(C719,AW:AX,2,FALSE)</f>
        <v>#N/A</v>
      </c>
      <c r="BZ719" s="71"/>
      <c r="CD719" s="20" t="e">
        <f t="shared" si="179"/>
        <v>#N/A</v>
      </c>
    </row>
    <row r="720" spans="1:84" ht="61.5" x14ac:dyDescent="0.85">
      <c r="A720" s="20">
        <v>1</v>
      </c>
      <c r="B720" s="66">
        <f>SUBTOTAL(103,$A$558:A720)</f>
        <v>160</v>
      </c>
      <c r="C720" s="24" t="s">
        <v>781</v>
      </c>
      <c r="D720" s="31">
        <f t="shared" si="184"/>
        <v>8449445.7300000004</v>
      </c>
      <c r="E720" s="31">
        <v>0</v>
      </c>
      <c r="F720" s="31">
        <v>0</v>
      </c>
      <c r="G720" s="31">
        <v>0</v>
      </c>
      <c r="H720" s="31">
        <v>0</v>
      </c>
      <c r="I720" s="31">
        <v>0</v>
      </c>
      <c r="J720" s="31">
        <v>0</v>
      </c>
      <c r="K720" s="33">
        <v>4</v>
      </c>
      <c r="L720" s="31">
        <f>8442796.06+6649.67</f>
        <v>8449445.7300000004</v>
      </c>
      <c r="M720" s="31">
        <v>0</v>
      </c>
      <c r="N720" s="31">
        <v>0</v>
      </c>
      <c r="O720" s="31">
        <v>0</v>
      </c>
      <c r="P720" s="31">
        <v>0</v>
      </c>
      <c r="Q720" s="31">
        <v>0</v>
      </c>
      <c r="R720" s="31">
        <v>0</v>
      </c>
      <c r="S720" s="31">
        <v>0</v>
      </c>
      <c r="T720" s="31">
        <v>0</v>
      </c>
      <c r="U720" s="31">
        <v>0</v>
      </c>
      <c r="V720" s="31">
        <v>0</v>
      </c>
      <c r="W720" s="31">
        <v>0</v>
      </c>
      <c r="X720" s="31">
        <v>0</v>
      </c>
      <c r="Y720" s="31">
        <v>0</v>
      </c>
      <c r="Z720" s="31">
        <v>0</v>
      </c>
      <c r="AA720" s="31">
        <v>0</v>
      </c>
      <c r="AB720" s="31">
        <v>0</v>
      </c>
      <c r="AC720" s="31">
        <v>0</v>
      </c>
      <c r="AD720" s="123">
        <v>0</v>
      </c>
      <c r="AE720" s="31">
        <v>0</v>
      </c>
      <c r="AF720" s="35" t="s">
        <v>270</v>
      </c>
      <c r="AG720" s="34">
        <v>2021</v>
      </c>
      <c r="AH720" s="35" t="s">
        <v>270</v>
      </c>
      <c r="AT720" s="20" t="e">
        <f>VLOOKUP(C720,AW:AX,2,FALSE)</f>
        <v>#N/A</v>
      </c>
      <c r="BZ720" s="71"/>
      <c r="CD720" s="20" t="e">
        <f t="shared" si="179"/>
        <v>#N/A</v>
      </c>
    </row>
    <row r="721" spans="1:82" ht="61.5" x14ac:dyDescent="0.85">
      <c r="A721" s="20">
        <v>1</v>
      </c>
      <c r="B721" s="66">
        <f>SUBTOTAL(103,$A$558:A721)</f>
        <v>161</v>
      </c>
      <c r="C721" s="24" t="s">
        <v>1081</v>
      </c>
      <c r="D721" s="31">
        <f t="shared" si="184"/>
        <v>2932000</v>
      </c>
      <c r="E721" s="31">
        <v>0</v>
      </c>
      <c r="F721" s="31">
        <v>0</v>
      </c>
      <c r="G721" s="31">
        <v>0</v>
      </c>
      <c r="H721" s="31">
        <v>0</v>
      </c>
      <c r="I721" s="31">
        <v>0</v>
      </c>
      <c r="J721" s="31">
        <v>0</v>
      </c>
      <c r="K721" s="33">
        <v>0</v>
      </c>
      <c r="L721" s="31">
        <v>0</v>
      </c>
      <c r="M721" s="31">
        <v>590</v>
      </c>
      <c r="N721" s="31">
        <v>2790147.78</v>
      </c>
      <c r="O721" s="31">
        <v>0</v>
      </c>
      <c r="P721" s="31">
        <v>0</v>
      </c>
      <c r="Q721" s="31">
        <v>0</v>
      </c>
      <c r="R721" s="31">
        <v>0</v>
      </c>
      <c r="S721" s="31">
        <v>0</v>
      </c>
      <c r="T721" s="31">
        <v>0</v>
      </c>
      <c r="U721" s="31">
        <v>0</v>
      </c>
      <c r="V721" s="31">
        <v>0</v>
      </c>
      <c r="W721" s="31">
        <v>0</v>
      </c>
      <c r="X721" s="31">
        <v>0</v>
      </c>
      <c r="Y721" s="31">
        <v>0</v>
      </c>
      <c r="Z721" s="31">
        <v>0</v>
      </c>
      <c r="AA721" s="31">
        <v>0</v>
      </c>
      <c r="AB721" s="31">
        <v>0</v>
      </c>
      <c r="AC721" s="31">
        <f>ROUND(N721*1.5%,2)</f>
        <v>41852.22</v>
      </c>
      <c r="AD721" s="31">
        <v>100000</v>
      </c>
      <c r="AE721" s="31">
        <v>0</v>
      </c>
      <c r="AF721" s="34">
        <v>2021</v>
      </c>
      <c r="AG721" s="34">
        <v>2021</v>
      </c>
      <c r="AH721" s="35">
        <v>2021</v>
      </c>
      <c r="AT721" s="20" t="e">
        <f>VLOOKUP(C721,AW:AX,2,FALSE)</f>
        <v>#N/A</v>
      </c>
      <c r="BZ721" s="71"/>
      <c r="CD721" s="20" t="e">
        <f t="shared" si="179"/>
        <v>#N/A</v>
      </c>
    </row>
    <row r="722" spans="1:82" ht="61.5" x14ac:dyDescent="0.85">
      <c r="A722" s="20">
        <v>1</v>
      </c>
      <c r="B722" s="66">
        <f>SUBTOTAL(103,$A$558:A722)</f>
        <v>162</v>
      </c>
      <c r="C722" s="24" t="s">
        <v>784</v>
      </c>
      <c r="D722" s="31">
        <f t="shared" si="184"/>
        <v>5501631.04</v>
      </c>
      <c r="E722" s="31">
        <v>0</v>
      </c>
      <c r="F722" s="31">
        <v>0</v>
      </c>
      <c r="G722" s="31">
        <v>0</v>
      </c>
      <c r="H722" s="31">
        <v>0</v>
      </c>
      <c r="I722" s="31">
        <v>0</v>
      </c>
      <c r="J722" s="31">
        <v>0</v>
      </c>
      <c r="K722" s="33">
        <v>0</v>
      </c>
      <c r="L722" s="31">
        <v>0</v>
      </c>
      <c r="M722" s="31">
        <v>1154</v>
      </c>
      <c r="N722" s="31">
        <f>5798972.61-516577.5</f>
        <v>5282395.1100000003</v>
      </c>
      <c r="O722" s="31">
        <v>0</v>
      </c>
      <c r="P722" s="31">
        <v>0</v>
      </c>
      <c r="Q722" s="31">
        <v>0</v>
      </c>
      <c r="R722" s="31">
        <v>0</v>
      </c>
      <c r="S722" s="31">
        <v>0</v>
      </c>
      <c r="T722" s="31">
        <v>0</v>
      </c>
      <c r="U722" s="31">
        <v>0</v>
      </c>
      <c r="V722" s="31">
        <v>0</v>
      </c>
      <c r="W722" s="31">
        <v>0</v>
      </c>
      <c r="X722" s="31">
        <v>0</v>
      </c>
      <c r="Y722" s="31">
        <v>0</v>
      </c>
      <c r="Z722" s="31">
        <v>0</v>
      </c>
      <c r="AA722" s="31">
        <v>0</v>
      </c>
      <c r="AB722" s="31">
        <v>0</v>
      </c>
      <c r="AC722" s="31">
        <f>ROUND(N722*1.5%,2)</f>
        <v>79235.929999999993</v>
      </c>
      <c r="AD722" s="31">
        <v>140000</v>
      </c>
      <c r="AE722" s="31">
        <v>0</v>
      </c>
      <c r="AF722" s="34">
        <v>2021</v>
      </c>
      <c r="AG722" s="34">
        <v>2021</v>
      </c>
      <c r="AH722" s="35">
        <v>2021</v>
      </c>
      <c r="AT722" s="20" t="e">
        <f>VLOOKUP(C722,AW:AX,2,FALSE)</f>
        <v>#N/A</v>
      </c>
      <c r="BZ722" s="71"/>
      <c r="CD722" s="20" t="e">
        <f t="shared" si="179"/>
        <v>#N/A</v>
      </c>
    </row>
    <row r="723" spans="1:82" ht="61.5" x14ac:dyDescent="0.85">
      <c r="A723" s="20">
        <v>1</v>
      </c>
      <c r="B723" s="66">
        <f>SUBTOTAL(103,$A$558:A723)</f>
        <v>163</v>
      </c>
      <c r="C723" s="24" t="s">
        <v>1613</v>
      </c>
      <c r="D723" s="31">
        <f t="shared" si="184"/>
        <v>3890000</v>
      </c>
      <c r="E723" s="31">
        <v>0</v>
      </c>
      <c r="F723" s="31">
        <v>0</v>
      </c>
      <c r="G723" s="31">
        <v>0</v>
      </c>
      <c r="H723" s="31">
        <v>0</v>
      </c>
      <c r="I723" s="31">
        <v>0</v>
      </c>
      <c r="J723" s="31">
        <v>0</v>
      </c>
      <c r="K723" s="33">
        <v>0</v>
      </c>
      <c r="L723" s="31">
        <v>0</v>
      </c>
      <c r="M723" s="31">
        <v>778</v>
      </c>
      <c r="N723" s="31">
        <v>3714285.71</v>
      </c>
      <c r="O723" s="31">
        <v>0</v>
      </c>
      <c r="P723" s="31">
        <v>0</v>
      </c>
      <c r="Q723" s="31">
        <v>0</v>
      </c>
      <c r="R723" s="31">
        <v>0</v>
      </c>
      <c r="S723" s="31">
        <v>0</v>
      </c>
      <c r="T723" s="31">
        <v>0</v>
      </c>
      <c r="U723" s="31">
        <v>0</v>
      </c>
      <c r="V723" s="31">
        <v>0</v>
      </c>
      <c r="W723" s="31">
        <v>0</v>
      </c>
      <c r="X723" s="31">
        <v>0</v>
      </c>
      <c r="Y723" s="31">
        <v>0</v>
      </c>
      <c r="Z723" s="31">
        <v>0</v>
      </c>
      <c r="AA723" s="31">
        <v>0</v>
      </c>
      <c r="AB723" s="31">
        <v>0</v>
      </c>
      <c r="AC723" s="31">
        <f>ROUND(N723*1.5%,2)</f>
        <v>55714.29</v>
      </c>
      <c r="AD723" s="31">
        <v>120000</v>
      </c>
      <c r="AE723" s="31">
        <v>0</v>
      </c>
      <c r="AF723" s="34">
        <v>2021</v>
      </c>
      <c r="AG723" s="34">
        <v>2021</v>
      </c>
      <c r="AH723" s="35">
        <v>2021</v>
      </c>
      <c r="BZ723" s="71"/>
      <c r="CD723" s="20" t="e">
        <f t="shared" si="179"/>
        <v>#N/A</v>
      </c>
    </row>
    <row r="724" spans="1:82" ht="61.5" x14ac:dyDescent="0.85">
      <c r="A724" s="20">
        <v>1</v>
      </c>
      <c r="B724" s="66">
        <f>SUBTOTAL(103,$A$558:A724)</f>
        <v>164</v>
      </c>
      <c r="C724" s="24" t="s">
        <v>1173</v>
      </c>
      <c r="D724" s="31">
        <f t="shared" si="184"/>
        <v>7293621.0100000007</v>
      </c>
      <c r="E724" s="31">
        <v>0</v>
      </c>
      <c r="F724" s="31">
        <v>0</v>
      </c>
      <c r="G724" s="31">
        <v>0</v>
      </c>
      <c r="H724" s="31">
        <v>0</v>
      </c>
      <c r="I724" s="31">
        <v>0</v>
      </c>
      <c r="J724" s="31">
        <v>0</v>
      </c>
      <c r="K724" s="33">
        <v>0</v>
      </c>
      <c r="L724" s="31">
        <v>0</v>
      </c>
      <c r="M724" s="31">
        <v>627</v>
      </c>
      <c r="N724" s="31">
        <f>M724*5200</f>
        <v>3260400</v>
      </c>
      <c r="O724" s="31">
        <v>0</v>
      </c>
      <c r="P724" s="31">
        <v>0</v>
      </c>
      <c r="Q724" s="31">
        <v>2058.1</v>
      </c>
      <c r="R724" s="31">
        <v>3737163.56</v>
      </c>
      <c r="S724" s="31">
        <v>0</v>
      </c>
      <c r="T724" s="31">
        <v>0</v>
      </c>
      <c r="U724" s="31">
        <v>0</v>
      </c>
      <c r="V724" s="31">
        <v>0</v>
      </c>
      <c r="W724" s="31">
        <v>0</v>
      </c>
      <c r="X724" s="31">
        <v>0</v>
      </c>
      <c r="Y724" s="31">
        <v>0</v>
      </c>
      <c r="Z724" s="31">
        <v>0</v>
      </c>
      <c r="AA724" s="31">
        <v>0</v>
      </c>
      <c r="AB724" s="31">
        <v>0</v>
      </c>
      <c r="AC724" s="31">
        <f>ROUND(R724*1.5%,2)</f>
        <v>56057.45</v>
      </c>
      <c r="AD724" s="31">
        <v>0</v>
      </c>
      <c r="AE724" s="31">
        <v>240000</v>
      </c>
      <c r="AF724" s="34" t="s">
        <v>270</v>
      </c>
      <c r="AG724" s="34">
        <v>2021</v>
      </c>
      <c r="AH724" s="35">
        <v>2021</v>
      </c>
      <c r="BZ724" s="71"/>
      <c r="CD724" s="20" t="e">
        <f t="shared" si="179"/>
        <v>#N/A</v>
      </c>
    </row>
    <row r="725" spans="1:82" ht="61.5" x14ac:dyDescent="0.85">
      <c r="A725" s="20">
        <v>1</v>
      </c>
      <c r="B725" s="66">
        <f>SUBTOTAL(103,$A$558:A725)</f>
        <v>165</v>
      </c>
      <c r="C725" s="24" t="s">
        <v>776</v>
      </c>
      <c r="D725" s="31">
        <f t="shared" ref="D725:D736" si="185">E725+F725+G725+H725+I725+J725+L725+N725+P725+R725+T725+U725+V725+W725+X725+Y725+Z725+AA725+AB725+AC725+AD725+AE725</f>
        <v>7930053</v>
      </c>
      <c r="E725" s="31">
        <v>0</v>
      </c>
      <c r="F725" s="31">
        <v>0</v>
      </c>
      <c r="G725" s="31">
        <v>0</v>
      </c>
      <c r="H725" s="31">
        <v>0</v>
      </c>
      <c r="I725" s="31">
        <v>0</v>
      </c>
      <c r="J725" s="31">
        <v>0</v>
      </c>
      <c r="K725" s="33">
        <v>0</v>
      </c>
      <c r="L725" s="31">
        <v>0</v>
      </c>
      <c r="M725" s="31">
        <v>1319.27</v>
      </c>
      <c r="N725" s="31">
        <v>7812860.0999999996</v>
      </c>
      <c r="O725" s="31">
        <v>0</v>
      </c>
      <c r="P725" s="31">
        <v>0</v>
      </c>
      <c r="Q725" s="31">
        <v>0</v>
      </c>
      <c r="R725" s="31">
        <v>0</v>
      </c>
      <c r="S725" s="31">
        <v>0</v>
      </c>
      <c r="T725" s="31">
        <v>0</v>
      </c>
      <c r="U725" s="31">
        <v>0</v>
      </c>
      <c r="V725" s="31">
        <v>0</v>
      </c>
      <c r="W725" s="31">
        <v>0</v>
      </c>
      <c r="X725" s="31">
        <v>0</v>
      </c>
      <c r="Y725" s="31">
        <v>0</v>
      </c>
      <c r="Z725" s="31">
        <v>0</v>
      </c>
      <c r="AA725" s="31">
        <v>0</v>
      </c>
      <c r="AB725" s="31">
        <v>0</v>
      </c>
      <c r="AC725" s="31">
        <f>ROUND(N725*1.5%,2)</f>
        <v>117192.9</v>
      </c>
      <c r="AD725" s="31">
        <v>0</v>
      </c>
      <c r="AE725" s="31">
        <v>0</v>
      </c>
      <c r="AF725" s="34" t="s">
        <v>270</v>
      </c>
      <c r="AG725" s="34">
        <v>2021</v>
      </c>
      <c r="AH725" s="35">
        <v>2021</v>
      </c>
      <c r="AT725" s="20" t="e">
        <f>VLOOKUP(C725,AW:AX,2,FALSE)</f>
        <v>#N/A</v>
      </c>
      <c r="BZ725" s="71"/>
      <c r="CD725" s="20">
        <f t="shared" si="179"/>
        <v>1319.27</v>
      </c>
    </row>
    <row r="726" spans="1:82" ht="61.5" x14ac:dyDescent="0.85">
      <c r="A726" s="20">
        <v>1</v>
      </c>
      <c r="B726" s="66">
        <f>SUBTOTAL(103,$A$558:A726)</f>
        <v>166</v>
      </c>
      <c r="C726" s="24" t="s">
        <v>1170</v>
      </c>
      <c r="D726" s="31">
        <f t="shared" si="185"/>
        <v>2332950.83</v>
      </c>
      <c r="E726" s="31">
        <v>96377</v>
      </c>
      <c r="F726" s="31">
        <v>0</v>
      </c>
      <c r="G726" s="31">
        <v>2023822.85</v>
      </c>
      <c r="H726" s="31">
        <v>178273.87</v>
      </c>
      <c r="I726" s="179">
        <v>0</v>
      </c>
      <c r="J726" s="31">
        <v>0</v>
      </c>
      <c r="K726" s="33">
        <v>0</v>
      </c>
      <c r="L726" s="31">
        <v>0</v>
      </c>
      <c r="M726" s="31">
        <v>0</v>
      </c>
      <c r="N726" s="31">
        <v>0</v>
      </c>
      <c r="O726" s="31">
        <v>0</v>
      </c>
      <c r="P726" s="31">
        <v>0</v>
      </c>
      <c r="Q726" s="31">
        <v>0</v>
      </c>
      <c r="R726" s="31">
        <v>0</v>
      </c>
      <c r="S726" s="31">
        <v>0</v>
      </c>
      <c r="T726" s="31">
        <v>0</v>
      </c>
      <c r="U726" s="31">
        <v>0</v>
      </c>
      <c r="V726" s="31">
        <v>0</v>
      </c>
      <c r="W726" s="31">
        <v>0</v>
      </c>
      <c r="X726" s="31">
        <v>0</v>
      </c>
      <c r="Y726" s="31">
        <v>0</v>
      </c>
      <c r="Z726" s="31">
        <v>0</v>
      </c>
      <c r="AA726" s="31">
        <v>0</v>
      </c>
      <c r="AB726" s="31">
        <v>0</v>
      </c>
      <c r="AC726" s="31">
        <f>ROUND((E726+F726+G726+H726+I726+J726)*1.5%,2)</f>
        <v>34477.11</v>
      </c>
      <c r="AD726" s="31">
        <v>0</v>
      </c>
      <c r="AE726" s="31">
        <v>0</v>
      </c>
      <c r="AF726" s="34" t="s">
        <v>270</v>
      </c>
      <c r="AG726" s="34">
        <v>2021</v>
      </c>
      <c r="AH726" s="35">
        <v>2021</v>
      </c>
      <c r="BZ726" s="71"/>
      <c r="CD726" s="20" t="e">
        <f t="shared" si="179"/>
        <v>#N/A</v>
      </c>
    </row>
    <row r="727" spans="1:82" ht="61.5" x14ac:dyDescent="0.85">
      <c r="A727" s="20">
        <v>1</v>
      </c>
      <c r="B727" s="66">
        <f>SUBTOTAL(103,$A$558:A727)</f>
        <v>167</v>
      </c>
      <c r="C727" s="24" t="s">
        <v>767</v>
      </c>
      <c r="D727" s="31">
        <f t="shared" si="185"/>
        <v>7947350.3199999994</v>
      </c>
      <c r="E727" s="31">
        <v>0</v>
      </c>
      <c r="F727" s="31">
        <v>0</v>
      </c>
      <c r="G727" s="31">
        <v>0</v>
      </c>
      <c r="H727" s="31">
        <v>0</v>
      </c>
      <c r="I727" s="31">
        <v>0</v>
      </c>
      <c r="J727" s="31">
        <v>0</v>
      </c>
      <c r="K727" s="33">
        <v>0</v>
      </c>
      <c r="L727" s="31">
        <v>0</v>
      </c>
      <c r="M727" s="31">
        <v>0</v>
      </c>
      <c r="N727" s="31">
        <v>0</v>
      </c>
      <c r="O727" s="31">
        <v>0</v>
      </c>
      <c r="P727" s="31">
        <v>0</v>
      </c>
      <c r="Q727" s="31">
        <v>1402</v>
      </c>
      <c r="R727" s="31">
        <v>7829901.7899999991</v>
      </c>
      <c r="S727" s="31">
        <v>0</v>
      </c>
      <c r="T727" s="31">
        <v>0</v>
      </c>
      <c r="U727" s="31">
        <v>0</v>
      </c>
      <c r="V727" s="31">
        <v>0</v>
      </c>
      <c r="W727" s="31">
        <v>0</v>
      </c>
      <c r="X727" s="31">
        <v>0</v>
      </c>
      <c r="Y727" s="31">
        <v>0</v>
      </c>
      <c r="Z727" s="31">
        <v>0</v>
      </c>
      <c r="AA727" s="31">
        <v>0</v>
      </c>
      <c r="AB727" s="31">
        <v>0</v>
      </c>
      <c r="AC727" s="31">
        <f>ROUND(R727*1.5%,2)</f>
        <v>117448.53</v>
      </c>
      <c r="AD727" s="31">
        <v>0</v>
      </c>
      <c r="AE727" s="31">
        <v>0</v>
      </c>
      <c r="AF727" s="34" t="s">
        <v>270</v>
      </c>
      <c r="AG727" s="34">
        <v>2021</v>
      </c>
      <c r="AH727" s="35">
        <v>2021</v>
      </c>
      <c r="AT727" s="20" t="e">
        <f>VLOOKUP(C727,AW:AX,2,FALSE)</f>
        <v>#N/A</v>
      </c>
      <c r="BZ727" s="71"/>
      <c r="CD727" s="20" t="e">
        <f t="shared" si="179"/>
        <v>#N/A</v>
      </c>
    </row>
    <row r="728" spans="1:82" ht="61.5" x14ac:dyDescent="0.85">
      <c r="A728" s="20">
        <v>1</v>
      </c>
      <c r="B728" s="66">
        <f>SUBTOTAL(103,$A$558:A728)</f>
        <v>168</v>
      </c>
      <c r="C728" s="24" t="s">
        <v>769</v>
      </c>
      <c r="D728" s="31">
        <f t="shared" si="185"/>
        <v>1157978.8500000001</v>
      </c>
      <c r="E728" s="31">
        <v>0</v>
      </c>
      <c r="F728" s="31">
        <v>0</v>
      </c>
      <c r="G728" s="31">
        <v>0</v>
      </c>
      <c r="H728" s="31">
        <v>0</v>
      </c>
      <c r="I728" s="31">
        <v>0</v>
      </c>
      <c r="J728" s="31">
        <v>0</v>
      </c>
      <c r="K728" s="33">
        <v>0</v>
      </c>
      <c r="L728" s="31">
        <v>0</v>
      </c>
      <c r="M728" s="31">
        <v>265</v>
      </c>
      <c r="N728" s="31">
        <v>1140865.8600000001</v>
      </c>
      <c r="O728" s="31">
        <v>0</v>
      </c>
      <c r="P728" s="31">
        <v>0</v>
      </c>
      <c r="Q728" s="31">
        <v>0</v>
      </c>
      <c r="R728" s="31">
        <v>0</v>
      </c>
      <c r="S728" s="31">
        <v>0</v>
      </c>
      <c r="T728" s="31">
        <v>0</v>
      </c>
      <c r="U728" s="31">
        <v>0</v>
      </c>
      <c r="V728" s="31">
        <v>0</v>
      </c>
      <c r="W728" s="31">
        <v>0</v>
      </c>
      <c r="X728" s="31">
        <v>0</v>
      </c>
      <c r="Y728" s="31">
        <v>0</v>
      </c>
      <c r="Z728" s="31">
        <v>0</v>
      </c>
      <c r="AA728" s="31">
        <v>0</v>
      </c>
      <c r="AB728" s="31">
        <v>0</v>
      </c>
      <c r="AC728" s="31">
        <f>ROUND(N728*1.5%,2)</f>
        <v>17112.990000000002</v>
      </c>
      <c r="AD728" s="31">
        <v>0</v>
      </c>
      <c r="AE728" s="31">
        <v>0</v>
      </c>
      <c r="AF728" s="34" t="s">
        <v>270</v>
      </c>
      <c r="AG728" s="34">
        <v>2021</v>
      </c>
      <c r="AH728" s="35">
        <v>2021</v>
      </c>
      <c r="AT728" s="20" t="e">
        <f>VLOOKUP(C728,AW:AX,2,FALSE)</f>
        <v>#N/A</v>
      </c>
      <c r="BZ728" s="71"/>
      <c r="CD728" s="20" t="e">
        <f t="shared" si="179"/>
        <v>#N/A</v>
      </c>
    </row>
    <row r="729" spans="1:82" ht="61.5" x14ac:dyDescent="0.85">
      <c r="A729" s="20">
        <v>1</v>
      </c>
      <c r="B729" s="66">
        <f>SUBTOTAL(103,$A$558:A729)</f>
        <v>169</v>
      </c>
      <c r="C729" s="24" t="s">
        <v>774</v>
      </c>
      <c r="D729" s="31">
        <f t="shared" si="185"/>
        <v>9061263.3400000017</v>
      </c>
      <c r="E729" s="31">
        <v>749597.22</v>
      </c>
      <c r="F729" s="31">
        <v>0</v>
      </c>
      <c r="G729" s="31">
        <f>6632817.44-1050860.34</f>
        <v>5581957.1000000006</v>
      </c>
      <c r="H729" s="31">
        <v>900908.28</v>
      </c>
      <c r="I729" s="31">
        <v>1694890.44</v>
      </c>
      <c r="J729" s="31">
        <v>0</v>
      </c>
      <c r="K729" s="33">
        <v>0</v>
      </c>
      <c r="L729" s="31">
        <v>0</v>
      </c>
      <c r="M729" s="31">
        <v>0</v>
      </c>
      <c r="N729" s="31">
        <v>0</v>
      </c>
      <c r="O729" s="31">
        <v>0</v>
      </c>
      <c r="P729" s="31">
        <v>0</v>
      </c>
      <c r="Q729" s="31">
        <v>0</v>
      </c>
      <c r="R729" s="31">
        <v>0</v>
      </c>
      <c r="S729" s="31">
        <v>0</v>
      </c>
      <c r="T729" s="31">
        <v>0</v>
      </c>
      <c r="U729" s="31">
        <v>0</v>
      </c>
      <c r="V729" s="31">
        <v>0</v>
      </c>
      <c r="W729" s="31">
        <v>0</v>
      </c>
      <c r="X729" s="31">
        <v>0</v>
      </c>
      <c r="Y729" s="31">
        <v>0</v>
      </c>
      <c r="Z729" s="31">
        <v>0</v>
      </c>
      <c r="AA729" s="31">
        <v>0</v>
      </c>
      <c r="AB729" s="31">
        <v>0</v>
      </c>
      <c r="AC729" s="31">
        <f>ROUND((E729+F729+G729+H729+I729+J729)*1.5%,2)</f>
        <v>133910.29999999999</v>
      </c>
      <c r="AD729" s="31">
        <v>0</v>
      </c>
      <c r="AE729" s="31">
        <v>0</v>
      </c>
      <c r="AF729" s="34" t="s">
        <v>270</v>
      </c>
      <c r="AG729" s="34">
        <v>2021</v>
      </c>
      <c r="AH729" s="35">
        <v>2021</v>
      </c>
      <c r="AT729" s="20" t="e">
        <f>VLOOKUP(C729,AW:AX,2,FALSE)</f>
        <v>#N/A</v>
      </c>
      <c r="BZ729" s="71"/>
      <c r="CD729" s="20" t="e">
        <f t="shared" si="179"/>
        <v>#N/A</v>
      </c>
    </row>
    <row r="730" spans="1:82" ht="61.5" x14ac:dyDescent="0.85">
      <c r="A730" s="20">
        <v>1</v>
      </c>
      <c r="B730" s="66">
        <f>SUBTOTAL(103,$A$558:A730)</f>
        <v>170</v>
      </c>
      <c r="C730" s="24" t="s">
        <v>777</v>
      </c>
      <c r="D730" s="31">
        <f t="shared" si="185"/>
        <v>4986857.2</v>
      </c>
      <c r="E730" s="31">
        <v>0</v>
      </c>
      <c r="F730" s="31">
        <v>0</v>
      </c>
      <c r="G730" s="31">
        <v>0</v>
      </c>
      <c r="H730" s="31">
        <v>0</v>
      </c>
      <c r="I730" s="31">
        <v>0</v>
      </c>
      <c r="J730" s="31">
        <v>0</v>
      </c>
      <c r="K730" s="33">
        <v>0</v>
      </c>
      <c r="L730" s="31">
        <v>0</v>
      </c>
      <c r="M730" s="31">
        <v>1080</v>
      </c>
      <c r="N730" s="31">
        <v>4913159.8</v>
      </c>
      <c r="O730" s="31">
        <v>0</v>
      </c>
      <c r="P730" s="31">
        <v>0</v>
      </c>
      <c r="Q730" s="31">
        <v>0</v>
      </c>
      <c r="R730" s="31">
        <v>0</v>
      </c>
      <c r="S730" s="31">
        <v>0</v>
      </c>
      <c r="T730" s="31">
        <v>0</v>
      </c>
      <c r="U730" s="31">
        <v>0</v>
      </c>
      <c r="V730" s="31">
        <v>0</v>
      </c>
      <c r="W730" s="31">
        <v>0</v>
      </c>
      <c r="X730" s="31">
        <v>0</v>
      </c>
      <c r="Y730" s="31">
        <v>0</v>
      </c>
      <c r="Z730" s="31">
        <v>0</v>
      </c>
      <c r="AA730" s="31">
        <v>0</v>
      </c>
      <c r="AB730" s="31">
        <v>0</v>
      </c>
      <c r="AC730" s="31">
        <f>ROUND(N730*1.5%,2)</f>
        <v>73697.399999999994</v>
      </c>
      <c r="AD730" s="31">
        <v>0</v>
      </c>
      <c r="AE730" s="31">
        <v>0</v>
      </c>
      <c r="AF730" s="34" t="s">
        <v>270</v>
      </c>
      <c r="AG730" s="34">
        <v>2021</v>
      </c>
      <c r="AH730" s="35">
        <v>2021</v>
      </c>
      <c r="AT730" s="20" t="e">
        <f>VLOOKUP(C730,AW:AX,2,FALSE)</f>
        <v>#N/A</v>
      </c>
      <c r="BZ730" s="71"/>
      <c r="CD730" s="20" t="e">
        <f t="shared" si="179"/>
        <v>#N/A</v>
      </c>
    </row>
    <row r="731" spans="1:82" ht="61.5" x14ac:dyDescent="0.85">
      <c r="A731" s="20">
        <v>1</v>
      </c>
      <c r="B731" s="66">
        <f>SUBTOTAL(103,$A$558:A731)</f>
        <v>171</v>
      </c>
      <c r="C731" s="24" t="s">
        <v>1172</v>
      </c>
      <c r="D731" s="31">
        <f t="shared" ref="D731" si="186">E731+F731+G731+H731+I731+J731+L731+N731+P731+R731+T731+U731+V731+W731+X731+Y731+Z731+AA731+AB731+AC731+AD731+AE731</f>
        <v>958906.03</v>
      </c>
      <c r="E731" s="31">
        <v>0</v>
      </c>
      <c r="F731" s="31">
        <v>0</v>
      </c>
      <c r="G731" s="31">
        <v>0</v>
      </c>
      <c r="H731" s="31">
        <v>457515</v>
      </c>
      <c r="I731" s="31">
        <v>487220</v>
      </c>
      <c r="J731" s="31">
        <v>0</v>
      </c>
      <c r="K731" s="33">
        <v>0</v>
      </c>
      <c r="L731" s="31">
        <v>0</v>
      </c>
      <c r="M731" s="31">
        <v>0</v>
      </c>
      <c r="N731" s="31">
        <v>0</v>
      </c>
      <c r="O731" s="31">
        <v>0</v>
      </c>
      <c r="P731" s="31">
        <v>0</v>
      </c>
      <c r="Q731" s="31">
        <v>0</v>
      </c>
      <c r="R731" s="31">
        <v>0</v>
      </c>
      <c r="S731" s="31">
        <v>0</v>
      </c>
      <c r="T731" s="31">
        <v>0</v>
      </c>
      <c r="U731" s="31">
        <v>0</v>
      </c>
      <c r="V731" s="31">
        <v>0</v>
      </c>
      <c r="W731" s="31">
        <v>0</v>
      </c>
      <c r="X731" s="31">
        <v>0</v>
      </c>
      <c r="Y731" s="31">
        <v>0</v>
      </c>
      <c r="Z731" s="31">
        <v>0</v>
      </c>
      <c r="AA731" s="31">
        <v>0</v>
      </c>
      <c r="AB731" s="31">
        <v>0</v>
      </c>
      <c r="AC731" s="31">
        <f>ROUND((E731+F731+G731+H731+I731+J731)*1.5%,2)</f>
        <v>14171.03</v>
      </c>
      <c r="AD731" s="31">
        <v>0</v>
      </c>
      <c r="AE731" s="31">
        <v>0</v>
      </c>
      <c r="AF731" s="34" t="s">
        <v>270</v>
      </c>
      <c r="AG731" s="34">
        <v>2021</v>
      </c>
      <c r="AH731" s="35">
        <v>2021</v>
      </c>
      <c r="BZ731" s="71"/>
      <c r="CD731" s="20" t="e">
        <f t="shared" si="179"/>
        <v>#N/A</v>
      </c>
    </row>
    <row r="732" spans="1:82" ht="61.5" x14ac:dyDescent="0.85">
      <c r="A732" s="20">
        <v>1</v>
      </c>
      <c r="B732" s="66">
        <f>SUBTOTAL(103,$A$558:A732)</f>
        <v>172</v>
      </c>
      <c r="C732" s="24" t="s">
        <v>1283</v>
      </c>
      <c r="D732" s="31">
        <f t="shared" si="185"/>
        <v>6222564.7000000002</v>
      </c>
      <c r="E732" s="31">
        <v>0</v>
      </c>
      <c r="F732" s="31">
        <v>0</v>
      </c>
      <c r="G732" s="31">
        <v>0</v>
      </c>
      <c r="H732" s="31">
        <v>0</v>
      </c>
      <c r="I732" s="31">
        <v>0</v>
      </c>
      <c r="J732" s="31">
        <v>0</v>
      </c>
      <c r="K732" s="33">
        <v>0</v>
      </c>
      <c r="L732" s="31">
        <v>0</v>
      </c>
      <c r="M732" s="31">
        <v>1548.79</v>
      </c>
      <c r="N732" s="31">
        <f>6669512.32+1022599.21-1561505.91</f>
        <v>6130605.6200000001</v>
      </c>
      <c r="O732" s="31">
        <v>0</v>
      </c>
      <c r="P732" s="31">
        <v>0</v>
      </c>
      <c r="Q732" s="31">
        <v>0</v>
      </c>
      <c r="R732" s="31">
        <v>0</v>
      </c>
      <c r="S732" s="31">
        <v>0</v>
      </c>
      <c r="T732" s="31">
        <v>0</v>
      </c>
      <c r="U732" s="31">
        <v>0</v>
      </c>
      <c r="V732" s="31">
        <v>0</v>
      </c>
      <c r="W732" s="31">
        <v>0</v>
      </c>
      <c r="X732" s="31">
        <v>0</v>
      </c>
      <c r="Y732" s="31">
        <v>0</v>
      </c>
      <c r="Z732" s="31">
        <v>0</v>
      </c>
      <c r="AA732" s="31">
        <v>0</v>
      </c>
      <c r="AB732" s="31">
        <v>0</v>
      </c>
      <c r="AC732" s="31">
        <f>ROUND(N732*1.5%,2)</f>
        <v>91959.08</v>
      </c>
      <c r="AD732" s="31">
        <v>0</v>
      </c>
      <c r="AE732" s="31">
        <v>0</v>
      </c>
      <c r="AF732" s="34" t="s">
        <v>270</v>
      </c>
      <c r="AG732" s="34">
        <v>2021</v>
      </c>
      <c r="AH732" s="35">
        <v>2021</v>
      </c>
      <c r="BZ732" s="71"/>
      <c r="CD732" s="20" t="e">
        <f t="shared" si="179"/>
        <v>#N/A</v>
      </c>
    </row>
    <row r="733" spans="1:82" ht="61.5" x14ac:dyDescent="0.85">
      <c r="A733" s="20">
        <v>1</v>
      </c>
      <c r="B733" s="66">
        <f>SUBTOTAL(103,$A$558:A733)</f>
        <v>173</v>
      </c>
      <c r="C733" s="24" t="s">
        <v>1684</v>
      </c>
      <c r="D733" s="31">
        <f t="shared" si="185"/>
        <v>213150</v>
      </c>
      <c r="E733" s="31">
        <v>0</v>
      </c>
      <c r="F733" s="31">
        <v>0</v>
      </c>
      <c r="G733" s="31">
        <v>0</v>
      </c>
      <c r="H733" s="31">
        <v>0</v>
      </c>
      <c r="I733" s="31">
        <v>0</v>
      </c>
      <c r="J733" s="31">
        <v>0</v>
      </c>
      <c r="K733" s="33">
        <v>0</v>
      </c>
      <c r="L733" s="31">
        <v>0</v>
      </c>
      <c r="M733" s="31">
        <v>0</v>
      </c>
      <c r="N733" s="31">
        <v>0</v>
      </c>
      <c r="O733" s="31">
        <v>0</v>
      </c>
      <c r="P733" s="31">
        <v>0</v>
      </c>
      <c r="Q733" s="31">
        <v>0</v>
      </c>
      <c r="R733" s="31">
        <v>0</v>
      </c>
      <c r="S733" s="31">
        <v>0</v>
      </c>
      <c r="T733" s="31">
        <v>0</v>
      </c>
      <c r="U733" s="31">
        <v>0</v>
      </c>
      <c r="V733" s="31">
        <v>210000</v>
      </c>
      <c r="W733" s="31">
        <v>0</v>
      </c>
      <c r="X733" s="31">
        <v>0</v>
      </c>
      <c r="Y733" s="31">
        <v>0</v>
      </c>
      <c r="Z733" s="31">
        <v>0</v>
      </c>
      <c r="AA733" s="31">
        <v>0</v>
      </c>
      <c r="AB733" s="31">
        <v>0</v>
      </c>
      <c r="AC733" s="31">
        <f>ROUND(V733*1.5%,2)</f>
        <v>3150</v>
      </c>
      <c r="AD733" s="31">
        <v>0</v>
      </c>
      <c r="AE733" s="31">
        <v>0</v>
      </c>
      <c r="AF733" s="34" t="s">
        <v>270</v>
      </c>
      <c r="AG733" s="34">
        <v>2021</v>
      </c>
      <c r="AH733" s="35">
        <v>2021</v>
      </c>
      <c r="BZ733" s="71"/>
      <c r="CD733" s="20" t="e">
        <f t="shared" si="179"/>
        <v>#N/A</v>
      </c>
    </row>
    <row r="734" spans="1:82" ht="61.5" x14ac:dyDescent="0.85">
      <c r="A734" s="20">
        <v>1</v>
      </c>
      <c r="B734" s="66">
        <f>SUBTOTAL(103,$A$558:A734)</f>
        <v>174</v>
      </c>
      <c r="C734" s="24" t="s">
        <v>778</v>
      </c>
      <c r="D734" s="31">
        <f t="shared" si="185"/>
        <v>8021093.6299999999</v>
      </c>
      <c r="E734" s="31">
        <v>0</v>
      </c>
      <c r="F734" s="31">
        <v>0</v>
      </c>
      <c r="G734" s="31">
        <v>0</v>
      </c>
      <c r="H734" s="31">
        <v>0</v>
      </c>
      <c r="I734" s="31">
        <v>1464542.39</v>
      </c>
      <c r="J734" s="31">
        <v>0</v>
      </c>
      <c r="K734" s="74">
        <v>0</v>
      </c>
      <c r="L734" s="31">
        <v>0</v>
      </c>
      <c r="M734" s="31">
        <v>1375.9</v>
      </c>
      <c r="N734" s="31">
        <f>6051559.71+150000</f>
        <v>6201559.71</v>
      </c>
      <c r="O734" s="31">
        <v>0</v>
      </c>
      <c r="P734" s="31">
        <v>0</v>
      </c>
      <c r="Q734" s="31">
        <v>0</v>
      </c>
      <c r="R734" s="31">
        <v>0</v>
      </c>
      <c r="S734" s="31">
        <v>0</v>
      </c>
      <c r="T734" s="31">
        <v>0</v>
      </c>
      <c r="U734" s="31">
        <v>0</v>
      </c>
      <c r="V734" s="31">
        <v>0</v>
      </c>
      <c r="W734" s="31">
        <v>0</v>
      </c>
      <c r="X734" s="31">
        <v>0</v>
      </c>
      <c r="Y734" s="31">
        <v>0</v>
      </c>
      <c r="Z734" s="31">
        <v>0</v>
      </c>
      <c r="AA734" s="31">
        <v>0</v>
      </c>
      <c r="AB734" s="31">
        <v>0</v>
      </c>
      <c r="AC734" s="31">
        <f>ROUND((N734+I734)*1.5%,2)</f>
        <v>114991.53</v>
      </c>
      <c r="AD734" s="31">
        <v>0</v>
      </c>
      <c r="AE734" s="31">
        <v>240000</v>
      </c>
      <c r="AF734" s="34" t="s">
        <v>270</v>
      </c>
      <c r="AG734" s="34">
        <v>2021</v>
      </c>
      <c r="AH734" s="35">
        <v>2021</v>
      </c>
      <c r="AT734" s="20" t="e">
        <f>VLOOKUP(C734,AW:AX,2,FALSE)</f>
        <v>#N/A</v>
      </c>
      <c r="BZ734" s="71"/>
      <c r="CD734" s="20">
        <f t="shared" si="179"/>
        <v>1375.9</v>
      </c>
    </row>
    <row r="735" spans="1:82" ht="61.5" x14ac:dyDescent="0.85">
      <c r="A735" s="20">
        <v>1</v>
      </c>
      <c r="B735" s="66">
        <f>SUBTOTAL(103,$A$558:A735)</f>
        <v>175</v>
      </c>
      <c r="C735" s="24" t="s">
        <v>1953</v>
      </c>
      <c r="D735" s="31">
        <f t="shared" si="185"/>
        <v>3849194.52</v>
      </c>
      <c r="E735" s="31">
        <v>0</v>
      </c>
      <c r="F735" s="31">
        <v>0</v>
      </c>
      <c r="G735" s="31">
        <v>0</v>
      </c>
      <c r="H735" s="31">
        <v>0</v>
      </c>
      <c r="I735" s="31">
        <v>0</v>
      </c>
      <c r="J735" s="31">
        <v>0</v>
      </c>
      <c r="K735" s="33">
        <v>2</v>
      </c>
      <c r="L735" s="31">
        <v>3699194.52</v>
      </c>
      <c r="M735" s="31">
        <v>0</v>
      </c>
      <c r="N735" s="31">
        <v>0</v>
      </c>
      <c r="O735" s="31">
        <v>0</v>
      </c>
      <c r="P735" s="31">
        <v>0</v>
      </c>
      <c r="Q735" s="31">
        <v>0</v>
      </c>
      <c r="R735" s="31">
        <v>0</v>
      </c>
      <c r="S735" s="31">
        <v>0</v>
      </c>
      <c r="T735" s="31">
        <v>0</v>
      </c>
      <c r="U735" s="31">
        <v>0</v>
      </c>
      <c r="V735" s="31">
        <v>0</v>
      </c>
      <c r="W735" s="31">
        <v>0</v>
      </c>
      <c r="X735" s="31">
        <v>0</v>
      </c>
      <c r="Y735" s="31">
        <v>0</v>
      </c>
      <c r="Z735" s="31">
        <v>0</v>
      </c>
      <c r="AA735" s="31">
        <v>0</v>
      </c>
      <c r="AB735" s="31">
        <v>0</v>
      </c>
      <c r="AC735" s="31">
        <v>0</v>
      </c>
      <c r="AD735" s="31">
        <v>150000</v>
      </c>
      <c r="AE735" s="31">
        <v>0</v>
      </c>
      <c r="AF735" s="34">
        <v>2021</v>
      </c>
      <c r="AG735" s="34">
        <v>2021</v>
      </c>
      <c r="AH735" s="35" t="s">
        <v>270</v>
      </c>
      <c r="BZ735" s="71"/>
      <c r="CD735" s="20" t="e">
        <f t="shared" ref="CD735:CD766" si="187">VLOOKUP(C735,CE:CF,2,FALSE)</f>
        <v>#N/A</v>
      </c>
    </row>
    <row r="736" spans="1:82" ht="61.5" x14ac:dyDescent="0.85">
      <c r="A736" s="20">
        <v>1</v>
      </c>
      <c r="B736" s="66">
        <f>SUBTOTAL(103,$A$558:A736)</f>
        <v>176</v>
      </c>
      <c r="C736" s="24" t="s">
        <v>1952</v>
      </c>
      <c r="D736" s="31">
        <f t="shared" si="185"/>
        <v>3849194.52</v>
      </c>
      <c r="E736" s="31">
        <v>0</v>
      </c>
      <c r="F736" s="31">
        <v>0</v>
      </c>
      <c r="G736" s="31">
        <v>0</v>
      </c>
      <c r="H736" s="31">
        <v>0</v>
      </c>
      <c r="I736" s="31">
        <v>0</v>
      </c>
      <c r="J736" s="31">
        <v>0</v>
      </c>
      <c r="K736" s="33">
        <v>2</v>
      </c>
      <c r="L736" s="31">
        <v>3699194.52</v>
      </c>
      <c r="M736" s="31">
        <v>0</v>
      </c>
      <c r="N736" s="31">
        <v>0</v>
      </c>
      <c r="O736" s="31">
        <v>0</v>
      </c>
      <c r="P736" s="31">
        <v>0</v>
      </c>
      <c r="Q736" s="31">
        <v>0</v>
      </c>
      <c r="R736" s="31">
        <v>0</v>
      </c>
      <c r="S736" s="31">
        <v>0</v>
      </c>
      <c r="T736" s="31">
        <v>0</v>
      </c>
      <c r="U736" s="31">
        <v>0</v>
      </c>
      <c r="V736" s="31">
        <v>0</v>
      </c>
      <c r="W736" s="31">
        <v>0</v>
      </c>
      <c r="X736" s="31">
        <v>0</v>
      </c>
      <c r="Y736" s="31">
        <v>0</v>
      </c>
      <c r="Z736" s="31">
        <v>0</v>
      </c>
      <c r="AA736" s="31">
        <v>0</v>
      </c>
      <c r="AB736" s="31">
        <v>0</v>
      </c>
      <c r="AC736" s="31">
        <v>0</v>
      </c>
      <c r="AD736" s="31">
        <v>150000</v>
      </c>
      <c r="AE736" s="31">
        <v>0</v>
      </c>
      <c r="AF736" s="34">
        <v>2021</v>
      </c>
      <c r="AG736" s="34">
        <v>2021</v>
      </c>
      <c r="AH736" s="35" t="s">
        <v>270</v>
      </c>
      <c r="BZ736" s="71"/>
      <c r="CD736" s="20" t="e">
        <f t="shared" si="187"/>
        <v>#N/A</v>
      </c>
    </row>
    <row r="737" spans="1:82" ht="61.5" x14ac:dyDescent="0.85">
      <c r="B737" s="24" t="s">
        <v>764</v>
      </c>
      <c r="C737" s="108"/>
      <c r="D737" s="195">
        <f t="shared" ref="D737:AE737" si="188">SUM(D738:D744)</f>
        <v>62970834.239999995</v>
      </c>
      <c r="E737" s="31">
        <f t="shared" si="188"/>
        <v>1687981.85</v>
      </c>
      <c r="F737" s="31">
        <f t="shared" si="188"/>
        <v>3794416.2800000003</v>
      </c>
      <c r="G737" s="31">
        <f t="shared" si="188"/>
        <v>8172581.8799999999</v>
      </c>
      <c r="H737" s="31">
        <f t="shared" si="188"/>
        <v>3136482.6500000004</v>
      </c>
      <c r="I737" s="31">
        <f t="shared" si="188"/>
        <v>6112887.9399999995</v>
      </c>
      <c r="J737" s="31">
        <f t="shared" si="188"/>
        <v>0</v>
      </c>
      <c r="K737" s="33">
        <f t="shared" si="188"/>
        <v>6</v>
      </c>
      <c r="L737" s="31">
        <f t="shared" si="188"/>
        <v>13433212</v>
      </c>
      <c r="M737" s="31">
        <f t="shared" si="188"/>
        <v>0</v>
      </c>
      <c r="N737" s="31">
        <f t="shared" si="188"/>
        <v>0</v>
      </c>
      <c r="O737" s="31">
        <f t="shared" si="188"/>
        <v>0</v>
      </c>
      <c r="P737" s="31">
        <f t="shared" si="188"/>
        <v>0</v>
      </c>
      <c r="Q737" s="31">
        <f t="shared" si="188"/>
        <v>13569.8</v>
      </c>
      <c r="R737" s="31">
        <f t="shared" si="188"/>
        <v>25211533.380000003</v>
      </c>
      <c r="S737" s="31">
        <f t="shared" si="188"/>
        <v>0</v>
      </c>
      <c r="T737" s="31">
        <f t="shared" si="188"/>
        <v>0</v>
      </c>
      <c r="U737" s="31">
        <f t="shared" si="188"/>
        <v>0</v>
      </c>
      <c r="V737" s="31">
        <f t="shared" si="188"/>
        <v>0</v>
      </c>
      <c r="W737" s="31">
        <f t="shared" si="188"/>
        <v>0</v>
      </c>
      <c r="X737" s="31">
        <f t="shared" si="188"/>
        <v>0</v>
      </c>
      <c r="Y737" s="31">
        <f t="shared" si="188"/>
        <v>0</v>
      </c>
      <c r="Z737" s="31">
        <f t="shared" si="188"/>
        <v>0</v>
      </c>
      <c r="AA737" s="31">
        <f t="shared" si="188"/>
        <v>0</v>
      </c>
      <c r="AB737" s="31">
        <f t="shared" si="188"/>
        <v>0</v>
      </c>
      <c r="AC737" s="31">
        <f t="shared" si="188"/>
        <v>721738.26</v>
      </c>
      <c r="AD737" s="31">
        <f t="shared" si="188"/>
        <v>700000</v>
      </c>
      <c r="AE737" s="31">
        <f t="shared" si="188"/>
        <v>0</v>
      </c>
      <c r="AF737" s="72" t="s">
        <v>757</v>
      </c>
      <c r="AG737" s="72" t="s">
        <v>757</v>
      </c>
      <c r="AH737" s="87" t="s">
        <v>757</v>
      </c>
      <c r="AT737" s="20" t="e">
        <f>VLOOKUP(C737,AW:AX,2,FALSE)</f>
        <v>#N/A</v>
      </c>
      <c r="BZ737" s="71">
        <v>21856214.649999999</v>
      </c>
      <c r="CB737" s="71">
        <f>BZ737-D737</f>
        <v>-41114619.589999996</v>
      </c>
      <c r="CD737" s="20" t="e">
        <f t="shared" si="187"/>
        <v>#N/A</v>
      </c>
    </row>
    <row r="738" spans="1:82" ht="61.5" x14ac:dyDescent="0.85">
      <c r="A738" s="20">
        <v>1</v>
      </c>
      <c r="B738" s="66">
        <f>SUBTOTAL(103,$A$558:A738)</f>
        <v>177</v>
      </c>
      <c r="C738" s="24" t="s">
        <v>384</v>
      </c>
      <c r="D738" s="31">
        <f>E738+F738+G738+H738+I738+J738+L738+N738+P738+R738+T738+U738+V738+W738+X738+Y738+Z738+AA738+AB738+AC738+AD738+AE738</f>
        <v>8863212</v>
      </c>
      <c r="E738" s="31">
        <v>0</v>
      </c>
      <c r="F738" s="31">
        <v>0</v>
      </c>
      <c r="G738" s="31">
        <v>0</v>
      </c>
      <c r="H738" s="31">
        <v>0</v>
      </c>
      <c r="I738" s="31">
        <v>0</v>
      </c>
      <c r="J738" s="31">
        <v>0</v>
      </c>
      <c r="K738" s="33">
        <v>4</v>
      </c>
      <c r="L738" s="31">
        <v>8863212</v>
      </c>
      <c r="M738" s="31">
        <v>0</v>
      </c>
      <c r="N738" s="31">
        <v>0</v>
      </c>
      <c r="O738" s="31">
        <v>0</v>
      </c>
      <c r="P738" s="31">
        <v>0</v>
      </c>
      <c r="Q738" s="31">
        <v>0</v>
      </c>
      <c r="R738" s="31">
        <v>0</v>
      </c>
      <c r="S738" s="31">
        <v>0</v>
      </c>
      <c r="T738" s="31">
        <v>0</v>
      </c>
      <c r="U738" s="31">
        <v>0</v>
      </c>
      <c r="V738" s="31">
        <v>0</v>
      </c>
      <c r="W738" s="31">
        <v>0</v>
      </c>
      <c r="X738" s="31">
        <v>0</v>
      </c>
      <c r="Y738" s="31">
        <v>0</v>
      </c>
      <c r="Z738" s="31">
        <v>0</v>
      </c>
      <c r="AA738" s="31">
        <v>0</v>
      </c>
      <c r="AB738" s="31">
        <v>0</v>
      </c>
      <c r="AC738" s="31">
        <v>0</v>
      </c>
      <c r="AD738" s="31">
        <v>0</v>
      </c>
      <c r="AE738" s="31">
        <v>0</v>
      </c>
      <c r="AF738" s="34" t="s">
        <v>270</v>
      </c>
      <c r="AG738" s="34">
        <v>2021</v>
      </c>
      <c r="AH738" s="35" t="s">
        <v>270</v>
      </c>
      <c r="AT738" s="20" t="e">
        <f>VLOOKUP(C738,AW:AX,2,FALSE)</f>
        <v>#N/A</v>
      </c>
      <c r="BZ738" s="71"/>
      <c r="CD738" s="20" t="e">
        <f t="shared" si="187"/>
        <v>#N/A</v>
      </c>
    </row>
    <row r="739" spans="1:82" ht="61.5" x14ac:dyDescent="0.85">
      <c r="A739" s="20">
        <v>1</v>
      </c>
      <c r="B739" s="66">
        <f>SUBTOTAL(103,$A$558:A739)</f>
        <v>178</v>
      </c>
      <c r="C739" s="24" t="s">
        <v>1667</v>
      </c>
      <c r="D739" s="31">
        <f>E739+F739+G739+H739+I739+J739+L739+N739+P739+R739+T739+U739+V739+W739+X739+Y739+Z739+AA739+AB739+AC739+AD739+AE739</f>
        <v>7201018.8100000005</v>
      </c>
      <c r="E739" s="31">
        <v>601798.30000000005</v>
      </c>
      <c r="F739" s="31">
        <v>1360064.57</v>
      </c>
      <c r="G739" s="31">
        <v>2159210.9500000002</v>
      </c>
      <c r="H739" s="31">
        <v>1072260.3</v>
      </c>
      <c r="I739" s="31">
        <v>1605699.19</v>
      </c>
      <c r="J739" s="31">
        <v>0</v>
      </c>
      <c r="K739" s="33">
        <v>0</v>
      </c>
      <c r="L739" s="31">
        <v>0</v>
      </c>
      <c r="M739" s="31">
        <v>0</v>
      </c>
      <c r="N739" s="31">
        <v>0</v>
      </c>
      <c r="O739" s="31">
        <v>0</v>
      </c>
      <c r="P739" s="31">
        <v>0</v>
      </c>
      <c r="Q739" s="31">
        <v>0</v>
      </c>
      <c r="R739" s="31">
        <v>0</v>
      </c>
      <c r="S739" s="31">
        <v>0</v>
      </c>
      <c r="T739" s="31">
        <v>0</v>
      </c>
      <c r="U739" s="31">
        <v>0</v>
      </c>
      <c r="V739" s="31">
        <v>0</v>
      </c>
      <c r="W739" s="31">
        <v>0</v>
      </c>
      <c r="X739" s="31">
        <v>0</v>
      </c>
      <c r="Y739" s="31">
        <v>0</v>
      </c>
      <c r="Z739" s="31">
        <v>0</v>
      </c>
      <c r="AA739" s="31">
        <v>0</v>
      </c>
      <c r="AB739" s="31">
        <v>0</v>
      </c>
      <c r="AC739" s="31">
        <f>ROUND((E739+F739+G739+H739+I739+J739)*1.5%,2)</f>
        <v>101985.5</v>
      </c>
      <c r="AD739" s="31">
        <v>300000</v>
      </c>
      <c r="AE739" s="31">
        <v>0</v>
      </c>
      <c r="AF739" s="34">
        <v>2021</v>
      </c>
      <c r="AG739" s="34">
        <v>2021</v>
      </c>
      <c r="AH739" s="35">
        <v>2021</v>
      </c>
      <c r="AT739" s="20" t="e">
        <f>VLOOKUP(C739,AW:AX,2,FALSE)</f>
        <v>#N/A</v>
      </c>
      <c r="BZ739" s="71"/>
      <c r="CD739" s="20" t="e">
        <f t="shared" si="187"/>
        <v>#N/A</v>
      </c>
    </row>
    <row r="740" spans="1:82" ht="61.5" x14ac:dyDescent="0.85">
      <c r="A740" s="20">
        <v>1</v>
      </c>
      <c r="B740" s="66">
        <f>SUBTOTAL(103,$A$558:A740)</f>
        <v>179</v>
      </c>
      <c r="C740" s="24" t="s">
        <v>385</v>
      </c>
      <c r="D740" s="31">
        <f>E740+F740+G740+H740+I740+J740+L740+N740+P740+R740+T740+U740+V740+W740+X740+Y740+Z740+AA740+AB740+AC740+AD740+AE740</f>
        <v>5661983.8399999999</v>
      </c>
      <c r="E740" s="31">
        <v>0</v>
      </c>
      <c r="F740" s="31">
        <v>0</v>
      </c>
      <c r="G740" s="31">
        <v>0</v>
      </c>
      <c r="H740" s="31">
        <v>0</v>
      </c>
      <c r="I740" s="31">
        <v>0</v>
      </c>
      <c r="J740" s="31">
        <v>0</v>
      </c>
      <c r="K740" s="33">
        <v>0</v>
      </c>
      <c r="L740" s="31">
        <v>0</v>
      </c>
      <c r="M740" s="31">
        <v>0</v>
      </c>
      <c r="N740" s="31">
        <v>0</v>
      </c>
      <c r="O740" s="31">
        <v>0</v>
      </c>
      <c r="P740" s="31">
        <v>0</v>
      </c>
      <c r="Q740" s="31">
        <v>2476.9</v>
      </c>
      <c r="R740" s="31">
        <v>5381264.8700000001</v>
      </c>
      <c r="S740" s="31">
        <v>0</v>
      </c>
      <c r="T740" s="31">
        <v>0</v>
      </c>
      <c r="U740" s="31">
        <v>0</v>
      </c>
      <c r="V740" s="31">
        <v>0</v>
      </c>
      <c r="W740" s="31">
        <v>0</v>
      </c>
      <c r="X740" s="31">
        <v>0</v>
      </c>
      <c r="Y740" s="31">
        <v>0</v>
      </c>
      <c r="Z740" s="31">
        <v>0</v>
      </c>
      <c r="AA740" s="31">
        <v>0</v>
      </c>
      <c r="AB740" s="31">
        <v>0</v>
      </c>
      <c r="AC740" s="31">
        <f>ROUND(R740*1.5%,2)</f>
        <v>80718.97</v>
      </c>
      <c r="AD740" s="31">
        <v>200000</v>
      </c>
      <c r="AE740" s="31">
        <v>0</v>
      </c>
      <c r="AF740" s="34">
        <v>2021</v>
      </c>
      <c r="AG740" s="34">
        <v>2021</v>
      </c>
      <c r="AH740" s="35">
        <v>2021</v>
      </c>
      <c r="AT740" s="20" t="e">
        <f>VLOOKUP(C740,AW:AX,2,FALSE)</f>
        <v>#N/A</v>
      </c>
      <c r="BZ740" s="71"/>
      <c r="CD740" s="20" t="e">
        <f t="shared" si="187"/>
        <v>#N/A</v>
      </c>
    </row>
    <row r="741" spans="1:82" ht="61.5" x14ac:dyDescent="0.85">
      <c r="A741" s="20">
        <v>1</v>
      </c>
      <c r="B741" s="66">
        <f>SUBTOTAL(103,$A$558:A741)</f>
        <v>180</v>
      </c>
      <c r="C741" s="24" t="s">
        <v>1180</v>
      </c>
      <c r="D741" s="31">
        <f t="shared" ref="D741:D744" si="189">E741+F741+G741+H741+I741+J741+L741+N741+P741+R741+T741+U741+V741+W741+X741+Y741+Z741+AA741+AB741+AC741+AD741+AE741</f>
        <v>16346897.049999999</v>
      </c>
      <c r="E741" s="31">
        <v>1086183.55</v>
      </c>
      <c r="F741" s="31">
        <v>2434351.71</v>
      </c>
      <c r="G741" s="31">
        <f>5505401.14+507969.79</f>
        <v>6013370.9299999997</v>
      </c>
      <c r="H741" s="31">
        <v>2064222.35</v>
      </c>
      <c r="I741" s="31">
        <v>4507188.75</v>
      </c>
      <c r="J741" s="31">
        <v>0</v>
      </c>
      <c r="K741" s="33">
        <v>0</v>
      </c>
      <c r="L741" s="31">
        <v>0</v>
      </c>
      <c r="M741" s="31">
        <v>0</v>
      </c>
      <c r="N741" s="31">
        <v>0</v>
      </c>
      <c r="O741" s="31">
        <v>0</v>
      </c>
      <c r="P741" s="31">
        <v>0</v>
      </c>
      <c r="Q741" s="31">
        <v>0</v>
      </c>
      <c r="R741" s="31">
        <v>0</v>
      </c>
      <c r="S741" s="31">
        <v>0</v>
      </c>
      <c r="T741" s="31">
        <v>0</v>
      </c>
      <c r="U741" s="31">
        <v>0</v>
      </c>
      <c r="V741" s="31">
        <v>0</v>
      </c>
      <c r="W741" s="31">
        <v>0</v>
      </c>
      <c r="X741" s="31">
        <v>0</v>
      </c>
      <c r="Y741" s="31">
        <v>0</v>
      </c>
      <c r="Z741" s="31">
        <v>0</v>
      </c>
      <c r="AA741" s="31">
        <v>0</v>
      </c>
      <c r="AB741" s="31">
        <v>0</v>
      </c>
      <c r="AC741" s="31">
        <f>ROUND((E741+F741+G741+H741+I741+J741)*1.5%,2)</f>
        <v>241579.76</v>
      </c>
      <c r="AD741" s="31">
        <v>0</v>
      </c>
      <c r="AE741" s="31">
        <v>0</v>
      </c>
      <c r="AF741" s="35" t="s">
        <v>270</v>
      </c>
      <c r="AG741" s="34">
        <v>2021</v>
      </c>
      <c r="AH741" s="35">
        <v>2021</v>
      </c>
      <c r="BZ741" s="71"/>
      <c r="CD741" s="20" t="e">
        <f t="shared" si="187"/>
        <v>#N/A</v>
      </c>
    </row>
    <row r="742" spans="1:82" ht="61.5" x14ac:dyDescent="0.85">
      <c r="A742" s="20">
        <v>1</v>
      </c>
      <c r="B742" s="66">
        <f>SUBTOTAL(103,$A$558:A742)</f>
        <v>181</v>
      </c>
      <c r="C742" s="24" t="s">
        <v>383</v>
      </c>
      <c r="D742" s="31">
        <f t="shared" si="189"/>
        <v>14315249.970000001</v>
      </c>
      <c r="E742" s="31">
        <v>0</v>
      </c>
      <c r="F742" s="31">
        <v>0</v>
      </c>
      <c r="G742" s="31">
        <v>0</v>
      </c>
      <c r="H742" s="31">
        <v>0</v>
      </c>
      <c r="I742" s="31">
        <v>0</v>
      </c>
      <c r="J742" s="31">
        <v>0</v>
      </c>
      <c r="K742" s="33">
        <v>0</v>
      </c>
      <c r="L742" s="31">
        <v>0</v>
      </c>
      <c r="M742" s="31">
        <v>0</v>
      </c>
      <c r="N742" s="31">
        <v>0</v>
      </c>
      <c r="O742" s="31">
        <v>0</v>
      </c>
      <c r="P742" s="31">
        <v>0</v>
      </c>
      <c r="Q742" s="31">
        <v>8596</v>
      </c>
      <c r="R742" s="31">
        <v>14103694.550000001</v>
      </c>
      <c r="S742" s="31">
        <v>0</v>
      </c>
      <c r="T742" s="31">
        <v>0</v>
      </c>
      <c r="U742" s="31">
        <v>0</v>
      </c>
      <c r="V742" s="31">
        <v>0</v>
      </c>
      <c r="W742" s="31">
        <v>0</v>
      </c>
      <c r="X742" s="31">
        <v>0</v>
      </c>
      <c r="Y742" s="31">
        <v>0</v>
      </c>
      <c r="Z742" s="31">
        <v>0</v>
      </c>
      <c r="AA742" s="31">
        <v>0</v>
      </c>
      <c r="AB742" s="31">
        <v>0</v>
      </c>
      <c r="AC742" s="31">
        <f>ROUND(R742*1.5%,2)</f>
        <v>211555.42</v>
      </c>
      <c r="AD742" s="179">
        <v>0</v>
      </c>
      <c r="AE742" s="31">
        <v>0</v>
      </c>
      <c r="AF742" s="35" t="s">
        <v>270</v>
      </c>
      <c r="AG742" s="34">
        <v>2021</v>
      </c>
      <c r="AH742" s="35">
        <v>2021</v>
      </c>
      <c r="AT742" s="20" t="e">
        <f>VLOOKUP(C742,AW:AX,2,FALSE)</f>
        <v>#N/A</v>
      </c>
      <c r="BZ742" s="71"/>
      <c r="CD742" s="20" t="e">
        <f t="shared" si="187"/>
        <v>#N/A</v>
      </c>
    </row>
    <row r="743" spans="1:82" ht="61.5" x14ac:dyDescent="0.85">
      <c r="A743" s="20">
        <v>1</v>
      </c>
      <c r="B743" s="66">
        <f>SUBTOTAL(103,$A$558:A743)</f>
        <v>182</v>
      </c>
      <c r="C743" s="24" t="s">
        <v>1181</v>
      </c>
      <c r="D743" s="31">
        <f t="shared" si="189"/>
        <v>4570000</v>
      </c>
      <c r="E743" s="31">
        <v>0</v>
      </c>
      <c r="F743" s="31">
        <v>0</v>
      </c>
      <c r="G743" s="31">
        <v>0</v>
      </c>
      <c r="H743" s="31">
        <v>0</v>
      </c>
      <c r="I743" s="31">
        <v>0</v>
      </c>
      <c r="J743" s="31">
        <v>0</v>
      </c>
      <c r="K743" s="33">
        <v>2</v>
      </c>
      <c r="L743" s="31">
        <v>4570000</v>
      </c>
      <c r="M743" s="31">
        <v>0</v>
      </c>
      <c r="N743" s="31">
        <v>0</v>
      </c>
      <c r="O743" s="31">
        <v>0</v>
      </c>
      <c r="P743" s="31">
        <v>0</v>
      </c>
      <c r="Q743" s="31">
        <v>0</v>
      </c>
      <c r="R743" s="31">
        <v>0</v>
      </c>
      <c r="S743" s="31">
        <v>0</v>
      </c>
      <c r="T743" s="31">
        <v>0</v>
      </c>
      <c r="U743" s="31">
        <v>0</v>
      </c>
      <c r="V743" s="31">
        <v>0</v>
      </c>
      <c r="W743" s="31">
        <v>0</v>
      </c>
      <c r="X743" s="31">
        <v>0</v>
      </c>
      <c r="Y743" s="31">
        <v>0</v>
      </c>
      <c r="Z743" s="31">
        <v>0</v>
      </c>
      <c r="AA743" s="31">
        <v>0</v>
      </c>
      <c r="AB743" s="31">
        <v>0</v>
      </c>
      <c r="AC743" s="31">
        <v>0</v>
      </c>
      <c r="AD743" s="31">
        <v>0</v>
      </c>
      <c r="AE743" s="31">
        <v>0</v>
      </c>
      <c r="AF743" s="35" t="s">
        <v>270</v>
      </c>
      <c r="AG743" s="34">
        <v>2021</v>
      </c>
      <c r="AH743" s="35" t="s">
        <v>270</v>
      </c>
      <c r="BZ743" s="71"/>
      <c r="CD743" s="20" t="e">
        <f t="shared" si="187"/>
        <v>#N/A</v>
      </c>
    </row>
    <row r="744" spans="1:82" ht="61.5" x14ac:dyDescent="0.85">
      <c r="A744" s="20">
        <v>1</v>
      </c>
      <c r="B744" s="66">
        <f>SUBTOTAL(103,$A$558:A744)</f>
        <v>183</v>
      </c>
      <c r="C744" s="24" t="s">
        <v>1965</v>
      </c>
      <c r="D744" s="31">
        <f t="shared" si="189"/>
        <v>6012472.5700000003</v>
      </c>
      <c r="E744" s="36">
        <v>0</v>
      </c>
      <c r="F744" s="36">
        <v>0</v>
      </c>
      <c r="G744" s="36">
        <v>0</v>
      </c>
      <c r="H744" s="36">
        <v>0</v>
      </c>
      <c r="I744" s="36">
        <v>0</v>
      </c>
      <c r="J744" s="36">
        <v>0</v>
      </c>
      <c r="K744" s="33">
        <v>0</v>
      </c>
      <c r="L744" s="31">
        <v>0</v>
      </c>
      <c r="M744" s="31">
        <v>0</v>
      </c>
      <c r="N744" s="31">
        <v>0</v>
      </c>
      <c r="O744" s="31">
        <v>0</v>
      </c>
      <c r="P744" s="31">
        <v>0</v>
      </c>
      <c r="Q744" s="31">
        <v>2496.9</v>
      </c>
      <c r="R744" s="31">
        <v>5726573.96</v>
      </c>
      <c r="S744" s="31">
        <v>0</v>
      </c>
      <c r="T744" s="31">
        <v>0</v>
      </c>
      <c r="U744" s="31">
        <v>0</v>
      </c>
      <c r="V744" s="31">
        <v>0</v>
      </c>
      <c r="W744" s="31">
        <v>0</v>
      </c>
      <c r="X744" s="31">
        <v>0</v>
      </c>
      <c r="Y744" s="31">
        <v>0</v>
      </c>
      <c r="Z744" s="31">
        <v>0</v>
      </c>
      <c r="AA744" s="31">
        <v>0</v>
      </c>
      <c r="AB744" s="31">
        <v>0</v>
      </c>
      <c r="AC744" s="31">
        <f>ROUND(R744*1.5%,2)</f>
        <v>85898.61</v>
      </c>
      <c r="AD744" s="31">
        <v>200000</v>
      </c>
      <c r="AE744" s="31">
        <v>0</v>
      </c>
      <c r="AF744" s="34">
        <v>2021</v>
      </c>
      <c r="AG744" s="34">
        <v>2021</v>
      </c>
      <c r="AH744" s="35">
        <v>2021</v>
      </c>
      <c r="AT744" s="20" t="e">
        <f t="shared" ref="AT744:AT757" si="190">VLOOKUP(C744,AW:AX,2,FALSE)</f>
        <v>#N/A</v>
      </c>
      <c r="BZ744" s="71"/>
      <c r="CD744" s="20" t="e">
        <f t="shared" si="187"/>
        <v>#N/A</v>
      </c>
    </row>
    <row r="745" spans="1:82" ht="61.5" x14ac:dyDescent="0.85">
      <c r="B745" s="24" t="s">
        <v>821</v>
      </c>
      <c r="C745" s="108"/>
      <c r="D745" s="195">
        <f t="shared" ref="D745:AE745" si="191">SUM(D746:D770)</f>
        <v>106368136.16000001</v>
      </c>
      <c r="E745" s="31">
        <f t="shared" si="191"/>
        <v>0</v>
      </c>
      <c r="F745" s="31">
        <f t="shared" si="191"/>
        <v>0</v>
      </c>
      <c r="G745" s="31">
        <f t="shared" si="191"/>
        <v>667639.41</v>
      </c>
      <c r="H745" s="31">
        <f t="shared" si="191"/>
        <v>153564.57</v>
      </c>
      <c r="I745" s="31">
        <f t="shared" si="191"/>
        <v>0</v>
      </c>
      <c r="J745" s="31">
        <f t="shared" si="191"/>
        <v>0</v>
      </c>
      <c r="K745" s="76">
        <f t="shared" si="191"/>
        <v>1</v>
      </c>
      <c r="L745" s="31">
        <f t="shared" si="191"/>
        <v>1806134.26</v>
      </c>
      <c r="M745" s="31">
        <f t="shared" si="191"/>
        <v>14778.56</v>
      </c>
      <c r="N745" s="31">
        <f t="shared" si="191"/>
        <v>73989063.680000022</v>
      </c>
      <c r="O745" s="31">
        <f t="shared" si="191"/>
        <v>0</v>
      </c>
      <c r="P745" s="31">
        <f t="shared" si="191"/>
        <v>0</v>
      </c>
      <c r="Q745" s="31">
        <f t="shared" si="191"/>
        <v>2448</v>
      </c>
      <c r="R745" s="31">
        <f t="shared" si="191"/>
        <v>12099320.48</v>
      </c>
      <c r="S745" s="31">
        <f t="shared" si="191"/>
        <v>365.8</v>
      </c>
      <c r="T745" s="31">
        <f t="shared" si="191"/>
        <v>5931913.29</v>
      </c>
      <c r="U745" s="31">
        <f t="shared" si="191"/>
        <v>8019245.6799999997</v>
      </c>
      <c r="V745" s="31">
        <f t="shared" si="191"/>
        <v>0</v>
      </c>
      <c r="W745" s="31">
        <f t="shared" si="191"/>
        <v>0</v>
      </c>
      <c r="X745" s="31">
        <f t="shared" si="191"/>
        <v>0</v>
      </c>
      <c r="Y745" s="31">
        <f t="shared" si="191"/>
        <v>0</v>
      </c>
      <c r="Z745" s="31">
        <f t="shared" si="191"/>
        <v>0</v>
      </c>
      <c r="AA745" s="31">
        <f t="shared" si="191"/>
        <v>0</v>
      </c>
      <c r="AB745" s="31">
        <f t="shared" si="191"/>
        <v>0</v>
      </c>
      <c r="AC745" s="31">
        <f t="shared" si="191"/>
        <v>1512911.2100000002</v>
      </c>
      <c r="AD745" s="31">
        <f t="shared" si="191"/>
        <v>2068343.58</v>
      </c>
      <c r="AE745" s="31">
        <f t="shared" si="191"/>
        <v>120000</v>
      </c>
      <c r="AF745" s="72" t="s">
        <v>757</v>
      </c>
      <c r="AG745" s="72" t="s">
        <v>757</v>
      </c>
      <c r="AH745" s="87" t="s">
        <v>757</v>
      </c>
      <c r="AT745" s="20" t="e">
        <f t="shared" si="190"/>
        <v>#N/A</v>
      </c>
      <c r="BZ745" s="71">
        <v>55019080.369999997</v>
      </c>
      <c r="CB745" s="71">
        <f>BZ745-D745</f>
        <v>-51349055.790000014</v>
      </c>
      <c r="CD745" s="20" t="e">
        <f t="shared" si="187"/>
        <v>#N/A</v>
      </c>
    </row>
    <row r="746" spans="1:82" ht="61.5" x14ac:dyDescent="0.85">
      <c r="A746" s="20">
        <v>1</v>
      </c>
      <c r="B746" s="66">
        <f>SUBTOTAL(103,$A$558:A746)</f>
        <v>184</v>
      </c>
      <c r="C746" s="24" t="s">
        <v>614</v>
      </c>
      <c r="D746" s="31">
        <f t="shared" ref="D746:D757" si="192">E746+F746+G746+H746+I746+J746+L746+N746+P746+R746+T746+U746+V746+W746+X746+Y746+Z746+AA746+AB746+AC746+AD746+AE746</f>
        <v>4305622.5199999996</v>
      </c>
      <c r="E746" s="36">
        <v>0</v>
      </c>
      <c r="F746" s="36">
        <v>0</v>
      </c>
      <c r="G746" s="36">
        <v>0</v>
      </c>
      <c r="H746" s="36">
        <v>0</v>
      </c>
      <c r="I746" s="36">
        <v>0</v>
      </c>
      <c r="J746" s="36">
        <v>0</v>
      </c>
      <c r="K746" s="33">
        <v>0</v>
      </c>
      <c r="L746" s="31">
        <v>0</v>
      </c>
      <c r="M746" s="31">
        <v>773</v>
      </c>
      <c r="N746" s="31">
        <v>4123973.4</v>
      </c>
      <c r="O746" s="31">
        <v>0</v>
      </c>
      <c r="P746" s="31">
        <v>0</v>
      </c>
      <c r="Q746" s="31">
        <v>0</v>
      </c>
      <c r="R746" s="31">
        <v>0</v>
      </c>
      <c r="S746" s="31">
        <v>0</v>
      </c>
      <c r="T746" s="31">
        <v>0</v>
      </c>
      <c r="U746" s="31">
        <v>0</v>
      </c>
      <c r="V746" s="31">
        <v>0</v>
      </c>
      <c r="W746" s="31">
        <v>0</v>
      </c>
      <c r="X746" s="31">
        <v>0</v>
      </c>
      <c r="Y746" s="31">
        <v>0</v>
      </c>
      <c r="Z746" s="31">
        <v>0</v>
      </c>
      <c r="AA746" s="31">
        <v>0</v>
      </c>
      <c r="AB746" s="31">
        <v>0</v>
      </c>
      <c r="AC746" s="31">
        <f t="shared" ref="AC746:AC754" si="193">ROUND(N746*1.5%,2)</f>
        <v>61859.6</v>
      </c>
      <c r="AD746" s="103">
        <v>119789.52</v>
      </c>
      <c r="AE746" s="31">
        <v>0</v>
      </c>
      <c r="AF746" s="34">
        <v>2021</v>
      </c>
      <c r="AG746" s="34">
        <v>2021</v>
      </c>
      <c r="AH746" s="35">
        <v>2021</v>
      </c>
      <c r="AT746" s="20" t="e">
        <f t="shared" si="190"/>
        <v>#N/A</v>
      </c>
      <c r="BZ746" s="71"/>
      <c r="CD746" s="20" t="e">
        <f t="shared" si="187"/>
        <v>#N/A</v>
      </c>
    </row>
    <row r="747" spans="1:82" ht="61.5" x14ac:dyDescent="0.85">
      <c r="A747" s="20">
        <v>1</v>
      </c>
      <c r="B747" s="66">
        <f>SUBTOTAL(103,$A$558:A747)</f>
        <v>185</v>
      </c>
      <c r="C747" s="24" t="s">
        <v>615</v>
      </c>
      <c r="D747" s="31">
        <f t="shared" si="192"/>
        <v>5849319.5699999994</v>
      </c>
      <c r="E747" s="36">
        <v>0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3">
        <v>0</v>
      </c>
      <c r="L747" s="31">
        <v>0</v>
      </c>
      <c r="M747" s="31">
        <v>1050</v>
      </c>
      <c r="N747" s="31">
        <v>5644811.9699999997</v>
      </c>
      <c r="O747" s="31">
        <v>0</v>
      </c>
      <c r="P747" s="31">
        <v>0</v>
      </c>
      <c r="Q747" s="31">
        <v>0</v>
      </c>
      <c r="R747" s="31">
        <v>0</v>
      </c>
      <c r="S747" s="31">
        <v>0</v>
      </c>
      <c r="T747" s="31">
        <v>0</v>
      </c>
      <c r="U747" s="31">
        <v>0</v>
      </c>
      <c r="V747" s="31">
        <v>0</v>
      </c>
      <c r="W747" s="31">
        <v>0</v>
      </c>
      <c r="X747" s="31">
        <v>0</v>
      </c>
      <c r="Y747" s="31">
        <v>0</v>
      </c>
      <c r="Z747" s="31">
        <v>0</v>
      </c>
      <c r="AA747" s="31">
        <v>0</v>
      </c>
      <c r="AB747" s="31">
        <v>0</v>
      </c>
      <c r="AC747" s="31">
        <f t="shared" si="193"/>
        <v>84672.18</v>
      </c>
      <c r="AD747" s="103">
        <v>119835.42</v>
      </c>
      <c r="AE747" s="31">
        <v>0</v>
      </c>
      <c r="AF747" s="34">
        <v>2021</v>
      </c>
      <c r="AG747" s="34">
        <v>2021</v>
      </c>
      <c r="AH747" s="35">
        <v>2021</v>
      </c>
      <c r="AT747" s="20" t="e">
        <f t="shared" si="190"/>
        <v>#N/A</v>
      </c>
      <c r="BZ747" s="71"/>
      <c r="CD747" s="20" t="e">
        <f t="shared" si="187"/>
        <v>#N/A</v>
      </c>
    </row>
    <row r="748" spans="1:82" ht="61.5" x14ac:dyDescent="0.85">
      <c r="A748" s="20">
        <v>1</v>
      </c>
      <c r="B748" s="66">
        <f>SUBTOTAL(103,$A$558:A748)</f>
        <v>186</v>
      </c>
      <c r="C748" s="24" t="s">
        <v>616</v>
      </c>
      <c r="D748" s="31">
        <f t="shared" si="192"/>
        <v>4691039.5599999996</v>
      </c>
      <c r="E748" s="36">
        <v>0</v>
      </c>
      <c r="F748" s="36">
        <v>0</v>
      </c>
      <c r="G748" s="36">
        <v>0</v>
      </c>
      <c r="H748" s="36">
        <v>0</v>
      </c>
      <c r="I748" s="36">
        <v>0</v>
      </c>
      <c r="J748" s="36">
        <v>0</v>
      </c>
      <c r="K748" s="33">
        <v>0</v>
      </c>
      <c r="L748" s="31">
        <v>0</v>
      </c>
      <c r="M748" s="31">
        <v>945</v>
      </c>
      <c r="N748" s="31">
        <v>4503665.0199999996</v>
      </c>
      <c r="O748" s="31">
        <v>0</v>
      </c>
      <c r="P748" s="31">
        <v>0</v>
      </c>
      <c r="Q748" s="31">
        <v>0</v>
      </c>
      <c r="R748" s="31">
        <v>0</v>
      </c>
      <c r="S748" s="31">
        <v>0</v>
      </c>
      <c r="T748" s="31">
        <v>0</v>
      </c>
      <c r="U748" s="31">
        <v>0</v>
      </c>
      <c r="V748" s="31">
        <v>0</v>
      </c>
      <c r="W748" s="31">
        <v>0</v>
      </c>
      <c r="X748" s="31">
        <v>0</v>
      </c>
      <c r="Y748" s="31">
        <v>0</v>
      </c>
      <c r="Z748" s="31">
        <v>0</v>
      </c>
      <c r="AA748" s="31">
        <v>0</v>
      </c>
      <c r="AB748" s="31">
        <v>0</v>
      </c>
      <c r="AC748" s="31">
        <f t="shared" si="193"/>
        <v>67554.98</v>
      </c>
      <c r="AD748" s="103">
        <v>119819.56</v>
      </c>
      <c r="AE748" s="31">
        <v>0</v>
      </c>
      <c r="AF748" s="34">
        <v>2021</v>
      </c>
      <c r="AG748" s="34">
        <v>2021</v>
      </c>
      <c r="AH748" s="35">
        <v>2021</v>
      </c>
      <c r="AT748" s="20" t="e">
        <f t="shared" si="190"/>
        <v>#N/A</v>
      </c>
      <c r="BZ748" s="71"/>
      <c r="CD748" s="20" t="e">
        <f t="shared" si="187"/>
        <v>#N/A</v>
      </c>
    </row>
    <row r="749" spans="1:82" ht="61.5" x14ac:dyDescent="0.85">
      <c r="A749" s="20">
        <v>1</v>
      </c>
      <c r="B749" s="66">
        <f>SUBTOTAL(103,$A$558:A749)</f>
        <v>187</v>
      </c>
      <c r="C749" s="24" t="s">
        <v>620</v>
      </c>
      <c r="D749" s="31">
        <f t="shared" si="192"/>
        <v>3307936.78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3">
        <v>0</v>
      </c>
      <c r="L749" s="31">
        <v>0</v>
      </c>
      <c r="M749" s="31">
        <v>650</v>
      </c>
      <c r="N749" s="31">
        <v>3195714.29</v>
      </c>
      <c r="O749" s="31">
        <v>0</v>
      </c>
      <c r="P749" s="31">
        <v>0</v>
      </c>
      <c r="Q749" s="31">
        <v>0</v>
      </c>
      <c r="R749" s="31">
        <v>0</v>
      </c>
      <c r="S749" s="31">
        <v>0</v>
      </c>
      <c r="T749" s="31">
        <v>0</v>
      </c>
      <c r="U749" s="31">
        <v>0</v>
      </c>
      <c r="V749" s="31">
        <v>0</v>
      </c>
      <c r="W749" s="31">
        <v>0</v>
      </c>
      <c r="X749" s="31">
        <v>0</v>
      </c>
      <c r="Y749" s="31">
        <v>0</v>
      </c>
      <c r="Z749" s="31">
        <v>0</v>
      </c>
      <c r="AA749" s="31">
        <v>0</v>
      </c>
      <c r="AB749" s="31">
        <v>0</v>
      </c>
      <c r="AC749" s="31">
        <f t="shared" si="193"/>
        <v>47935.71</v>
      </c>
      <c r="AD749" s="103">
        <v>64286.78</v>
      </c>
      <c r="AE749" s="31">
        <v>0</v>
      </c>
      <c r="AF749" s="34">
        <v>2021</v>
      </c>
      <c r="AG749" s="34">
        <v>2021</v>
      </c>
      <c r="AH749" s="35">
        <v>2021</v>
      </c>
      <c r="AT749" s="20">
        <f t="shared" si="190"/>
        <v>1</v>
      </c>
      <c r="BZ749" s="71"/>
      <c r="CD749" s="20" t="e">
        <f t="shared" si="187"/>
        <v>#N/A</v>
      </c>
    </row>
    <row r="750" spans="1:82" ht="61.5" x14ac:dyDescent="0.85">
      <c r="A750" s="20">
        <v>1</v>
      </c>
      <c r="B750" s="66">
        <f>SUBTOTAL(103,$A$558:A750)</f>
        <v>188</v>
      </c>
      <c r="C750" s="24" t="s">
        <v>621</v>
      </c>
      <c r="D750" s="31">
        <f t="shared" si="192"/>
        <v>5135695.41</v>
      </c>
      <c r="E750" s="36">
        <v>0</v>
      </c>
      <c r="F750" s="36">
        <v>0</v>
      </c>
      <c r="G750" s="36">
        <v>0</v>
      </c>
      <c r="H750" s="36">
        <v>0</v>
      </c>
      <c r="I750" s="36">
        <v>0</v>
      </c>
      <c r="J750" s="36">
        <v>0</v>
      </c>
      <c r="K750" s="33">
        <v>0</v>
      </c>
      <c r="L750" s="31">
        <v>0</v>
      </c>
      <c r="M750" s="31">
        <v>1040</v>
      </c>
      <c r="N750" s="31">
        <v>4941714.29</v>
      </c>
      <c r="O750" s="31">
        <v>0</v>
      </c>
      <c r="P750" s="31">
        <v>0</v>
      </c>
      <c r="Q750" s="31">
        <v>0</v>
      </c>
      <c r="R750" s="31">
        <v>0</v>
      </c>
      <c r="S750" s="31">
        <v>0</v>
      </c>
      <c r="T750" s="31">
        <v>0</v>
      </c>
      <c r="U750" s="31">
        <v>0</v>
      </c>
      <c r="V750" s="31">
        <v>0</v>
      </c>
      <c r="W750" s="31">
        <v>0</v>
      </c>
      <c r="X750" s="31">
        <v>0</v>
      </c>
      <c r="Y750" s="31">
        <v>0</v>
      </c>
      <c r="Z750" s="31">
        <v>0</v>
      </c>
      <c r="AA750" s="31">
        <v>0</v>
      </c>
      <c r="AB750" s="31">
        <v>0</v>
      </c>
      <c r="AC750" s="31">
        <f t="shared" si="193"/>
        <v>74125.710000000006</v>
      </c>
      <c r="AD750" s="103">
        <v>119855.41</v>
      </c>
      <c r="AE750" s="31">
        <v>0</v>
      </c>
      <c r="AF750" s="34">
        <v>2021</v>
      </c>
      <c r="AG750" s="34">
        <v>2021</v>
      </c>
      <c r="AH750" s="35">
        <v>2021</v>
      </c>
      <c r="AT750" s="20" t="e">
        <f t="shared" si="190"/>
        <v>#N/A</v>
      </c>
      <c r="BZ750" s="71"/>
      <c r="CD750" s="20" t="e">
        <f t="shared" si="187"/>
        <v>#N/A</v>
      </c>
    </row>
    <row r="751" spans="1:82" ht="61.5" x14ac:dyDescent="0.85">
      <c r="A751" s="20">
        <v>1</v>
      </c>
      <c r="B751" s="66">
        <f>SUBTOTAL(103,$A$558:A751)</f>
        <v>189</v>
      </c>
      <c r="C751" s="24" t="s">
        <v>619</v>
      </c>
      <c r="D751" s="31">
        <f t="shared" si="192"/>
        <v>4861949.2</v>
      </c>
      <c r="E751" s="36">
        <v>0</v>
      </c>
      <c r="F751" s="36">
        <v>0</v>
      </c>
      <c r="G751" s="36">
        <v>0</v>
      </c>
      <c r="H751" s="36">
        <v>0</v>
      </c>
      <c r="I751" s="36">
        <v>0</v>
      </c>
      <c r="J751" s="36">
        <v>0</v>
      </c>
      <c r="K751" s="33">
        <v>0</v>
      </c>
      <c r="L751" s="31">
        <v>0</v>
      </c>
      <c r="M751" s="31">
        <v>937</v>
      </c>
      <c r="N751" s="31">
        <v>4671997.04</v>
      </c>
      <c r="O751" s="31">
        <v>0</v>
      </c>
      <c r="P751" s="31">
        <v>0</v>
      </c>
      <c r="Q751" s="31">
        <v>0</v>
      </c>
      <c r="R751" s="31">
        <v>0</v>
      </c>
      <c r="S751" s="31">
        <v>0</v>
      </c>
      <c r="T751" s="31">
        <v>0</v>
      </c>
      <c r="U751" s="31">
        <v>0</v>
      </c>
      <c r="V751" s="31">
        <v>0</v>
      </c>
      <c r="W751" s="31">
        <v>0</v>
      </c>
      <c r="X751" s="31">
        <v>0</v>
      </c>
      <c r="Y751" s="31">
        <v>0</v>
      </c>
      <c r="Z751" s="31">
        <v>0</v>
      </c>
      <c r="AA751" s="31">
        <v>0</v>
      </c>
      <c r="AB751" s="31">
        <v>0</v>
      </c>
      <c r="AC751" s="31">
        <f t="shared" si="193"/>
        <v>70079.960000000006</v>
      </c>
      <c r="AD751" s="103">
        <v>119872.2</v>
      </c>
      <c r="AE751" s="31">
        <v>0</v>
      </c>
      <c r="AF751" s="34">
        <v>2021</v>
      </c>
      <c r="AG751" s="34">
        <v>2021</v>
      </c>
      <c r="AH751" s="35">
        <v>2021</v>
      </c>
      <c r="AT751" s="20">
        <f t="shared" si="190"/>
        <v>1</v>
      </c>
      <c r="BZ751" s="71"/>
      <c r="CD751" s="20" t="e">
        <f t="shared" si="187"/>
        <v>#N/A</v>
      </c>
    </row>
    <row r="752" spans="1:82" ht="61.5" x14ac:dyDescent="0.85">
      <c r="A752" s="20">
        <v>1</v>
      </c>
      <c r="B752" s="66">
        <f>SUBTOTAL(103,$A$558:A752)</f>
        <v>190</v>
      </c>
      <c r="C752" s="24" t="s">
        <v>611</v>
      </c>
      <c r="D752" s="31">
        <f t="shared" si="192"/>
        <v>2852459.42</v>
      </c>
      <c r="E752" s="36">
        <v>0</v>
      </c>
      <c r="F752" s="36">
        <v>0</v>
      </c>
      <c r="G752" s="36">
        <v>0</v>
      </c>
      <c r="H752" s="36">
        <v>0</v>
      </c>
      <c r="I752" s="36">
        <v>0</v>
      </c>
      <c r="J752" s="36">
        <v>0</v>
      </c>
      <c r="K752" s="33">
        <v>0</v>
      </c>
      <c r="L752" s="31">
        <v>0</v>
      </c>
      <c r="M752" s="31">
        <v>559.6</v>
      </c>
      <c r="N752" s="31">
        <v>2730710.94</v>
      </c>
      <c r="O752" s="31">
        <v>0</v>
      </c>
      <c r="P752" s="31">
        <v>0</v>
      </c>
      <c r="Q752" s="31">
        <v>0</v>
      </c>
      <c r="R752" s="31">
        <v>0</v>
      </c>
      <c r="S752" s="31">
        <v>0</v>
      </c>
      <c r="T752" s="31">
        <v>0</v>
      </c>
      <c r="U752" s="31">
        <v>0</v>
      </c>
      <c r="V752" s="31">
        <v>0</v>
      </c>
      <c r="W752" s="31">
        <v>0</v>
      </c>
      <c r="X752" s="31">
        <v>0</v>
      </c>
      <c r="Y752" s="31">
        <v>0</v>
      </c>
      <c r="Z752" s="31">
        <v>0</v>
      </c>
      <c r="AA752" s="31">
        <v>0</v>
      </c>
      <c r="AB752" s="31">
        <v>0</v>
      </c>
      <c r="AC752" s="31">
        <f t="shared" si="193"/>
        <v>40960.660000000003</v>
      </c>
      <c r="AD752" s="103">
        <v>80787.820000000007</v>
      </c>
      <c r="AE752" s="31">
        <v>0</v>
      </c>
      <c r="AF752" s="34">
        <v>2021</v>
      </c>
      <c r="AG752" s="34">
        <v>2021</v>
      </c>
      <c r="AH752" s="35">
        <v>2021</v>
      </c>
      <c r="AT752" s="20" t="e">
        <f t="shared" si="190"/>
        <v>#N/A</v>
      </c>
      <c r="BZ752" s="71"/>
      <c r="CD752" s="20" t="e">
        <f t="shared" si="187"/>
        <v>#N/A</v>
      </c>
    </row>
    <row r="753" spans="1:82" ht="61.5" x14ac:dyDescent="0.85">
      <c r="A753" s="20">
        <v>1</v>
      </c>
      <c r="B753" s="66">
        <f>SUBTOTAL(103,$A$558:A753)</f>
        <v>191</v>
      </c>
      <c r="C753" s="24" t="s">
        <v>625</v>
      </c>
      <c r="D753" s="31">
        <f t="shared" si="192"/>
        <v>4893264.82</v>
      </c>
      <c r="E753" s="36">
        <v>0</v>
      </c>
      <c r="F753" s="36">
        <v>0</v>
      </c>
      <c r="G753" s="36">
        <v>0</v>
      </c>
      <c r="H753" s="36">
        <v>0</v>
      </c>
      <c r="I753" s="36">
        <v>0</v>
      </c>
      <c r="J753" s="36">
        <v>0</v>
      </c>
      <c r="K753" s="33">
        <v>0</v>
      </c>
      <c r="L753" s="31">
        <v>0</v>
      </c>
      <c r="M753" s="31">
        <v>943</v>
      </c>
      <c r="N753" s="31">
        <v>4702860.0999999996</v>
      </c>
      <c r="O753" s="31">
        <v>0</v>
      </c>
      <c r="P753" s="31">
        <v>0</v>
      </c>
      <c r="Q753" s="31">
        <v>0</v>
      </c>
      <c r="R753" s="31">
        <v>0</v>
      </c>
      <c r="S753" s="31">
        <v>0</v>
      </c>
      <c r="T753" s="31">
        <v>0</v>
      </c>
      <c r="U753" s="31">
        <v>0</v>
      </c>
      <c r="V753" s="31">
        <v>0</v>
      </c>
      <c r="W753" s="31">
        <v>0</v>
      </c>
      <c r="X753" s="31">
        <v>0</v>
      </c>
      <c r="Y753" s="31">
        <v>0</v>
      </c>
      <c r="Z753" s="31">
        <v>0</v>
      </c>
      <c r="AA753" s="31">
        <v>0</v>
      </c>
      <c r="AB753" s="31">
        <v>0</v>
      </c>
      <c r="AC753" s="31">
        <f t="shared" si="193"/>
        <v>70542.899999999994</v>
      </c>
      <c r="AD753" s="103">
        <v>119861.82</v>
      </c>
      <c r="AE753" s="31">
        <v>0</v>
      </c>
      <c r="AF753" s="34">
        <v>2021</v>
      </c>
      <c r="AG753" s="34">
        <v>2021</v>
      </c>
      <c r="AH753" s="35">
        <v>2021</v>
      </c>
      <c r="AT753" s="20" t="e">
        <f t="shared" si="190"/>
        <v>#N/A</v>
      </c>
      <c r="BZ753" s="71"/>
      <c r="CD753" s="20" t="e">
        <f t="shared" si="187"/>
        <v>#N/A</v>
      </c>
    </row>
    <row r="754" spans="1:82" ht="61.5" x14ac:dyDescent="0.85">
      <c r="A754" s="20">
        <v>1</v>
      </c>
      <c r="B754" s="66">
        <f>SUBTOTAL(103,$A$558:A754)</f>
        <v>192</v>
      </c>
      <c r="C754" s="24" t="s">
        <v>624</v>
      </c>
      <c r="D754" s="31">
        <f t="shared" si="192"/>
        <v>2680854.0299999998</v>
      </c>
      <c r="E754" s="36">
        <v>0</v>
      </c>
      <c r="F754" s="36">
        <v>0</v>
      </c>
      <c r="G754" s="36">
        <v>0</v>
      </c>
      <c r="H754" s="36">
        <v>0</v>
      </c>
      <c r="I754" s="36">
        <v>0</v>
      </c>
      <c r="J754" s="36">
        <v>0</v>
      </c>
      <c r="K754" s="33">
        <v>0</v>
      </c>
      <c r="L754" s="31">
        <v>0</v>
      </c>
      <c r="M754" s="31">
        <v>530</v>
      </c>
      <c r="N754" s="31">
        <v>2578453.2000000002</v>
      </c>
      <c r="O754" s="31">
        <v>0</v>
      </c>
      <c r="P754" s="31">
        <v>0</v>
      </c>
      <c r="Q754" s="31">
        <v>0</v>
      </c>
      <c r="R754" s="31">
        <v>0</v>
      </c>
      <c r="S754" s="31">
        <v>0</v>
      </c>
      <c r="T754" s="31">
        <v>0</v>
      </c>
      <c r="U754" s="31">
        <v>0</v>
      </c>
      <c r="V754" s="31">
        <v>0</v>
      </c>
      <c r="W754" s="31">
        <v>0</v>
      </c>
      <c r="X754" s="31">
        <v>0</v>
      </c>
      <c r="Y754" s="31">
        <v>0</v>
      </c>
      <c r="Z754" s="31">
        <v>0</v>
      </c>
      <c r="AA754" s="31">
        <v>0</v>
      </c>
      <c r="AB754" s="31">
        <v>0</v>
      </c>
      <c r="AC754" s="31">
        <f t="shared" si="193"/>
        <v>38676.800000000003</v>
      </c>
      <c r="AD754" s="103">
        <v>63724.03</v>
      </c>
      <c r="AE754" s="31">
        <v>0</v>
      </c>
      <c r="AF754" s="34">
        <v>2021</v>
      </c>
      <c r="AG754" s="34">
        <v>2021</v>
      </c>
      <c r="AH754" s="35">
        <v>2021</v>
      </c>
      <c r="AT754" s="20" t="e">
        <f t="shared" si="190"/>
        <v>#N/A</v>
      </c>
      <c r="BZ754" s="71"/>
      <c r="CD754" s="20" t="e">
        <f t="shared" si="187"/>
        <v>#N/A</v>
      </c>
    </row>
    <row r="755" spans="1:82" ht="61.5" x14ac:dyDescent="0.85">
      <c r="A755" s="20">
        <v>1</v>
      </c>
      <c r="B755" s="66">
        <f>SUBTOTAL(103,$A$558:A755)</f>
        <v>193</v>
      </c>
      <c r="C755" s="24" t="s">
        <v>629</v>
      </c>
      <c r="D755" s="31">
        <f t="shared" si="192"/>
        <v>1806134.26</v>
      </c>
      <c r="E755" s="36">
        <v>0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74">
        <v>1</v>
      </c>
      <c r="L755" s="31">
        <v>1806134.26</v>
      </c>
      <c r="M755" s="31">
        <v>0</v>
      </c>
      <c r="N755" s="31">
        <v>0</v>
      </c>
      <c r="O755" s="31">
        <v>0</v>
      </c>
      <c r="P755" s="31">
        <v>0</v>
      </c>
      <c r="Q755" s="31">
        <v>0</v>
      </c>
      <c r="R755" s="31">
        <v>0</v>
      </c>
      <c r="S755" s="31">
        <v>0</v>
      </c>
      <c r="T755" s="31">
        <v>0</v>
      </c>
      <c r="U755" s="31">
        <v>0</v>
      </c>
      <c r="V755" s="31">
        <v>0</v>
      </c>
      <c r="W755" s="31">
        <v>0</v>
      </c>
      <c r="X755" s="31">
        <v>0</v>
      </c>
      <c r="Y755" s="31">
        <v>0</v>
      </c>
      <c r="Z755" s="31">
        <v>0</v>
      </c>
      <c r="AA755" s="31">
        <v>0</v>
      </c>
      <c r="AB755" s="31">
        <v>0</v>
      </c>
      <c r="AC755" s="31">
        <v>0</v>
      </c>
      <c r="AD755" s="31">
        <v>0</v>
      </c>
      <c r="AE755" s="31">
        <v>0</v>
      </c>
      <c r="AF755" s="34" t="s">
        <v>270</v>
      </c>
      <c r="AG755" s="34">
        <v>2021</v>
      </c>
      <c r="AH755" s="35" t="s">
        <v>270</v>
      </c>
      <c r="AT755" s="20" t="e">
        <f t="shared" si="190"/>
        <v>#N/A</v>
      </c>
      <c r="BZ755" s="71"/>
      <c r="CD755" s="20" t="e">
        <f t="shared" si="187"/>
        <v>#N/A</v>
      </c>
    </row>
    <row r="756" spans="1:82" ht="61.5" x14ac:dyDescent="0.85">
      <c r="A756" s="20">
        <v>1</v>
      </c>
      <c r="B756" s="66">
        <f>SUBTOTAL(103,$A$558:A756)</f>
        <v>194</v>
      </c>
      <c r="C756" s="24" t="s">
        <v>636</v>
      </c>
      <c r="D756" s="31">
        <f t="shared" si="192"/>
        <v>5435521.2799999993</v>
      </c>
      <c r="E756" s="36">
        <v>0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3">
        <v>0</v>
      </c>
      <c r="L756" s="31">
        <v>0</v>
      </c>
      <c r="M756" s="31">
        <v>1100</v>
      </c>
      <c r="N756" s="31">
        <v>5237044.34</v>
      </c>
      <c r="O756" s="31">
        <v>0</v>
      </c>
      <c r="P756" s="31">
        <v>0</v>
      </c>
      <c r="Q756" s="31">
        <v>0</v>
      </c>
      <c r="R756" s="31">
        <v>0</v>
      </c>
      <c r="S756" s="31">
        <v>0</v>
      </c>
      <c r="T756" s="31">
        <v>0</v>
      </c>
      <c r="U756" s="31">
        <v>0</v>
      </c>
      <c r="V756" s="31">
        <v>0</v>
      </c>
      <c r="W756" s="31">
        <v>0</v>
      </c>
      <c r="X756" s="31">
        <v>0</v>
      </c>
      <c r="Y756" s="31">
        <v>0</v>
      </c>
      <c r="Z756" s="31">
        <v>0</v>
      </c>
      <c r="AA756" s="31">
        <v>0</v>
      </c>
      <c r="AB756" s="31">
        <v>0</v>
      </c>
      <c r="AC756" s="31">
        <f t="shared" ref="AC756:AC762" si="194">ROUND(N756*1.5%,2)</f>
        <v>78555.67</v>
      </c>
      <c r="AD756" s="103">
        <v>119921.27</v>
      </c>
      <c r="AE756" s="31">
        <v>0</v>
      </c>
      <c r="AF756" s="34">
        <v>2021</v>
      </c>
      <c r="AG756" s="34">
        <v>2021</v>
      </c>
      <c r="AH756" s="35">
        <v>2021</v>
      </c>
      <c r="AT756" s="20" t="e">
        <f t="shared" si="190"/>
        <v>#N/A</v>
      </c>
      <c r="BZ756" s="71"/>
      <c r="CD756" s="20" t="e">
        <f t="shared" si="187"/>
        <v>#N/A</v>
      </c>
    </row>
    <row r="757" spans="1:82" ht="61.5" x14ac:dyDescent="0.85">
      <c r="A757" s="20">
        <v>1</v>
      </c>
      <c r="B757" s="66">
        <f>SUBTOTAL(103,$A$558:A757)</f>
        <v>195</v>
      </c>
      <c r="C757" s="24" t="s">
        <v>627</v>
      </c>
      <c r="D757" s="31">
        <f t="shared" si="192"/>
        <v>4333883.8899999997</v>
      </c>
      <c r="E757" s="36">
        <v>0</v>
      </c>
      <c r="F757" s="36">
        <v>0</v>
      </c>
      <c r="G757" s="36">
        <v>0</v>
      </c>
      <c r="H757" s="36">
        <v>0</v>
      </c>
      <c r="I757" s="36">
        <v>0</v>
      </c>
      <c r="J757" s="36">
        <v>0</v>
      </c>
      <c r="K757" s="33">
        <v>0</v>
      </c>
      <c r="L757" s="31">
        <v>0</v>
      </c>
      <c r="M757" s="31">
        <v>873.5</v>
      </c>
      <c r="N757" s="31">
        <v>4151730.05</v>
      </c>
      <c r="O757" s="31">
        <v>0</v>
      </c>
      <c r="P757" s="31">
        <v>0</v>
      </c>
      <c r="Q757" s="31">
        <v>0</v>
      </c>
      <c r="R757" s="31">
        <v>0</v>
      </c>
      <c r="S757" s="31">
        <v>0</v>
      </c>
      <c r="T757" s="31">
        <v>0</v>
      </c>
      <c r="U757" s="31">
        <v>0</v>
      </c>
      <c r="V757" s="31">
        <v>0</v>
      </c>
      <c r="W757" s="31">
        <v>0</v>
      </c>
      <c r="X757" s="31">
        <v>0</v>
      </c>
      <c r="Y757" s="31">
        <v>0</v>
      </c>
      <c r="Z757" s="31">
        <v>0</v>
      </c>
      <c r="AA757" s="31">
        <v>0</v>
      </c>
      <c r="AB757" s="31">
        <v>0</v>
      </c>
      <c r="AC757" s="31">
        <f t="shared" si="194"/>
        <v>62275.95</v>
      </c>
      <c r="AD757" s="103">
        <v>119877.89</v>
      </c>
      <c r="AE757" s="31">
        <v>0</v>
      </c>
      <c r="AF757" s="34">
        <v>2021</v>
      </c>
      <c r="AG757" s="34">
        <v>2021</v>
      </c>
      <c r="AH757" s="35">
        <v>2021</v>
      </c>
      <c r="AT757" s="20" t="e">
        <f t="shared" si="190"/>
        <v>#N/A</v>
      </c>
      <c r="BZ757" s="71"/>
      <c r="CD757" s="20" t="e">
        <f t="shared" si="187"/>
        <v>#N/A</v>
      </c>
    </row>
    <row r="758" spans="1:82" ht="61.5" x14ac:dyDescent="0.85">
      <c r="A758" s="20">
        <v>1</v>
      </c>
      <c r="B758" s="66">
        <f>SUBTOTAL(103,$A$558:A758)</f>
        <v>196</v>
      </c>
      <c r="C758" s="24" t="s">
        <v>1607</v>
      </c>
      <c r="D758" s="31">
        <f t="shared" ref="D758:D762" si="195">E758+F758+G758+H758+I758+J758+L758+N758+P758+R758+T758+U758+V758+W758+X758+Y758+Z758+AA758+AB758+AC758+AD758+AE758</f>
        <v>3806073.8200000003</v>
      </c>
      <c r="E758" s="31">
        <v>0</v>
      </c>
      <c r="F758" s="31">
        <v>0</v>
      </c>
      <c r="G758" s="31">
        <v>0</v>
      </c>
      <c r="H758" s="31">
        <v>0</v>
      </c>
      <c r="I758" s="31">
        <v>0</v>
      </c>
      <c r="J758" s="31">
        <v>0</v>
      </c>
      <c r="K758" s="33">
        <v>0</v>
      </c>
      <c r="L758" s="31">
        <v>0</v>
      </c>
      <c r="M758" s="31">
        <v>766</v>
      </c>
      <c r="N758" s="31">
        <f>3812708.18-206610.58+59776.89</f>
        <v>3665874.49</v>
      </c>
      <c r="O758" s="31">
        <v>0</v>
      </c>
      <c r="P758" s="31">
        <v>0</v>
      </c>
      <c r="Q758" s="31">
        <v>0</v>
      </c>
      <c r="R758" s="31">
        <v>0</v>
      </c>
      <c r="S758" s="31">
        <v>0</v>
      </c>
      <c r="T758" s="31">
        <v>0</v>
      </c>
      <c r="U758" s="31">
        <v>0</v>
      </c>
      <c r="V758" s="31">
        <v>0</v>
      </c>
      <c r="W758" s="31">
        <v>0</v>
      </c>
      <c r="X758" s="31">
        <v>0</v>
      </c>
      <c r="Y758" s="31">
        <v>0</v>
      </c>
      <c r="Z758" s="31">
        <v>0</v>
      </c>
      <c r="AA758" s="31">
        <v>0</v>
      </c>
      <c r="AB758" s="31">
        <v>0</v>
      </c>
      <c r="AC758" s="31">
        <f t="shared" si="194"/>
        <v>54988.12</v>
      </c>
      <c r="AD758" s="103">
        <v>85211.21</v>
      </c>
      <c r="AE758" s="31">
        <v>0</v>
      </c>
      <c r="AF758" s="34">
        <v>2021</v>
      </c>
      <c r="AG758" s="34">
        <v>2021</v>
      </c>
      <c r="AH758" s="35">
        <v>2021</v>
      </c>
      <c r="BZ758" s="71"/>
      <c r="CD758" s="20" t="e">
        <f t="shared" si="187"/>
        <v>#N/A</v>
      </c>
    </row>
    <row r="759" spans="1:82" ht="61.5" x14ac:dyDescent="0.85">
      <c r="A759" s="20">
        <v>1</v>
      </c>
      <c r="B759" s="66">
        <f>SUBTOTAL(103,$A$558:A759)</f>
        <v>197</v>
      </c>
      <c r="C759" s="24" t="s">
        <v>1630</v>
      </c>
      <c r="D759" s="31">
        <f t="shared" si="195"/>
        <v>2693070.98</v>
      </c>
      <c r="E759" s="31">
        <v>0</v>
      </c>
      <c r="F759" s="31">
        <v>0</v>
      </c>
      <c r="G759" s="31">
        <v>0</v>
      </c>
      <c r="H759" s="31">
        <v>0</v>
      </c>
      <c r="I759" s="31">
        <v>0</v>
      </c>
      <c r="J759" s="31">
        <v>0</v>
      </c>
      <c r="K759" s="33">
        <v>0</v>
      </c>
      <c r="L759" s="31">
        <v>0</v>
      </c>
      <c r="M759" s="31">
        <v>729.73</v>
      </c>
      <c r="N759" s="31">
        <v>2554919.06</v>
      </c>
      <c r="O759" s="31">
        <v>0</v>
      </c>
      <c r="P759" s="31">
        <v>0</v>
      </c>
      <c r="Q759" s="31">
        <v>0</v>
      </c>
      <c r="R759" s="31">
        <v>0</v>
      </c>
      <c r="S759" s="31">
        <v>0</v>
      </c>
      <c r="T759" s="31">
        <v>0</v>
      </c>
      <c r="U759" s="31">
        <v>0</v>
      </c>
      <c r="V759" s="31">
        <v>0</v>
      </c>
      <c r="W759" s="31">
        <v>0</v>
      </c>
      <c r="X759" s="31">
        <v>0</v>
      </c>
      <c r="Y759" s="31">
        <v>0</v>
      </c>
      <c r="Z759" s="31">
        <v>0</v>
      </c>
      <c r="AA759" s="31">
        <v>0</v>
      </c>
      <c r="AB759" s="31">
        <v>0</v>
      </c>
      <c r="AC759" s="31">
        <f t="shared" si="194"/>
        <v>38323.79</v>
      </c>
      <c r="AD759" s="103">
        <v>99828.13</v>
      </c>
      <c r="AE759" s="31">
        <v>0</v>
      </c>
      <c r="AF759" s="34">
        <v>2021</v>
      </c>
      <c r="AG759" s="34">
        <v>2021</v>
      </c>
      <c r="AH759" s="35">
        <v>2021</v>
      </c>
      <c r="BZ759" s="71"/>
      <c r="CD759" s="20" t="e">
        <f t="shared" si="187"/>
        <v>#N/A</v>
      </c>
    </row>
    <row r="760" spans="1:82" ht="61.5" x14ac:dyDescent="0.85">
      <c r="A760" s="20">
        <v>1</v>
      </c>
      <c r="B760" s="66">
        <f>SUBTOTAL(103,$A$558:A760)</f>
        <v>198</v>
      </c>
      <c r="C760" s="24" t="s">
        <v>1631</v>
      </c>
      <c r="D760" s="31">
        <f t="shared" si="195"/>
        <v>1966768.51</v>
      </c>
      <c r="E760" s="31">
        <v>0</v>
      </c>
      <c r="F760" s="31">
        <v>0</v>
      </c>
      <c r="G760" s="31">
        <v>0</v>
      </c>
      <c r="H760" s="31">
        <v>0</v>
      </c>
      <c r="I760" s="31">
        <v>0</v>
      </c>
      <c r="J760" s="31">
        <v>0</v>
      </c>
      <c r="K760" s="33">
        <v>0</v>
      </c>
      <c r="L760" s="31">
        <v>0</v>
      </c>
      <c r="M760" s="31">
        <v>383.77</v>
      </c>
      <c r="N760" s="31">
        <v>1875832.7</v>
      </c>
      <c r="O760" s="31">
        <v>0</v>
      </c>
      <c r="P760" s="31">
        <v>0</v>
      </c>
      <c r="Q760" s="31">
        <v>0</v>
      </c>
      <c r="R760" s="31">
        <v>0</v>
      </c>
      <c r="S760" s="31">
        <v>0</v>
      </c>
      <c r="T760" s="31">
        <v>0</v>
      </c>
      <c r="U760" s="31">
        <v>0</v>
      </c>
      <c r="V760" s="31">
        <v>0</v>
      </c>
      <c r="W760" s="31">
        <v>0</v>
      </c>
      <c r="X760" s="31">
        <v>0</v>
      </c>
      <c r="Y760" s="31">
        <v>0</v>
      </c>
      <c r="Z760" s="31">
        <v>0</v>
      </c>
      <c r="AA760" s="31">
        <v>0</v>
      </c>
      <c r="AB760" s="31">
        <v>0</v>
      </c>
      <c r="AC760" s="31">
        <f t="shared" si="194"/>
        <v>28137.49</v>
      </c>
      <c r="AD760" s="103">
        <v>62798.32</v>
      </c>
      <c r="AE760" s="31">
        <v>0</v>
      </c>
      <c r="AF760" s="34">
        <v>2021</v>
      </c>
      <c r="AG760" s="34">
        <v>2021</v>
      </c>
      <c r="AH760" s="35">
        <v>2021</v>
      </c>
      <c r="BZ760" s="71"/>
      <c r="CD760" s="20" t="e">
        <f t="shared" si="187"/>
        <v>#N/A</v>
      </c>
    </row>
    <row r="761" spans="1:82" ht="61.5" x14ac:dyDescent="0.85">
      <c r="A761" s="20">
        <v>1</v>
      </c>
      <c r="B761" s="66">
        <f>SUBTOTAL(103,$A$558:A761)</f>
        <v>199</v>
      </c>
      <c r="C761" s="24" t="s">
        <v>1632</v>
      </c>
      <c r="D761" s="31">
        <f t="shared" si="195"/>
        <v>3766350.55</v>
      </c>
      <c r="E761" s="31">
        <v>0</v>
      </c>
      <c r="F761" s="31">
        <v>0</v>
      </c>
      <c r="G761" s="31">
        <v>0</v>
      </c>
      <c r="H761" s="31">
        <v>0</v>
      </c>
      <c r="I761" s="31">
        <v>0</v>
      </c>
      <c r="J761" s="31">
        <v>0</v>
      </c>
      <c r="K761" s="33">
        <v>0</v>
      </c>
      <c r="L761" s="31">
        <v>0</v>
      </c>
      <c r="M761" s="31">
        <v>726.8</v>
      </c>
      <c r="N761" s="31">
        <v>3620890.88</v>
      </c>
      <c r="O761" s="31">
        <v>0</v>
      </c>
      <c r="P761" s="31">
        <v>0</v>
      </c>
      <c r="Q761" s="31">
        <v>0</v>
      </c>
      <c r="R761" s="31">
        <v>0</v>
      </c>
      <c r="S761" s="31">
        <v>0</v>
      </c>
      <c r="T761" s="31">
        <v>0</v>
      </c>
      <c r="U761" s="31">
        <v>0</v>
      </c>
      <c r="V761" s="31">
        <v>0</v>
      </c>
      <c r="W761" s="31">
        <v>0</v>
      </c>
      <c r="X761" s="31">
        <v>0</v>
      </c>
      <c r="Y761" s="31">
        <v>0</v>
      </c>
      <c r="Z761" s="31">
        <v>0</v>
      </c>
      <c r="AA761" s="31">
        <v>0</v>
      </c>
      <c r="AB761" s="31">
        <v>0</v>
      </c>
      <c r="AC761" s="31">
        <f t="shared" si="194"/>
        <v>54313.36</v>
      </c>
      <c r="AD761" s="103">
        <v>91146.31</v>
      </c>
      <c r="AE761" s="31">
        <v>0</v>
      </c>
      <c r="AF761" s="34">
        <v>2021</v>
      </c>
      <c r="AG761" s="34">
        <v>2021</v>
      </c>
      <c r="AH761" s="35">
        <v>2021</v>
      </c>
      <c r="BZ761" s="71"/>
      <c r="CD761" s="20" t="e">
        <f t="shared" si="187"/>
        <v>#N/A</v>
      </c>
    </row>
    <row r="762" spans="1:82" ht="61.5" x14ac:dyDescent="0.85">
      <c r="A762" s="20">
        <v>1</v>
      </c>
      <c r="B762" s="66">
        <f>SUBTOTAL(103,$A$558:A762)</f>
        <v>200</v>
      </c>
      <c r="C762" s="24" t="s">
        <v>1633</v>
      </c>
      <c r="D762" s="31">
        <f t="shared" si="195"/>
        <v>2195301.44</v>
      </c>
      <c r="E762" s="31">
        <v>0</v>
      </c>
      <c r="F762" s="31">
        <v>0</v>
      </c>
      <c r="G762" s="31">
        <v>0</v>
      </c>
      <c r="H762" s="31">
        <v>0</v>
      </c>
      <c r="I762" s="31">
        <v>0</v>
      </c>
      <c r="J762" s="31">
        <v>0</v>
      </c>
      <c r="K762" s="33">
        <v>0</v>
      </c>
      <c r="L762" s="31">
        <v>0</v>
      </c>
      <c r="M762" s="31">
        <v>425.38</v>
      </c>
      <c r="N762" s="31">
        <v>2089900.77</v>
      </c>
      <c r="O762" s="31">
        <v>0</v>
      </c>
      <c r="P762" s="31">
        <v>0</v>
      </c>
      <c r="Q762" s="31">
        <v>0</v>
      </c>
      <c r="R762" s="31">
        <v>0</v>
      </c>
      <c r="S762" s="31">
        <v>0</v>
      </c>
      <c r="T762" s="31">
        <v>0</v>
      </c>
      <c r="U762" s="31">
        <v>0</v>
      </c>
      <c r="V762" s="31">
        <v>0</v>
      </c>
      <c r="W762" s="31">
        <v>0</v>
      </c>
      <c r="X762" s="31">
        <v>0</v>
      </c>
      <c r="Y762" s="31">
        <v>0</v>
      </c>
      <c r="Z762" s="31">
        <v>0</v>
      </c>
      <c r="AA762" s="31">
        <v>0</v>
      </c>
      <c r="AB762" s="31">
        <v>0</v>
      </c>
      <c r="AC762" s="31">
        <f t="shared" si="194"/>
        <v>31348.51</v>
      </c>
      <c r="AD762" s="103">
        <v>74052.160000000003</v>
      </c>
      <c r="AE762" s="31">
        <v>0</v>
      </c>
      <c r="AF762" s="34">
        <v>2021</v>
      </c>
      <c r="AG762" s="34">
        <v>2021</v>
      </c>
      <c r="AH762" s="35">
        <v>2021</v>
      </c>
      <c r="BZ762" s="71"/>
      <c r="CD762" s="20" t="e">
        <f t="shared" si="187"/>
        <v>#N/A</v>
      </c>
    </row>
    <row r="763" spans="1:82" ht="61.5" x14ac:dyDescent="0.85">
      <c r="A763" s="20">
        <v>1</v>
      </c>
      <c r="B763" s="66">
        <f>SUBTOTAL(103,$A$558:A763)</f>
        <v>201</v>
      </c>
      <c r="C763" s="24" t="s">
        <v>623</v>
      </c>
      <c r="D763" s="31">
        <f t="shared" ref="D763:D769" si="196">E763+F763+G763+H763+I763+J763+L763+N763+P763+R763+T763+U763+V763+W763+X763+Y763+Z763+AA763+AB763+AC763+AD763+AE763</f>
        <v>16961137.330000002</v>
      </c>
      <c r="E763" s="36">
        <v>0</v>
      </c>
      <c r="F763" s="36">
        <v>0</v>
      </c>
      <c r="G763" s="36">
        <v>0</v>
      </c>
      <c r="H763" s="36">
        <v>0</v>
      </c>
      <c r="I763" s="36">
        <v>0</v>
      </c>
      <c r="J763" s="36">
        <v>0</v>
      </c>
      <c r="K763" s="33">
        <v>0</v>
      </c>
      <c r="L763" s="31">
        <v>0</v>
      </c>
      <c r="M763" s="31">
        <v>0</v>
      </c>
      <c r="N763" s="31">
        <v>0</v>
      </c>
      <c r="O763" s="36">
        <v>0</v>
      </c>
      <c r="P763" s="36">
        <v>0</v>
      </c>
      <c r="Q763" s="31">
        <v>2448</v>
      </c>
      <c r="R763" s="31">
        <f>13074770.52-1165153.63+43983.36+394249.55-377278.61+128749.29</f>
        <v>12099320.48</v>
      </c>
      <c r="S763" s="31">
        <v>229</v>
      </c>
      <c r="T763" s="31">
        <f>ROUND((4698151.31-120000)/101.5*100,2)</f>
        <v>4510493.9000000004</v>
      </c>
      <c r="U763" s="31">
        <v>0</v>
      </c>
      <c r="V763" s="31">
        <v>0</v>
      </c>
      <c r="W763" s="31">
        <v>0</v>
      </c>
      <c r="X763" s="31">
        <v>0</v>
      </c>
      <c r="Y763" s="31">
        <v>0</v>
      </c>
      <c r="Z763" s="31">
        <v>0</v>
      </c>
      <c r="AA763" s="31">
        <v>0</v>
      </c>
      <c r="AB763" s="31">
        <v>0</v>
      </c>
      <c r="AC763" s="31">
        <f>ROUND((R763+T763)*1.5%,2)</f>
        <v>249147.22</v>
      </c>
      <c r="AD763" s="39">
        <v>102175.73</v>
      </c>
      <c r="AE763" s="31">
        <v>0</v>
      </c>
      <c r="AF763" s="34">
        <v>2021</v>
      </c>
      <c r="AG763" s="34">
        <v>2021</v>
      </c>
      <c r="AH763" s="35">
        <v>2021</v>
      </c>
      <c r="AT763" s="20" t="e">
        <f>VLOOKUP(C763,AW:AX,2,FALSE)</f>
        <v>#N/A</v>
      </c>
      <c r="BZ763" s="71"/>
      <c r="CD763" s="20" t="e">
        <f t="shared" si="187"/>
        <v>#N/A</v>
      </c>
    </row>
    <row r="764" spans="1:82" ht="61.5" x14ac:dyDescent="0.85">
      <c r="A764" s="20">
        <v>1</v>
      </c>
      <c r="B764" s="66">
        <f>SUBTOTAL(103,$A$558:A764)</f>
        <v>202</v>
      </c>
      <c r="C764" s="24" t="s">
        <v>1192</v>
      </c>
      <c r="D764" s="31">
        <f>E764+F764+G764+H764+I764+J764+L764+N764+P764+R764+T764+U764+V764+W764+X764+Y764+Z764+AA764+AB764+AC764+AD764+AE764</f>
        <v>1562740.68</v>
      </c>
      <c r="E764" s="36">
        <v>0</v>
      </c>
      <c r="F764" s="36">
        <v>0</v>
      </c>
      <c r="G764" s="36">
        <v>0</v>
      </c>
      <c r="H764" s="36">
        <v>0</v>
      </c>
      <c r="I764" s="36">
        <v>0</v>
      </c>
      <c r="J764" s="36">
        <v>0</v>
      </c>
      <c r="K764" s="33">
        <v>0</v>
      </c>
      <c r="L764" s="31">
        <v>0</v>
      </c>
      <c r="M764" s="31">
        <v>0</v>
      </c>
      <c r="N764" s="31">
        <v>0</v>
      </c>
      <c r="O764" s="36">
        <v>0</v>
      </c>
      <c r="P764" s="36">
        <v>0</v>
      </c>
      <c r="Q764" s="31">
        <v>0</v>
      </c>
      <c r="R764" s="31">
        <v>0</v>
      </c>
      <c r="S764" s="31">
        <v>136.80000000000001</v>
      </c>
      <c r="T764" s="31">
        <v>1421419.39</v>
      </c>
      <c r="U764" s="31">
        <v>0</v>
      </c>
      <c r="V764" s="31">
        <v>0</v>
      </c>
      <c r="W764" s="31">
        <v>0</v>
      </c>
      <c r="X764" s="31">
        <v>0</v>
      </c>
      <c r="Y764" s="31">
        <v>0</v>
      </c>
      <c r="Z764" s="31">
        <v>0</v>
      </c>
      <c r="AA764" s="31">
        <v>0</v>
      </c>
      <c r="AB764" s="31">
        <v>0</v>
      </c>
      <c r="AC764" s="31">
        <f>ROUND(T764*1.5%,2)</f>
        <v>21321.29</v>
      </c>
      <c r="AD764" s="31">
        <v>0</v>
      </c>
      <c r="AE764" s="31">
        <v>120000</v>
      </c>
      <c r="AF764" s="34" t="s">
        <v>270</v>
      </c>
      <c r="AG764" s="34">
        <v>2021</v>
      </c>
      <c r="AH764" s="35">
        <v>2021</v>
      </c>
      <c r="BZ764" s="71"/>
      <c r="CD764" s="20" t="e">
        <f t="shared" si="187"/>
        <v>#N/A</v>
      </c>
    </row>
    <row r="765" spans="1:82" ht="61.5" x14ac:dyDescent="0.85">
      <c r="A765" s="20">
        <v>1</v>
      </c>
      <c r="B765" s="66">
        <f>SUBTOTAL(103,$A$558:A765)</f>
        <v>203</v>
      </c>
      <c r="C765" s="24" t="s">
        <v>622</v>
      </c>
      <c r="D765" s="31">
        <f t="shared" si="196"/>
        <v>8139534.3700000001</v>
      </c>
      <c r="E765" s="36">
        <v>0</v>
      </c>
      <c r="F765" s="36">
        <v>0</v>
      </c>
      <c r="G765" s="36">
        <v>0</v>
      </c>
      <c r="H765" s="36">
        <v>0</v>
      </c>
      <c r="I765" s="36">
        <v>0</v>
      </c>
      <c r="J765" s="36">
        <v>0</v>
      </c>
      <c r="K765" s="33">
        <v>0</v>
      </c>
      <c r="L765" s="31">
        <v>0</v>
      </c>
      <c r="M765" s="31">
        <v>0</v>
      </c>
      <c r="N765" s="31">
        <v>0</v>
      </c>
      <c r="O765" s="36">
        <v>0</v>
      </c>
      <c r="P765" s="36">
        <v>0</v>
      </c>
      <c r="Q765" s="36">
        <v>0</v>
      </c>
      <c r="R765" s="36">
        <v>0</v>
      </c>
      <c r="S765" s="31">
        <v>0</v>
      </c>
      <c r="T765" s="31">
        <v>0</v>
      </c>
      <c r="U765" s="31">
        <f>5969062.77+200000+1850182.91</f>
        <v>8019245.6799999997</v>
      </c>
      <c r="V765" s="31">
        <v>0</v>
      </c>
      <c r="W765" s="31">
        <v>0</v>
      </c>
      <c r="X765" s="31">
        <v>0</v>
      </c>
      <c r="Y765" s="31">
        <v>0</v>
      </c>
      <c r="Z765" s="31">
        <v>0</v>
      </c>
      <c r="AA765" s="31">
        <v>0</v>
      </c>
      <c r="AB765" s="31">
        <v>0</v>
      </c>
      <c r="AC765" s="31">
        <f>ROUND(U765*1.5%,2)</f>
        <v>120288.69</v>
      </c>
      <c r="AD765" s="31">
        <v>0</v>
      </c>
      <c r="AE765" s="31">
        <v>0</v>
      </c>
      <c r="AF765" s="34" t="s">
        <v>270</v>
      </c>
      <c r="AG765" s="34">
        <v>2021</v>
      </c>
      <c r="AH765" s="35">
        <v>2021</v>
      </c>
      <c r="AT765" s="20" t="e">
        <f>VLOOKUP(C765,AW:AX,2,FALSE)</f>
        <v>#N/A</v>
      </c>
      <c r="BZ765" s="71"/>
      <c r="CD765" s="20" t="e">
        <f t="shared" si="187"/>
        <v>#N/A</v>
      </c>
    </row>
    <row r="766" spans="1:82" ht="61.5" x14ac:dyDescent="0.85">
      <c r="A766" s="20">
        <v>1</v>
      </c>
      <c r="B766" s="66">
        <f>SUBTOTAL(103,$A$558:A766)</f>
        <v>204</v>
      </c>
      <c r="C766" s="24" t="s">
        <v>1195</v>
      </c>
      <c r="D766" s="31">
        <f t="shared" si="196"/>
        <v>833522.04</v>
      </c>
      <c r="E766" s="36">
        <v>0</v>
      </c>
      <c r="F766" s="36">
        <v>0</v>
      </c>
      <c r="G766" s="36">
        <f>567639.41+100000</f>
        <v>667639.41</v>
      </c>
      <c r="H766" s="36">
        <v>153564.57</v>
      </c>
      <c r="I766" s="36">
        <v>0</v>
      </c>
      <c r="J766" s="36">
        <v>0</v>
      </c>
      <c r="K766" s="74">
        <v>0</v>
      </c>
      <c r="L766" s="31">
        <v>0</v>
      </c>
      <c r="M766" s="31">
        <v>0</v>
      </c>
      <c r="N766" s="31">
        <v>0</v>
      </c>
      <c r="O766" s="36">
        <v>0</v>
      </c>
      <c r="P766" s="36">
        <v>0</v>
      </c>
      <c r="Q766" s="31">
        <v>0</v>
      </c>
      <c r="R766" s="31">
        <v>0</v>
      </c>
      <c r="S766" s="31">
        <v>0</v>
      </c>
      <c r="T766" s="31">
        <v>0</v>
      </c>
      <c r="U766" s="31">
        <v>0</v>
      </c>
      <c r="V766" s="31">
        <v>0</v>
      </c>
      <c r="W766" s="31">
        <v>0</v>
      </c>
      <c r="X766" s="31">
        <v>0</v>
      </c>
      <c r="Y766" s="31">
        <v>0</v>
      </c>
      <c r="Z766" s="31">
        <v>0</v>
      </c>
      <c r="AA766" s="31">
        <v>0</v>
      </c>
      <c r="AB766" s="31">
        <v>0</v>
      </c>
      <c r="AC766" s="31">
        <f>ROUND((E766+F766+G766+H766+I766+J766)*1.5%,2)</f>
        <v>12318.06</v>
      </c>
      <c r="AD766" s="31">
        <v>0</v>
      </c>
      <c r="AE766" s="31">
        <v>0</v>
      </c>
      <c r="AF766" s="34" t="s">
        <v>270</v>
      </c>
      <c r="AG766" s="34">
        <v>2021</v>
      </c>
      <c r="AH766" s="35">
        <v>2021</v>
      </c>
      <c r="BZ766" s="71"/>
      <c r="CD766" s="20" t="e">
        <f t="shared" si="187"/>
        <v>#N/A</v>
      </c>
    </row>
    <row r="767" spans="1:82" ht="61.5" x14ac:dyDescent="0.85">
      <c r="A767" s="20">
        <v>1</v>
      </c>
      <c r="B767" s="66">
        <f>SUBTOTAL(103,$A$558:A767)</f>
        <v>205</v>
      </c>
      <c r="C767" s="24" t="s">
        <v>1566</v>
      </c>
      <c r="D767" s="31">
        <f t="shared" si="196"/>
        <v>6146239.9500000002</v>
      </c>
      <c r="E767" s="31">
        <v>0</v>
      </c>
      <c r="F767" s="31">
        <v>0</v>
      </c>
      <c r="G767" s="31">
        <v>0</v>
      </c>
      <c r="H767" s="31">
        <v>0</v>
      </c>
      <c r="I767" s="31">
        <v>0</v>
      </c>
      <c r="J767" s="31">
        <v>0</v>
      </c>
      <c r="K767" s="74">
        <v>0</v>
      </c>
      <c r="L767" s="31">
        <v>0</v>
      </c>
      <c r="M767" s="31">
        <v>1010.5</v>
      </c>
      <c r="N767" s="31">
        <v>6055408.8200000003</v>
      </c>
      <c r="O767" s="31">
        <v>0</v>
      </c>
      <c r="P767" s="31">
        <v>0</v>
      </c>
      <c r="Q767" s="31">
        <v>0</v>
      </c>
      <c r="R767" s="31">
        <v>0</v>
      </c>
      <c r="S767" s="31">
        <v>0</v>
      </c>
      <c r="T767" s="31">
        <v>0</v>
      </c>
      <c r="U767" s="31">
        <v>0</v>
      </c>
      <c r="V767" s="31">
        <v>0</v>
      </c>
      <c r="W767" s="31">
        <v>0</v>
      </c>
      <c r="X767" s="31">
        <v>0</v>
      </c>
      <c r="Y767" s="31">
        <v>0</v>
      </c>
      <c r="Z767" s="31">
        <v>0</v>
      </c>
      <c r="AA767" s="31">
        <v>0</v>
      </c>
      <c r="AB767" s="31">
        <v>0</v>
      </c>
      <c r="AC767" s="31">
        <f>ROUND(N767*1.5%,2)</f>
        <v>90831.13</v>
      </c>
      <c r="AD767" s="31">
        <v>0</v>
      </c>
      <c r="AE767" s="31">
        <v>0</v>
      </c>
      <c r="AF767" s="34" t="s">
        <v>270</v>
      </c>
      <c r="AG767" s="34">
        <v>2021</v>
      </c>
      <c r="AH767" s="35">
        <v>2021</v>
      </c>
      <c r="BZ767" s="71"/>
      <c r="CD767" s="20" t="e">
        <f t="shared" ref="CD767:CD774" si="197">VLOOKUP(C767,CE:CF,2,FALSE)</f>
        <v>#N/A</v>
      </c>
    </row>
    <row r="768" spans="1:82" ht="61.5" x14ac:dyDescent="0.85">
      <c r="A768" s="20">
        <v>1</v>
      </c>
      <c r="B768" s="66">
        <f>SUBTOTAL(103,$A$558:A768)</f>
        <v>206</v>
      </c>
      <c r="C768" s="24" t="s">
        <v>1954</v>
      </c>
      <c r="D768" s="31">
        <f t="shared" ref="D768" si="198">E768+F768+G768+H768+I768+J768+L768+N768+P768+R768+T768+U768+V768+W768+X768+Y768+Z768+AA768+AB768+AC768+AD768+AE768</f>
        <v>3646987.83</v>
      </c>
      <c r="E768" s="31">
        <v>0</v>
      </c>
      <c r="F768" s="31">
        <v>0</v>
      </c>
      <c r="G768" s="31">
        <v>0</v>
      </c>
      <c r="H768" s="31">
        <v>0</v>
      </c>
      <c r="I768" s="31">
        <v>0</v>
      </c>
      <c r="J768" s="31">
        <v>0</v>
      </c>
      <c r="K768" s="74">
        <v>0</v>
      </c>
      <c r="L768" s="31">
        <v>0</v>
      </c>
      <c r="M768" s="31">
        <v>600</v>
      </c>
      <c r="N768" s="31">
        <f>M768*4200+100000+37682.91+362142.89+445186.84</f>
        <v>3465012.64</v>
      </c>
      <c r="O768" s="31">
        <v>0</v>
      </c>
      <c r="P768" s="31">
        <v>0</v>
      </c>
      <c r="Q768" s="31">
        <v>0</v>
      </c>
      <c r="R768" s="31">
        <v>0</v>
      </c>
      <c r="S768" s="31">
        <v>0</v>
      </c>
      <c r="T768" s="31">
        <v>0</v>
      </c>
      <c r="U768" s="31">
        <v>0</v>
      </c>
      <c r="V768" s="31">
        <v>0</v>
      </c>
      <c r="W768" s="31">
        <v>0</v>
      </c>
      <c r="X768" s="31">
        <v>0</v>
      </c>
      <c r="Y768" s="31">
        <v>0</v>
      </c>
      <c r="Z768" s="31">
        <v>0</v>
      </c>
      <c r="AA768" s="31">
        <v>0</v>
      </c>
      <c r="AB768" s="31">
        <v>0</v>
      </c>
      <c r="AC768" s="31">
        <f>ROUND(N768*1.5%,2)</f>
        <v>51975.19</v>
      </c>
      <c r="AD768" s="31">
        <v>130000</v>
      </c>
      <c r="AE768" s="31">
        <v>0</v>
      </c>
      <c r="AF768" s="34">
        <v>2021</v>
      </c>
      <c r="AG768" s="34">
        <v>2021</v>
      </c>
      <c r="AH768" s="35">
        <v>2021</v>
      </c>
      <c r="BZ768" s="71"/>
      <c r="CD768" s="20" t="e">
        <f t="shared" si="197"/>
        <v>#N/A</v>
      </c>
    </row>
    <row r="769" spans="1:82" ht="61.5" x14ac:dyDescent="0.85">
      <c r="A769" s="20">
        <v>1</v>
      </c>
      <c r="B769" s="66">
        <f>SUBTOTAL(103,$A$558:A769)</f>
        <v>207</v>
      </c>
      <c r="C769" s="24" t="s">
        <v>1955</v>
      </c>
      <c r="D769" s="31">
        <f t="shared" si="196"/>
        <v>2017991.4400000002</v>
      </c>
      <c r="E769" s="31">
        <v>0</v>
      </c>
      <c r="F769" s="31">
        <v>0</v>
      </c>
      <c r="G769" s="31">
        <v>0</v>
      </c>
      <c r="H769" s="31">
        <v>0</v>
      </c>
      <c r="I769" s="31">
        <v>0</v>
      </c>
      <c r="J769" s="31">
        <v>0</v>
      </c>
      <c r="K769" s="74">
        <v>0</v>
      </c>
      <c r="L769" s="31">
        <v>0</v>
      </c>
      <c r="M769" s="31">
        <v>313.60000000000002</v>
      </c>
      <c r="N769" s="31">
        <f>M769*4200+100000+445186.84</f>
        <v>1862306.84</v>
      </c>
      <c r="O769" s="31">
        <v>0</v>
      </c>
      <c r="P769" s="31">
        <v>0</v>
      </c>
      <c r="Q769" s="31">
        <v>0</v>
      </c>
      <c r="R769" s="31">
        <v>0</v>
      </c>
      <c r="S769" s="31">
        <v>0</v>
      </c>
      <c r="T769" s="31">
        <v>0</v>
      </c>
      <c r="U769" s="31">
        <v>0</v>
      </c>
      <c r="V769" s="31">
        <v>0</v>
      </c>
      <c r="W769" s="31">
        <v>0</v>
      </c>
      <c r="X769" s="31">
        <v>0</v>
      </c>
      <c r="Y769" s="31">
        <v>0</v>
      </c>
      <c r="Z769" s="31">
        <v>0</v>
      </c>
      <c r="AA769" s="31">
        <v>0</v>
      </c>
      <c r="AB769" s="31">
        <v>0</v>
      </c>
      <c r="AC769" s="31">
        <f>ROUND(N769*1.5%,2)</f>
        <v>27934.6</v>
      </c>
      <c r="AD769" s="31">
        <f>130000-2250</f>
        <v>127750</v>
      </c>
      <c r="AE769" s="31">
        <v>0</v>
      </c>
      <c r="AF769" s="34">
        <v>2021</v>
      </c>
      <c r="AG769" s="34">
        <v>2021</v>
      </c>
      <c r="AH769" s="35">
        <v>2021</v>
      </c>
      <c r="BZ769" s="71"/>
      <c r="CD769" s="20" t="e">
        <f t="shared" si="197"/>
        <v>#N/A</v>
      </c>
    </row>
    <row r="770" spans="1:82" ht="61.5" x14ac:dyDescent="0.85">
      <c r="A770" s="20">
        <v>1</v>
      </c>
      <c r="B770" s="66">
        <f>SUBTOTAL(103,$A$558:A770)</f>
        <v>208</v>
      </c>
      <c r="C770" s="24" t="s">
        <v>1956</v>
      </c>
      <c r="D770" s="31">
        <f t="shared" ref="D770" si="199">E770+F770+G770+H770+I770+J770+L770+N770+P770+R770+T770+U770+V770+W770+X770+Y770+Z770+AA770+AB770+AC770+AD770+AE770</f>
        <v>2478736.48</v>
      </c>
      <c r="E770" s="31">
        <v>0</v>
      </c>
      <c r="F770" s="31">
        <v>0</v>
      </c>
      <c r="G770" s="31">
        <v>0</v>
      </c>
      <c r="H770" s="31">
        <v>0</v>
      </c>
      <c r="I770" s="31">
        <v>0</v>
      </c>
      <c r="J770" s="31">
        <v>0</v>
      </c>
      <c r="K770" s="74">
        <v>0</v>
      </c>
      <c r="L770" s="31">
        <v>0</v>
      </c>
      <c r="M770" s="31">
        <v>421.68</v>
      </c>
      <c r="N770" s="31">
        <f>M770*4200+100000+445186.84</f>
        <v>2316242.84</v>
      </c>
      <c r="O770" s="31">
        <v>0</v>
      </c>
      <c r="P770" s="31">
        <v>0</v>
      </c>
      <c r="Q770" s="31">
        <v>0</v>
      </c>
      <c r="R770" s="31">
        <v>0</v>
      </c>
      <c r="S770" s="31">
        <v>0</v>
      </c>
      <c r="T770" s="31">
        <v>0</v>
      </c>
      <c r="U770" s="31">
        <v>0</v>
      </c>
      <c r="V770" s="31">
        <v>0</v>
      </c>
      <c r="W770" s="31">
        <v>0</v>
      </c>
      <c r="X770" s="31">
        <v>0</v>
      </c>
      <c r="Y770" s="31">
        <v>0</v>
      </c>
      <c r="Z770" s="31">
        <v>0</v>
      </c>
      <c r="AA770" s="31">
        <v>0</v>
      </c>
      <c r="AB770" s="31">
        <v>0</v>
      </c>
      <c r="AC770" s="31">
        <f>ROUND(N770*1.5%,2)</f>
        <v>34743.64</v>
      </c>
      <c r="AD770" s="31">
        <f>130000-2250</f>
        <v>127750</v>
      </c>
      <c r="AE770" s="31">
        <v>0</v>
      </c>
      <c r="AF770" s="34">
        <v>2021</v>
      </c>
      <c r="AG770" s="34">
        <v>2021</v>
      </c>
      <c r="AH770" s="35">
        <v>2021</v>
      </c>
      <c r="BZ770" s="71"/>
      <c r="CD770" s="20" t="e">
        <f t="shared" si="197"/>
        <v>#N/A</v>
      </c>
    </row>
    <row r="771" spans="1:82" ht="61.5" x14ac:dyDescent="0.85">
      <c r="B771" s="24" t="s">
        <v>822</v>
      </c>
      <c r="C771" s="24"/>
      <c r="D771" s="195">
        <f t="shared" ref="D771:AE771" si="200">SUM(D772:D778)</f>
        <v>31580337.110000003</v>
      </c>
      <c r="E771" s="31">
        <f t="shared" si="200"/>
        <v>145980.06</v>
      </c>
      <c r="F771" s="31">
        <f t="shared" si="200"/>
        <v>431178.77</v>
      </c>
      <c r="G771" s="31">
        <f t="shared" si="200"/>
        <v>1599107.07</v>
      </c>
      <c r="H771" s="31">
        <f t="shared" si="200"/>
        <v>270735.94</v>
      </c>
      <c r="I771" s="31">
        <f t="shared" si="200"/>
        <v>0</v>
      </c>
      <c r="J771" s="31">
        <f t="shared" si="200"/>
        <v>0</v>
      </c>
      <c r="K771" s="33">
        <f t="shared" si="200"/>
        <v>0</v>
      </c>
      <c r="L771" s="31">
        <f t="shared" si="200"/>
        <v>0</v>
      </c>
      <c r="M771" s="31">
        <f t="shared" si="200"/>
        <v>6158.1</v>
      </c>
      <c r="N771" s="31">
        <f t="shared" si="200"/>
        <v>27898157.869999997</v>
      </c>
      <c r="O771" s="31">
        <f t="shared" si="200"/>
        <v>0</v>
      </c>
      <c r="P771" s="31">
        <f t="shared" si="200"/>
        <v>0</v>
      </c>
      <c r="Q771" s="31">
        <f t="shared" si="200"/>
        <v>0</v>
      </c>
      <c r="R771" s="31">
        <f t="shared" si="200"/>
        <v>0</v>
      </c>
      <c r="S771" s="31">
        <f t="shared" si="200"/>
        <v>0</v>
      </c>
      <c r="T771" s="31">
        <f t="shared" si="200"/>
        <v>0</v>
      </c>
      <c r="U771" s="31">
        <f t="shared" si="200"/>
        <v>0</v>
      </c>
      <c r="V771" s="31">
        <f t="shared" si="200"/>
        <v>0</v>
      </c>
      <c r="W771" s="31">
        <f t="shared" si="200"/>
        <v>0</v>
      </c>
      <c r="X771" s="31">
        <f t="shared" si="200"/>
        <v>0</v>
      </c>
      <c r="Y771" s="31">
        <f t="shared" si="200"/>
        <v>0</v>
      </c>
      <c r="Z771" s="31">
        <f t="shared" si="200"/>
        <v>0</v>
      </c>
      <c r="AA771" s="31">
        <f t="shared" si="200"/>
        <v>0</v>
      </c>
      <c r="AB771" s="31">
        <f t="shared" si="200"/>
        <v>0</v>
      </c>
      <c r="AC771" s="31">
        <f t="shared" si="200"/>
        <v>455177.4</v>
      </c>
      <c r="AD771" s="31">
        <f t="shared" si="200"/>
        <v>780000</v>
      </c>
      <c r="AE771" s="31">
        <f t="shared" si="200"/>
        <v>0</v>
      </c>
      <c r="AF771" s="72" t="s">
        <v>757</v>
      </c>
      <c r="AG771" s="72" t="s">
        <v>757</v>
      </c>
      <c r="AH771" s="87" t="s">
        <v>757</v>
      </c>
      <c r="AT771" s="20" t="e">
        <f>VLOOKUP(C771,AW:AX,2,FALSE)</f>
        <v>#N/A</v>
      </c>
      <c r="BZ771" s="71">
        <v>10075097.600000001</v>
      </c>
      <c r="CD771" s="20" t="e">
        <f t="shared" si="197"/>
        <v>#N/A</v>
      </c>
    </row>
    <row r="772" spans="1:82" ht="61.5" x14ac:dyDescent="0.85">
      <c r="A772" s="20">
        <v>1</v>
      </c>
      <c r="B772" s="66">
        <f>SUBTOTAL(103,$A$558:A772)</f>
        <v>209</v>
      </c>
      <c r="C772" s="24" t="s">
        <v>645</v>
      </c>
      <c r="D772" s="31">
        <f>E772+F772+G772+H772+I772+J772+L772+N772+P772+R772+T772+U772+V772+W772+X772+Y772+Z772+AA772+AB772+AC772+AD772+AE772</f>
        <v>5608010</v>
      </c>
      <c r="E772" s="36">
        <v>0</v>
      </c>
      <c r="F772" s="36">
        <v>0</v>
      </c>
      <c r="G772" s="36">
        <v>0</v>
      </c>
      <c r="H772" s="36">
        <v>0</v>
      </c>
      <c r="I772" s="36">
        <v>0</v>
      </c>
      <c r="J772" s="36">
        <v>0</v>
      </c>
      <c r="K772" s="33">
        <v>0</v>
      </c>
      <c r="L772" s="31">
        <v>0</v>
      </c>
      <c r="M772" s="31">
        <v>1122.5</v>
      </c>
      <c r="N772" s="31">
        <v>5347793.0999999996</v>
      </c>
      <c r="O772" s="31">
        <v>0</v>
      </c>
      <c r="P772" s="31">
        <v>0</v>
      </c>
      <c r="Q772" s="31">
        <v>0</v>
      </c>
      <c r="R772" s="31">
        <v>0</v>
      </c>
      <c r="S772" s="31">
        <v>0</v>
      </c>
      <c r="T772" s="31">
        <v>0</v>
      </c>
      <c r="U772" s="31">
        <v>0</v>
      </c>
      <c r="V772" s="31">
        <v>0</v>
      </c>
      <c r="W772" s="31">
        <v>0</v>
      </c>
      <c r="X772" s="31">
        <v>0</v>
      </c>
      <c r="Y772" s="31">
        <v>0</v>
      </c>
      <c r="Z772" s="31">
        <v>0</v>
      </c>
      <c r="AA772" s="31">
        <v>0</v>
      </c>
      <c r="AB772" s="31">
        <v>0</v>
      </c>
      <c r="AC772" s="31">
        <f>ROUND(N772*1.5%,2)</f>
        <v>80216.899999999994</v>
      </c>
      <c r="AD772" s="31">
        <v>180000</v>
      </c>
      <c r="AE772" s="31">
        <v>0</v>
      </c>
      <c r="AF772" s="34">
        <v>2021</v>
      </c>
      <c r="AG772" s="34">
        <v>2021</v>
      </c>
      <c r="AH772" s="35">
        <v>2021</v>
      </c>
      <c r="AT772" s="20" t="e">
        <f>VLOOKUP(C772,AW:AX,2,FALSE)</f>
        <v>#N/A</v>
      </c>
      <c r="BZ772" s="71"/>
      <c r="CD772" s="20" t="e">
        <f t="shared" si="197"/>
        <v>#N/A</v>
      </c>
    </row>
    <row r="773" spans="1:82" ht="61.5" x14ac:dyDescent="0.85">
      <c r="A773" s="20">
        <v>1</v>
      </c>
      <c r="B773" s="66">
        <f>SUBTOTAL(103,$A$558:A773)</f>
        <v>210</v>
      </c>
      <c r="C773" s="24" t="s">
        <v>642</v>
      </c>
      <c r="D773" s="31">
        <f>E773+F773+G773+H773+I773+J773+L773+N773+P773+R773+T773+U773+V773+W773+X773+Y773+Z773+AA773+AB773+AC773+AD773+AE773</f>
        <v>4467087.6000000006</v>
      </c>
      <c r="E773" s="36">
        <v>0</v>
      </c>
      <c r="F773" s="36">
        <v>0</v>
      </c>
      <c r="G773" s="36">
        <v>0</v>
      </c>
      <c r="H773" s="36">
        <v>0</v>
      </c>
      <c r="I773" s="36">
        <v>0</v>
      </c>
      <c r="J773" s="36">
        <v>0</v>
      </c>
      <c r="K773" s="33">
        <v>0</v>
      </c>
      <c r="L773" s="31">
        <v>0</v>
      </c>
      <c r="M773" s="31">
        <v>855.6</v>
      </c>
      <c r="N773" s="31">
        <v>4253288.28</v>
      </c>
      <c r="O773" s="31">
        <v>0</v>
      </c>
      <c r="P773" s="31">
        <v>0</v>
      </c>
      <c r="Q773" s="31">
        <v>0</v>
      </c>
      <c r="R773" s="31">
        <v>0</v>
      </c>
      <c r="S773" s="31">
        <v>0</v>
      </c>
      <c r="T773" s="31">
        <v>0</v>
      </c>
      <c r="U773" s="31">
        <v>0</v>
      </c>
      <c r="V773" s="31">
        <v>0</v>
      </c>
      <c r="W773" s="31">
        <v>0</v>
      </c>
      <c r="X773" s="31">
        <v>0</v>
      </c>
      <c r="Y773" s="31">
        <v>0</v>
      </c>
      <c r="Z773" s="31">
        <v>0</v>
      </c>
      <c r="AA773" s="31">
        <v>0</v>
      </c>
      <c r="AB773" s="31">
        <v>0</v>
      </c>
      <c r="AC773" s="31">
        <f>ROUND(N773*1.5%,2)</f>
        <v>63799.32</v>
      </c>
      <c r="AD773" s="31">
        <v>150000</v>
      </c>
      <c r="AE773" s="31">
        <v>0</v>
      </c>
      <c r="AF773" s="34">
        <v>2021</v>
      </c>
      <c r="AG773" s="34">
        <v>2021</v>
      </c>
      <c r="AH773" s="35">
        <v>2021</v>
      </c>
      <c r="AT773" s="20" t="e">
        <f>VLOOKUP(C773,AW:AX,2,FALSE)</f>
        <v>#N/A</v>
      </c>
      <c r="BZ773" s="71"/>
      <c r="CD773" s="20" t="e">
        <f t="shared" si="197"/>
        <v>#N/A</v>
      </c>
    </row>
    <row r="774" spans="1:82" ht="61.5" x14ac:dyDescent="0.85">
      <c r="A774" s="20">
        <v>1</v>
      </c>
      <c r="B774" s="66">
        <f>SUBTOTAL(103,$A$558:A774)</f>
        <v>211</v>
      </c>
      <c r="C774" s="24" t="s">
        <v>1199</v>
      </c>
      <c r="D774" s="31">
        <f>E774+F774+G774+H774+I774+J774+L774+N774+P774+R774+T774+U774+V774+W774+X774+Y774+Z774+AA774+AB774+AC774+AD774+AE774</f>
        <v>2483706.87</v>
      </c>
      <c r="E774" s="36">
        <v>145980.06</v>
      </c>
      <c r="F774" s="36">
        <v>431178.77</v>
      </c>
      <c r="G774" s="36">
        <v>1599107.07</v>
      </c>
      <c r="H774" s="36">
        <v>270735.94</v>
      </c>
      <c r="I774" s="36">
        <v>0</v>
      </c>
      <c r="J774" s="36">
        <v>0</v>
      </c>
      <c r="K774" s="33">
        <v>0</v>
      </c>
      <c r="L774" s="31">
        <v>0</v>
      </c>
      <c r="M774" s="31">
        <v>0</v>
      </c>
      <c r="N774" s="31">
        <v>0</v>
      </c>
      <c r="O774" s="36">
        <v>0</v>
      </c>
      <c r="P774" s="36">
        <v>0</v>
      </c>
      <c r="Q774" s="31">
        <v>0</v>
      </c>
      <c r="R774" s="31">
        <v>0</v>
      </c>
      <c r="S774" s="31">
        <v>0</v>
      </c>
      <c r="T774" s="31">
        <v>0</v>
      </c>
      <c r="U774" s="31">
        <v>0</v>
      </c>
      <c r="V774" s="31">
        <v>0</v>
      </c>
      <c r="W774" s="31">
        <v>0</v>
      </c>
      <c r="X774" s="31">
        <v>0</v>
      </c>
      <c r="Y774" s="31">
        <v>0</v>
      </c>
      <c r="Z774" s="31">
        <v>0</v>
      </c>
      <c r="AA774" s="31">
        <v>0</v>
      </c>
      <c r="AB774" s="31">
        <v>0</v>
      </c>
      <c r="AC774" s="31">
        <f>ROUND((E774+F774+G774+H774+I774+J774)*1.5%,2)</f>
        <v>36705.03</v>
      </c>
      <c r="AD774" s="31">
        <v>0</v>
      </c>
      <c r="AE774" s="31">
        <v>0</v>
      </c>
      <c r="AF774" s="34" t="s">
        <v>270</v>
      </c>
      <c r="AG774" s="34">
        <v>2021</v>
      </c>
      <c r="AH774" s="35">
        <v>2021</v>
      </c>
      <c r="BZ774" s="71"/>
      <c r="CD774" s="20" t="e">
        <f t="shared" si="197"/>
        <v>#N/A</v>
      </c>
    </row>
    <row r="775" spans="1:82" ht="61.5" x14ac:dyDescent="0.85">
      <c r="A775" s="20">
        <v>1</v>
      </c>
      <c r="B775" s="66">
        <f>SUBTOTAL(103,$A$558:A775)</f>
        <v>212</v>
      </c>
      <c r="C775" s="24" t="s">
        <v>1924</v>
      </c>
      <c r="D775" s="31">
        <f>E775+F775+G775+H775+I775+J775+L775+N775+P775+R775+T775+U775+V775+W775+X775+Y775+Z775+AA775+AB775+AC775+AD775+AE775</f>
        <v>2819900</v>
      </c>
      <c r="E775" s="38">
        <v>0</v>
      </c>
      <c r="F775" s="38">
        <v>0</v>
      </c>
      <c r="G775" s="38">
        <v>0</v>
      </c>
      <c r="H775" s="38">
        <v>0</v>
      </c>
      <c r="I775" s="38">
        <v>0</v>
      </c>
      <c r="J775" s="38">
        <v>0</v>
      </c>
      <c r="K775" s="85">
        <v>0</v>
      </c>
      <c r="L775" s="38">
        <v>0</v>
      </c>
      <c r="M775" s="31">
        <v>532</v>
      </c>
      <c r="N775" s="31">
        <f>M775*5000</f>
        <v>2660000</v>
      </c>
      <c r="O775" s="31">
        <v>0</v>
      </c>
      <c r="P775" s="31">
        <v>0</v>
      </c>
      <c r="Q775" s="31">
        <v>0</v>
      </c>
      <c r="R775" s="31">
        <v>0</v>
      </c>
      <c r="S775" s="31">
        <v>0</v>
      </c>
      <c r="T775" s="31">
        <v>0</v>
      </c>
      <c r="U775" s="31">
        <v>0</v>
      </c>
      <c r="V775" s="31">
        <v>0</v>
      </c>
      <c r="W775" s="31">
        <v>0</v>
      </c>
      <c r="X775" s="31">
        <v>0</v>
      </c>
      <c r="Y775" s="31">
        <v>0</v>
      </c>
      <c r="Z775" s="31">
        <v>0</v>
      </c>
      <c r="AA775" s="31">
        <v>0</v>
      </c>
      <c r="AB775" s="31">
        <v>0</v>
      </c>
      <c r="AC775" s="31">
        <f>ROUND(N775*1.5%,2)</f>
        <v>39900</v>
      </c>
      <c r="AD775" s="31">
        <v>120000</v>
      </c>
      <c r="AE775" s="31">
        <v>0</v>
      </c>
      <c r="AF775" s="34">
        <v>2021</v>
      </c>
      <c r="AG775" s="34">
        <v>2021</v>
      </c>
      <c r="AH775" s="35">
        <v>2021</v>
      </c>
      <c r="AT775" s="20" t="e">
        <f>VLOOKUP(C775,AW:AX,2,FALSE)</f>
        <v>#N/A</v>
      </c>
      <c r="BZ775" s="71"/>
    </row>
    <row r="776" spans="1:82" ht="61.5" x14ac:dyDescent="0.85">
      <c r="A776" s="20">
        <v>1</v>
      </c>
      <c r="B776" s="66">
        <f>SUBTOTAL(103,$A$558:A776)</f>
        <v>213</v>
      </c>
      <c r="C776" s="24" t="s">
        <v>1097</v>
      </c>
      <c r="D776" s="31">
        <f>E776+F776+G776+H776+I776+J776+L776+N776+P776+R776+T776+U776+V776+W776+X776+Y776+Z776+AA776+AB776+AC776+AD776+AE776</f>
        <v>4226815.84</v>
      </c>
      <c r="E776" s="38">
        <v>0</v>
      </c>
      <c r="F776" s="38">
        <v>0</v>
      </c>
      <c r="G776" s="38">
        <v>0</v>
      </c>
      <c r="H776" s="38">
        <v>0</v>
      </c>
      <c r="I776" s="38">
        <v>0</v>
      </c>
      <c r="J776" s="38">
        <v>0</v>
      </c>
      <c r="K776" s="85">
        <v>0</v>
      </c>
      <c r="L776" s="38">
        <v>0</v>
      </c>
      <c r="M776" s="31">
        <v>857.4</v>
      </c>
      <c r="N776" s="31">
        <v>4036271.76</v>
      </c>
      <c r="O776" s="31">
        <v>0</v>
      </c>
      <c r="P776" s="31">
        <v>0</v>
      </c>
      <c r="Q776" s="31">
        <v>0</v>
      </c>
      <c r="R776" s="31">
        <v>0</v>
      </c>
      <c r="S776" s="31">
        <v>0</v>
      </c>
      <c r="T776" s="31">
        <v>0</v>
      </c>
      <c r="U776" s="31">
        <v>0</v>
      </c>
      <c r="V776" s="31">
        <v>0</v>
      </c>
      <c r="W776" s="31">
        <v>0</v>
      </c>
      <c r="X776" s="31">
        <v>0</v>
      </c>
      <c r="Y776" s="31">
        <v>0</v>
      </c>
      <c r="Z776" s="31">
        <v>0</v>
      </c>
      <c r="AA776" s="31">
        <v>0</v>
      </c>
      <c r="AB776" s="31">
        <v>0</v>
      </c>
      <c r="AC776" s="31">
        <f>ROUND(N776*1.5%,2)</f>
        <v>60544.08</v>
      </c>
      <c r="AD776" s="31">
        <v>130000</v>
      </c>
      <c r="AE776" s="31">
        <v>0</v>
      </c>
      <c r="AF776" s="34">
        <v>2021</v>
      </c>
      <c r="AG776" s="34">
        <v>2021</v>
      </c>
      <c r="AH776" s="35">
        <v>2021</v>
      </c>
      <c r="BZ776" s="71"/>
    </row>
    <row r="777" spans="1:82" ht="61.5" x14ac:dyDescent="0.85">
      <c r="A777" s="20">
        <v>1</v>
      </c>
      <c r="B777" s="66">
        <f>SUBTOTAL(103,$A$558:A777)</f>
        <v>214</v>
      </c>
      <c r="C777" s="24" t="s">
        <v>1198</v>
      </c>
      <c r="D777" s="31">
        <f t="shared" ref="D777" si="201">E777+F777+G777+H777+I777+J777+L777+N777+P777+R777+T777+U777+V777+W777+X777+Y777+Z777+AA777+AB777+AC777+AD777+AE777</f>
        <v>5003194.3900000006</v>
      </c>
      <c r="E777" s="36">
        <v>0</v>
      </c>
      <c r="F777" s="36">
        <v>0</v>
      </c>
      <c r="G777" s="36">
        <v>0</v>
      </c>
      <c r="H777" s="36">
        <v>0</v>
      </c>
      <c r="I777" s="36">
        <v>0</v>
      </c>
      <c r="J777" s="36">
        <v>0</v>
      </c>
      <c r="K777" s="74">
        <v>0</v>
      </c>
      <c r="L777" s="31">
        <v>0</v>
      </c>
      <c r="M777" s="31">
        <v>1161</v>
      </c>
      <c r="N777" s="31">
        <v>4929255.5600000005</v>
      </c>
      <c r="O777" s="36">
        <v>0</v>
      </c>
      <c r="P777" s="36">
        <v>0</v>
      </c>
      <c r="Q777" s="31">
        <v>0</v>
      </c>
      <c r="R777" s="31">
        <v>0</v>
      </c>
      <c r="S777" s="31">
        <v>0</v>
      </c>
      <c r="T777" s="31">
        <v>0</v>
      </c>
      <c r="U777" s="31">
        <v>0</v>
      </c>
      <c r="V777" s="31">
        <v>0</v>
      </c>
      <c r="W777" s="31">
        <v>0</v>
      </c>
      <c r="X777" s="31">
        <v>0</v>
      </c>
      <c r="Y777" s="31">
        <v>0</v>
      </c>
      <c r="Z777" s="31">
        <v>0</v>
      </c>
      <c r="AA777" s="31">
        <v>0</v>
      </c>
      <c r="AB777" s="31">
        <v>0</v>
      </c>
      <c r="AC777" s="31">
        <f t="shared" ref="AC777" si="202">ROUND(N777*1.5%,2)</f>
        <v>73938.83</v>
      </c>
      <c r="AD777" s="31">
        <v>0</v>
      </c>
      <c r="AE777" s="31">
        <v>0</v>
      </c>
      <c r="AF777" s="34" t="s">
        <v>270</v>
      </c>
      <c r="AG777" s="34">
        <v>2021</v>
      </c>
      <c r="AH777" s="35">
        <v>2021</v>
      </c>
      <c r="BZ777" s="71"/>
      <c r="CD777" s="20">
        <f>VLOOKUP(C777,CE:CF,2,FALSE)</f>
        <v>1161</v>
      </c>
    </row>
    <row r="778" spans="1:82" ht="61.5" x14ac:dyDescent="0.85">
      <c r="A778" s="20">
        <v>1</v>
      </c>
      <c r="B778" s="66">
        <f>SUBTOTAL(103,$A$558:A778)</f>
        <v>215</v>
      </c>
      <c r="C778" s="24" t="s">
        <v>1957</v>
      </c>
      <c r="D778" s="31">
        <f>E778+F778+G778+H778+I778+J778+L778+N778+P778+R778+T778+U778+V778+W778+X778+Y778+Z778+AA778+AB778+AC778+AD778+AE778</f>
        <v>6971622.4100000001</v>
      </c>
      <c r="E778" s="38">
        <v>0</v>
      </c>
      <c r="F778" s="38">
        <v>0</v>
      </c>
      <c r="G778" s="38">
        <v>0</v>
      </c>
      <c r="H778" s="38">
        <v>0</v>
      </c>
      <c r="I778" s="38">
        <v>0</v>
      </c>
      <c r="J778" s="38">
        <v>0</v>
      </c>
      <c r="K778" s="85">
        <v>0</v>
      </c>
      <c r="L778" s="38">
        <v>0</v>
      </c>
      <c r="M778" s="31">
        <v>1629.6</v>
      </c>
      <c r="N778" s="31">
        <v>6671549.1699999999</v>
      </c>
      <c r="O778" s="31">
        <v>0</v>
      </c>
      <c r="P778" s="31">
        <v>0</v>
      </c>
      <c r="Q778" s="31">
        <v>0</v>
      </c>
      <c r="R778" s="31">
        <v>0</v>
      </c>
      <c r="S778" s="31">
        <v>0</v>
      </c>
      <c r="T778" s="31">
        <v>0</v>
      </c>
      <c r="U778" s="31">
        <v>0</v>
      </c>
      <c r="V778" s="31">
        <v>0</v>
      </c>
      <c r="W778" s="31">
        <v>0</v>
      </c>
      <c r="X778" s="31">
        <v>0</v>
      </c>
      <c r="Y778" s="31">
        <v>0</v>
      </c>
      <c r="Z778" s="31">
        <v>0</v>
      </c>
      <c r="AA778" s="31">
        <v>0</v>
      </c>
      <c r="AB778" s="31">
        <v>0</v>
      </c>
      <c r="AC778" s="31">
        <f>ROUND(N778*1.5%,2)</f>
        <v>100073.24</v>
      </c>
      <c r="AD778" s="31">
        <v>200000</v>
      </c>
      <c r="AE778" s="31">
        <v>0</v>
      </c>
      <c r="AF778" s="34">
        <v>2021</v>
      </c>
      <c r="AG778" s="34">
        <v>2021</v>
      </c>
      <c r="AH778" s="35">
        <v>2021</v>
      </c>
      <c r="BZ778" s="71"/>
    </row>
    <row r="779" spans="1:82" ht="61.5" x14ac:dyDescent="0.85">
      <c r="B779" s="24" t="s">
        <v>823</v>
      </c>
      <c r="C779" s="24"/>
      <c r="D779" s="195">
        <f t="shared" ref="D779:AE779" si="203">SUM(D780:D786)</f>
        <v>19455638.910000004</v>
      </c>
      <c r="E779" s="31">
        <f t="shared" si="203"/>
        <v>0</v>
      </c>
      <c r="F779" s="31">
        <f t="shared" si="203"/>
        <v>0</v>
      </c>
      <c r="G779" s="31">
        <f t="shared" si="203"/>
        <v>0</v>
      </c>
      <c r="H779" s="31">
        <f t="shared" si="203"/>
        <v>0</v>
      </c>
      <c r="I779" s="31">
        <f t="shared" si="203"/>
        <v>0</v>
      </c>
      <c r="J779" s="31">
        <f t="shared" si="203"/>
        <v>0</v>
      </c>
      <c r="K779" s="33">
        <f t="shared" si="203"/>
        <v>0</v>
      </c>
      <c r="L779" s="31">
        <f t="shared" si="203"/>
        <v>0</v>
      </c>
      <c r="M779" s="31">
        <f t="shared" si="203"/>
        <v>3241.9</v>
      </c>
      <c r="N779" s="31">
        <f t="shared" si="203"/>
        <v>18261713.210000001</v>
      </c>
      <c r="O779" s="31">
        <f t="shared" si="203"/>
        <v>0</v>
      </c>
      <c r="P779" s="31">
        <f t="shared" si="203"/>
        <v>0</v>
      </c>
      <c r="Q779" s="31">
        <f t="shared" si="203"/>
        <v>0</v>
      </c>
      <c r="R779" s="31">
        <f t="shared" si="203"/>
        <v>0</v>
      </c>
      <c r="S779" s="31">
        <f t="shared" si="203"/>
        <v>0</v>
      </c>
      <c r="T779" s="31">
        <f t="shared" si="203"/>
        <v>0</v>
      </c>
      <c r="U779" s="31">
        <f t="shared" si="203"/>
        <v>0</v>
      </c>
      <c r="V779" s="31">
        <f t="shared" si="203"/>
        <v>0</v>
      </c>
      <c r="W779" s="31">
        <f t="shared" si="203"/>
        <v>0</v>
      </c>
      <c r="X779" s="31">
        <f t="shared" si="203"/>
        <v>0</v>
      </c>
      <c r="Y779" s="31">
        <f t="shared" si="203"/>
        <v>0</v>
      </c>
      <c r="Z779" s="31">
        <f t="shared" si="203"/>
        <v>0</v>
      </c>
      <c r="AA779" s="31">
        <f t="shared" si="203"/>
        <v>0</v>
      </c>
      <c r="AB779" s="31">
        <f t="shared" si="203"/>
        <v>0</v>
      </c>
      <c r="AC779" s="31">
        <f t="shared" si="203"/>
        <v>273925.7</v>
      </c>
      <c r="AD779" s="31">
        <f t="shared" si="203"/>
        <v>920000</v>
      </c>
      <c r="AE779" s="31">
        <f t="shared" si="203"/>
        <v>0</v>
      </c>
      <c r="AF779" s="72" t="s">
        <v>757</v>
      </c>
      <c r="AG779" s="72" t="s">
        <v>757</v>
      </c>
      <c r="AH779" s="87" t="s">
        <v>757</v>
      </c>
      <c r="AT779" s="20" t="e">
        <f t="shared" ref="AT779:AT808" si="204">VLOOKUP(C779,AW:AX,2,FALSE)</f>
        <v>#N/A</v>
      </c>
      <c r="BZ779" s="71">
        <v>13069363.829999998</v>
      </c>
      <c r="CD779" s="20" t="e">
        <f t="shared" ref="CD779:CD815" si="205">VLOOKUP(C779,CE:CF,2,FALSE)</f>
        <v>#N/A</v>
      </c>
    </row>
    <row r="780" spans="1:82" ht="61.5" x14ac:dyDescent="0.85">
      <c r="A780" s="20">
        <v>1</v>
      </c>
      <c r="B780" s="66">
        <f>SUBTOTAL(103,$A$558:A780)</f>
        <v>216</v>
      </c>
      <c r="C780" s="24" t="s">
        <v>650</v>
      </c>
      <c r="D780" s="31">
        <f>E780+F780+G780+H780+I780+J780+L780+N780+P780+R780+T780+U780+V780+W780+X780+Y780+Z780+AA780+AB780+AC780+AD780+AE780</f>
        <v>2308745</v>
      </c>
      <c r="E780" s="36">
        <v>0</v>
      </c>
      <c r="F780" s="36">
        <v>0</v>
      </c>
      <c r="G780" s="36">
        <v>0</v>
      </c>
      <c r="H780" s="36">
        <v>0</v>
      </c>
      <c r="I780" s="36">
        <v>0</v>
      </c>
      <c r="J780" s="36">
        <v>0</v>
      </c>
      <c r="K780" s="33">
        <v>0</v>
      </c>
      <c r="L780" s="31">
        <v>0</v>
      </c>
      <c r="M780" s="31">
        <v>345</v>
      </c>
      <c r="N780" s="31">
        <v>2156399.0099999998</v>
      </c>
      <c r="O780" s="31">
        <v>0</v>
      </c>
      <c r="P780" s="31">
        <v>0</v>
      </c>
      <c r="Q780" s="31">
        <v>0</v>
      </c>
      <c r="R780" s="31">
        <v>0</v>
      </c>
      <c r="S780" s="31">
        <v>0</v>
      </c>
      <c r="T780" s="31">
        <v>0</v>
      </c>
      <c r="U780" s="31">
        <v>0</v>
      </c>
      <c r="V780" s="31">
        <v>0</v>
      </c>
      <c r="W780" s="31">
        <v>0</v>
      </c>
      <c r="X780" s="31">
        <v>0</v>
      </c>
      <c r="Y780" s="31">
        <v>0</v>
      </c>
      <c r="Z780" s="31">
        <v>0</v>
      </c>
      <c r="AA780" s="31">
        <v>0</v>
      </c>
      <c r="AB780" s="31">
        <v>0</v>
      </c>
      <c r="AC780" s="31">
        <f t="shared" ref="AC780:AC786" si="206">ROUND(N780*1.5%,2)</f>
        <v>32345.99</v>
      </c>
      <c r="AD780" s="31">
        <v>120000</v>
      </c>
      <c r="AE780" s="31">
        <v>0</v>
      </c>
      <c r="AF780" s="34">
        <v>2021</v>
      </c>
      <c r="AG780" s="34">
        <v>2021</v>
      </c>
      <c r="AH780" s="35">
        <v>2021</v>
      </c>
      <c r="AT780" s="20" t="e">
        <f t="shared" si="204"/>
        <v>#N/A</v>
      </c>
      <c r="BZ780" s="71"/>
      <c r="CD780" s="20" t="e">
        <f t="shared" si="205"/>
        <v>#N/A</v>
      </c>
    </row>
    <row r="781" spans="1:82" ht="61.5" x14ac:dyDescent="0.85">
      <c r="A781" s="20">
        <v>1</v>
      </c>
      <c r="B781" s="66">
        <f>SUBTOTAL(103,$A$558:A781)</f>
        <v>217</v>
      </c>
      <c r="C781" s="24" t="s">
        <v>651</v>
      </c>
      <c r="D781" s="31">
        <f>E781+F781+G781+H781+I781+J781+L781+N781+P781+R781+T781+U781+V781+W781+X781+Y781+Z781+AA781+AB781+AC781+AD781+AE781</f>
        <v>50000</v>
      </c>
      <c r="E781" s="36">
        <v>0</v>
      </c>
      <c r="F781" s="36">
        <v>0</v>
      </c>
      <c r="G781" s="36">
        <v>0</v>
      </c>
      <c r="H781" s="36">
        <v>0</v>
      </c>
      <c r="I781" s="36">
        <v>0</v>
      </c>
      <c r="J781" s="36">
        <v>0</v>
      </c>
      <c r="K781" s="33">
        <v>0</v>
      </c>
      <c r="L781" s="31">
        <v>0</v>
      </c>
      <c r="M781" s="31">
        <v>0</v>
      </c>
      <c r="N781" s="31">
        <v>0</v>
      </c>
      <c r="O781" s="31">
        <v>0</v>
      </c>
      <c r="P781" s="31">
        <v>0</v>
      </c>
      <c r="Q781" s="31">
        <v>0</v>
      </c>
      <c r="R781" s="31">
        <v>0</v>
      </c>
      <c r="S781" s="31">
        <v>0</v>
      </c>
      <c r="T781" s="31">
        <v>0</v>
      </c>
      <c r="U781" s="31">
        <v>0</v>
      </c>
      <c r="V781" s="31">
        <v>0</v>
      </c>
      <c r="W781" s="31">
        <v>0</v>
      </c>
      <c r="X781" s="31">
        <v>0</v>
      </c>
      <c r="Y781" s="31">
        <v>0</v>
      </c>
      <c r="Z781" s="31">
        <v>0</v>
      </c>
      <c r="AA781" s="31">
        <v>0</v>
      </c>
      <c r="AB781" s="31">
        <v>0</v>
      </c>
      <c r="AC781" s="31">
        <f t="shared" si="206"/>
        <v>0</v>
      </c>
      <c r="AD781" s="31">
        <v>50000</v>
      </c>
      <c r="AE781" s="31">
        <v>0</v>
      </c>
      <c r="AF781" s="34">
        <v>2021</v>
      </c>
      <c r="AG781" s="34" t="s">
        <v>270</v>
      </c>
      <c r="AH781" s="35" t="s">
        <v>270</v>
      </c>
      <c r="AT781" s="20" t="e">
        <f t="shared" si="204"/>
        <v>#N/A</v>
      </c>
      <c r="BZ781" s="71"/>
      <c r="CD781" s="20" t="e">
        <f t="shared" si="205"/>
        <v>#N/A</v>
      </c>
    </row>
    <row r="782" spans="1:82" ht="61.5" x14ac:dyDescent="0.85">
      <c r="A782" s="20">
        <v>1</v>
      </c>
      <c r="B782" s="66">
        <f>SUBTOTAL(103,$A$558:A782)</f>
        <v>218</v>
      </c>
      <c r="C782" s="24" t="s">
        <v>652</v>
      </c>
      <c r="D782" s="31">
        <f>E782+F782+G782+H782+I782+J782+L782+N782+P782+R782+T782+U782+V782+W782+X782+Y782+Z782+AA782+AB782+AC782+AD782+AE782</f>
        <v>4232403.2300000004</v>
      </c>
      <c r="E782" s="36">
        <v>0</v>
      </c>
      <c r="F782" s="36">
        <v>0</v>
      </c>
      <c r="G782" s="36">
        <v>0</v>
      </c>
      <c r="H782" s="36">
        <v>0</v>
      </c>
      <c r="I782" s="36">
        <v>0</v>
      </c>
      <c r="J782" s="36">
        <v>0</v>
      </c>
      <c r="K782" s="33">
        <v>0</v>
      </c>
      <c r="L782" s="31">
        <v>0</v>
      </c>
      <c r="M782" s="31">
        <v>748</v>
      </c>
      <c r="N782" s="31">
        <f>3999810.84+22261.31</f>
        <v>4022072.15</v>
      </c>
      <c r="O782" s="31">
        <v>0</v>
      </c>
      <c r="P782" s="31">
        <v>0</v>
      </c>
      <c r="Q782" s="31">
        <v>0</v>
      </c>
      <c r="R782" s="31">
        <v>0</v>
      </c>
      <c r="S782" s="31">
        <v>0</v>
      </c>
      <c r="T782" s="31">
        <v>0</v>
      </c>
      <c r="U782" s="31">
        <v>0</v>
      </c>
      <c r="V782" s="31">
        <v>0</v>
      </c>
      <c r="W782" s="31">
        <v>0</v>
      </c>
      <c r="X782" s="31">
        <v>0</v>
      </c>
      <c r="Y782" s="31">
        <v>0</v>
      </c>
      <c r="Z782" s="31">
        <v>0</v>
      </c>
      <c r="AA782" s="31">
        <v>0</v>
      </c>
      <c r="AB782" s="31">
        <v>0</v>
      </c>
      <c r="AC782" s="31">
        <f t="shared" si="206"/>
        <v>60331.08</v>
      </c>
      <c r="AD782" s="31">
        <v>150000</v>
      </c>
      <c r="AE782" s="31">
        <v>0</v>
      </c>
      <c r="AF782" s="34">
        <v>2021</v>
      </c>
      <c r="AG782" s="34">
        <v>2021</v>
      </c>
      <c r="AH782" s="35">
        <v>2021</v>
      </c>
      <c r="AT782" s="20" t="e">
        <f t="shared" si="204"/>
        <v>#N/A</v>
      </c>
      <c r="BZ782" s="71"/>
      <c r="CD782" s="20" t="e">
        <f t="shared" si="205"/>
        <v>#N/A</v>
      </c>
    </row>
    <row r="783" spans="1:82" ht="61.5" x14ac:dyDescent="0.85">
      <c r="A783" s="20">
        <v>1</v>
      </c>
      <c r="B783" s="66">
        <f>SUBTOTAL(103,$A$558:A783)</f>
        <v>219</v>
      </c>
      <c r="C783" s="24" t="s">
        <v>649</v>
      </c>
      <c r="D783" s="31">
        <f>E783+F783+G783+H783+I783+J783+L783+N783+P783+R783+T783+U783+V783+W783+X783+Y783+Z783+AA783+AB783+AC783+AD783+AE783</f>
        <v>3341865.1999999997</v>
      </c>
      <c r="E783" s="36">
        <v>0</v>
      </c>
      <c r="F783" s="36">
        <v>0</v>
      </c>
      <c r="G783" s="36">
        <v>0</v>
      </c>
      <c r="H783" s="36">
        <v>0</v>
      </c>
      <c r="I783" s="36">
        <v>0</v>
      </c>
      <c r="J783" s="36">
        <v>0</v>
      </c>
      <c r="K783" s="33">
        <v>0</v>
      </c>
      <c r="L783" s="31">
        <v>0</v>
      </c>
      <c r="M783" s="31">
        <v>601.20000000000005</v>
      </c>
      <c r="N783" s="31">
        <v>3144694.78</v>
      </c>
      <c r="O783" s="31">
        <v>0</v>
      </c>
      <c r="P783" s="31">
        <v>0</v>
      </c>
      <c r="Q783" s="31">
        <v>0</v>
      </c>
      <c r="R783" s="31">
        <v>0</v>
      </c>
      <c r="S783" s="31">
        <v>0</v>
      </c>
      <c r="T783" s="31">
        <v>0</v>
      </c>
      <c r="U783" s="31">
        <v>0</v>
      </c>
      <c r="V783" s="31">
        <v>0</v>
      </c>
      <c r="W783" s="31">
        <v>0</v>
      </c>
      <c r="X783" s="31">
        <v>0</v>
      </c>
      <c r="Y783" s="31">
        <v>0</v>
      </c>
      <c r="Z783" s="31">
        <v>0</v>
      </c>
      <c r="AA783" s="31">
        <v>0</v>
      </c>
      <c r="AB783" s="31">
        <v>0</v>
      </c>
      <c r="AC783" s="31">
        <f t="shared" si="206"/>
        <v>47170.42</v>
      </c>
      <c r="AD783" s="31">
        <v>150000</v>
      </c>
      <c r="AE783" s="31">
        <v>0</v>
      </c>
      <c r="AF783" s="34">
        <v>2021</v>
      </c>
      <c r="AG783" s="34">
        <v>2021</v>
      </c>
      <c r="AH783" s="35">
        <v>2021</v>
      </c>
      <c r="AT783" s="20" t="e">
        <f t="shared" si="204"/>
        <v>#N/A</v>
      </c>
      <c r="BZ783" s="71"/>
      <c r="CD783" s="20" t="e">
        <f t="shared" si="205"/>
        <v>#N/A</v>
      </c>
    </row>
    <row r="784" spans="1:82" ht="61.5" x14ac:dyDescent="0.85">
      <c r="A784" s="20">
        <v>1</v>
      </c>
      <c r="B784" s="66">
        <f>SUBTOTAL(103,$A$558:A784)</f>
        <v>220</v>
      </c>
      <c r="C784" s="24" t="s">
        <v>1972</v>
      </c>
      <c r="D784" s="31">
        <f t="shared" ref="D784:D786" si="207">E784+F784+G784+H784+I784+J784+L784+N784+P784+R784+T784+U784+V784+W784+X784+Y784+Z784+AA784+AB784+AC784+AD784+AE784</f>
        <v>3773671.0300000003</v>
      </c>
      <c r="E784" s="36">
        <v>0</v>
      </c>
      <c r="F784" s="36">
        <v>0</v>
      </c>
      <c r="G784" s="36">
        <v>0</v>
      </c>
      <c r="H784" s="36">
        <v>0</v>
      </c>
      <c r="I784" s="36">
        <v>0</v>
      </c>
      <c r="J784" s="36">
        <v>0</v>
      </c>
      <c r="K784" s="33">
        <v>0</v>
      </c>
      <c r="L784" s="31">
        <v>0</v>
      </c>
      <c r="M784" s="31">
        <v>703.7</v>
      </c>
      <c r="N784" s="31">
        <v>3570119.24</v>
      </c>
      <c r="O784" s="31">
        <v>0</v>
      </c>
      <c r="P784" s="31">
        <v>0</v>
      </c>
      <c r="Q784" s="31">
        <v>0</v>
      </c>
      <c r="R784" s="31">
        <v>0</v>
      </c>
      <c r="S784" s="31">
        <v>0</v>
      </c>
      <c r="T784" s="31">
        <v>0</v>
      </c>
      <c r="U784" s="31">
        <v>0</v>
      </c>
      <c r="V784" s="31">
        <v>0</v>
      </c>
      <c r="W784" s="31">
        <v>0</v>
      </c>
      <c r="X784" s="31">
        <v>0</v>
      </c>
      <c r="Y784" s="31">
        <v>0</v>
      </c>
      <c r="Z784" s="31">
        <v>0</v>
      </c>
      <c r="AA784" s="31">
        <v>0</v>
      </c>
      <c r="AB784" s="31">
        <v>0</v>
      </c>
      <c r="AC784" s="31">
        <f t="shared" si="206"/>
        <v>53551.79</v>
      </c>
      <c r="AD784" s="31">
        <v>150000</v>
      </c>
      <c r="AE784" s="31">
        <v>0</v>
      </c>
      <c r="AF784" s="34">
        <v>2021</v>
      </c>
      <c r="AG784" s="34">
        <v>2021</v>
      </c>
      <c r="AH784" s="35">
        <v>2021</v>
      </c>
      <c r="AT784" s="20" t="e">
        <f t="shared" si="204"/>
        <v>#N/A</v>
      </c>
      <c r="BZ784" s="71"/>
      <c r="CD784" s="20" t="e">
        <f t="shared" si="205"/>
        <v>#N/A</v>
      </c>
    </row>
    <row r="785" spans="1:82" ht="61.5" x14ac:dyDescent="0.85">
      <c r="A785" s="20">
        <v>1</v>
      </c>
      <c r="B785" s="66">
        <f>SUBTOTAL(103,$A$558:A785)</f>
        <v>221</v>
      </c>
      <c r="C785" s="24" t="s">
        <v>1973</v>
      </c>
      <c r="D785" s="31">
        <f t="shared" si="207"/>
        <v>3256927.5100000002</v>
      </c>
      <c r="E785" s="36">
        <v>0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3">
        <v>0</v>
      </c>
      <c r="L785" s="31">
        <v>0</v>
      </c>
      <c r="M785" s="31">
        <v>490</v>
      </c>
      <c r="N785" s="36">
        <v>3061012.33</v>
      </c>
      <c r="O785" s="31">
        <v>0</v>
      </c>
      <c r="P785" s="31">
        <v>0</v>
      </c>
      <c r="Q785" s="31">
        <v>0</v>
      </c>
      <c r="R785" s="31">
        <v>0</v>
      </c>
      <c r="S785" s="31">
        <v>0</v>
      </c>
      <c r="T785" s="31">
        <v>0</v>
      </c>
      <c r="U785" s="31">
        <v>0</v>
      </c>
      <c r="V785" s="31">
        <v>0</v>
      </c>
      <c r="W785" s="31">
        <v>0</v>
      </c>
      <c r="X785" s="31">
        <v>0</v>
      </c>
      <c r="Y785" s="31">
        <v>0</v>
      </c>
      <c r="Z785" s="31">
        <v>0</v>
      </c>
      <c r="AA785" s="31">
        <v>0</v>
      </c>
      <c r="AB785" s="31">
        <v>0</v>
      </c>
      <c r="AC785" s="31">
        <f t="shared" si="206"/>
        <v>45915.18</v>
      </c>
      <c r="AD785" s="31">
        <v>150000</v>
      </c>
      <c r="AE785" s="31">
        <v>0</v>
      </c>
      <c r="AF785" s="34">
        <v>2021</v>
      </c>
      <c r="AG785" s="34">
        <v>2021</v>
      </c>
      <c r="AH785" s="35">
        <v>2021</v>
      </c>
      <c r="AT785" s="20" t="e">
        <f t="shared" si="204"/>
        <v>#N/A</v>
      </c>
      <c r="BZ785" s="71"/>
      <c r="CD785" s="20" t="e">
        <f t="shared" si="205"/>
        <v>#N/A</v>
      </c>
    </row>
    <row r="786" spans="1:82" ht="61.5" x14ac:dyDescent="0.85">
      <c r="A786" s="20">
        <v>1</v>
      </c>
      <c r="B786" s="66">
        <f>SUBTOTAL(103,$A$558:A786)</f>
        <v>222</v>
      </c>
      <c r="C786" s="24" t="s">
        <v>1977</v>
      </c>
      <c r="D786" s="31">
        <f t="shared" si="207"/>
        <v>2492026.9400000004</v>
      </c>
      <c r="E786" s="36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3">
        <v>0</v>
      </c>
      <c r="L786" s="31">
        <v>0</v>
      </c>
      <c r="M786" s="31">
        <v>354</v>
      </c>
      <c r="N786" s="31">
        <v>2307415.7000000002</v>
      </c>
      <c r="O786" s="31">
        <v>0</v>
      </c>
      <c r="P786" s="31">
        <v>0</v>
      </c>
      <c r="Q786" s="31">
        <v>0</v>
      </c>
      <c r="R786" s="31">
        <v>0</v>
      </c>
      <c r="S786" s="31">
        <v>0</v>
      </c>
      <c r="T786" s="31">
        <v>0</v>
      </c>
      <c r="U786" s="31">
        <v>0</v>
      </c>
      <c r="V786" s="31">
        <v>0</v>
      </c>
      <c r="W786" s="31">
        <v>0</v>
      </c>
      <c r="X786" s="31">
        <v>0</v>
      </c>
      <c r="Y786" s="31">
        <v>0</v>
      </c>
      <c r="Z786" s="31">
        <v>0</v>
      </c>
      <c r="AA786" s="31">
        <v>0</v>
      </c>
      <c r="AB786" s="31">
        <v>0</v>
      </c>
      <c r="AC786" s="31">
        <f t="shared" si="206"/>
        <v>34611.24</v>
      </c>
      <c r="AD786" s="31">
        <v>150000</v>
      </c>
      <c r="AE786" s="31">
        <v>0</v>
      </c>
      <c r="AF786" s="34">
        <v>2021</v>
      </c>
      <c r="AG786" s="34">
        <v>2021</v>
      </c>
      <c r="AH786" s="35">
        <v>2021</v>
      </c>
      <c r="AT786" s="20" t="e">
        <f t="shared" si="204"/>
        <v>#N/A</v>
      </c>
      <c r="BZ786" s="71"/>
      <c r="CD786" s="20" t="e">
        <f t="shared" si="205"/>
        <v>#N/A</v>
      </c>
    </row>
    <row r="787" spans="1:82" ht="61.5" x14ac:dyDescent="0.85">
      <c r="B787" s="24" t="s">
        <v>824</v>
      </c>
      <c r="C787" s="24"/>
      <c r="D787" s="195">
        <f>SUM(D788:D791)</f>
        <v>13606335.93</v>
      </c>
      <c r="E787" s="31">
        <f t="shared" ref="E787:AE787" si="208">SUM(E788:E791)</f>
        <v>126532.34</v>
      </c>
      <c r="F787" s="31">
        <f t="shared" si="208"/>
        <v>0</v>
      </c>
      <c r="G787" s="31">
        <f t="shared" si="208"/>
        <v>1835434.08</v>
      </c>
      <c r="H787" s="31">
        <f t="shared" si="208"/>
        <v>207872.75</v>
      </c>
      <c r="I787" s="31">
        <f t="shared" si="208"/>
        <v>1860166.6600000001</v>
      </c>
      <c r="J787" s="31">
        <f t="shared" si="208"/>
        <v>0</v>
      </c>
      <c r="K787" s="33">
        <f t="shared" si="208"/>
        <v>0</v>
      </c>
      <c r="L787" s="31">
        <f t="shared" si="208"/>
        <v>0</v>
      </c>
      <c r="M787" s="31">
        <f t="shared" si="208"/>
        <v>1780</v>
      </c>
      <c r="N787" s="31">
        <f t="shared" si="208"/>
        <v>8587073.9000000004</v>
      </c>
      <c r="O787" s="31">
        <f t="shared" si="208"/>
        <v>0</v>
      </c>
      <c r="P787" s="31">
        <f t="shared" si="208"/>
        <v>0</v>
      </c>
      <c r="Q787" s="31">
        <f t="shared" si="208"/>
        <v>0</v>
      </c>
      <c r="R787" s="31">
        <f t="shared" si="208"/>
        <v>0</v>
      </c>
      <c r="S787" s="31">
        <f t="shared" si="208"/>
        <v>0</v>
      </c>
      <c r="T787" s="31">
        <f t="shared" si="208"/>
        <v>0</v>
      </c>
      <c r="U787" s="31">
        <f t="shared" si="208"/>
        <v>0</v>
      </c>
      <c r="V787" s="31">
        <f t="shared" si="208"/>
        <v>0</v>
      </c>
      <c r="W787" s="31">
        <f t="shared" si="208"/>
        <v>0</v>
      </c>
      <c r="X787" s="31">
        <f t="shared" si="208"/>
        <v>0</v>
      </c>
      <c r="Y787" s="31">
        <f t="shared" si="208"/>
        <v>0</v>
      </c>
      <c r="Z787" s="31">
        <f t="shared" si="208"/>
        <v>0</v>
      </c>
      <c r="AA787" s="31">
        <f t="shared" si="208"/>
        <v>0</v>
      </c>
      <c r="AB787" s="31">
        <f t="shared" si="208"/>
        <v>0</v>
      </c>
      <c r="AC787" s="31">
        <f t="shared" si="208"/>
        <v>189256.2</v>
      </c>
      <c r="AD787" s="31">
        <f t="shared" si="208"/>
        <v>800000</v>
      </c>
      <c r="AE787" s="31">
        <f t="shared" si="208"/>
        <v>0</v>
      </c>
      <c r="AF787" s="72" t="s">
        <v>757</v>
      </c>
      <c r="AG787" s="72" t="s">
        <v>757</v>
      </c>
      <c r="AH787" s="87" t="s">
        <v>757</v>
      </c>
      <c r="AT787" s="20" t="e">
        <f t="shared" si="204"/>
        <v>#N/A</v>
      </c>
      <c r="BZ787" s="71">
        <v>9045880.0099999998</v>
      </c>
      <c r="CD787" s="20" t="e">
        <f t="shared" si="205"/>
        <v>#N/A</v>
      </c>
    </row>
    <row r="788" spans="1:82" ht="61.5" x14ac:dyDescent="0.85">
      <c r="A788" s="20">
        <v>1</v>
      </c>
      <c r="B788" s="66">
        <f>SUBTOTAL(103,$A$558:A788)</f>
        <v>223</v>
      </c>
      <c r="C788" s="24" t="s">
        <v>657</v>
      </c>
      <c r="D788" s="31">
        <f>E788+F788+G788+H788+I788+J788+L788+N788+P788+R788+T788+U788+V788+W788+X788+Y788+Z788+AA788+AB788+AC788+AD788+AE788</f>
        <v>3550280</v>
      </c>
      <c r="E788" s="36">
        <v>0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3">
        <v>0</v>
      </c>
      <c r="L788" s="31">
        <v>0</v>
      </c>
      <c r="M788" s="31">
        <v>680</v>
      </c>
      <c r="N788" s="31">
        <v>3350029.56</v>
      </c>
      <c r="O788" s="31">
        <v>0</v>
      </c>
      <c r="P788" s="31">
        <v>0</v>
      </c>
      <c r="Q788" s="31">
        <v>0</v>
      </c>
      <c r="R788" s="31">
        <v>0</v>
      </c>
      <c r="S788" s="31">
        <v>0</v>
      </c>
      <c r="T788" s="31">
        <v>0</v>
      </c>
      <c r="U788" s="31">
        <v>0</v>
      </c>
      <c r="V788" s="31">
        <v>0</v>
      </c>
      <c r="W788" s="31">
        <v>0</v>
      </c>
      <c r="X788" s="31">
        <v>0</v>
      </c>
      <c r="Y788" s="31">
        <v>0</v>
      </c>
      <c r="Z788" s="31">
        <v>0</v>
      </c>
      <c r="AA788" s="31">
        <v>0</v>
      </c>
      <c r="AB788" s="31">
        <v>0</v>
      </c>
      <c r="AC788" s="31">
        <f>ROUND(N788*1.5%,2)</f>
        <v>50250.44</v>
      </c>
      <c r="AD788" s="31">
        <v>150000</v>
      </c>
      <c r="AE788" s="31">
        <v>0</v>
      </c>
      <c r="AF788" s="34">
        <v>2021</v>
      </c>
      <c r="AG788" s="34">
        <v>2021</v>
      </c>
      <c r="AH788" s="35">
        <v>2021</v>
      </c>
      <c r="AT788" s="20" t="e">
        <f t="shared" si="204"/>
        <v>#N/A</v>
      </c>
      <c r="BZ788" s="71"/>
      <c r="CD788" s="20" t="e">
        <f t="shared" si="205"/>
        <v>#N/A</v>
      </c>
    </row>
    <row r="789" spans="1:82" ht="61.5" x14ac:dyDescent="0.85">
      <c r="A789" s="20">
        <v>1</v>
      </c>
      <c r="B789" s="66">
        <f>SUBTOTAL(103,$A$558:A789)</f>
        <v>224</v>
      </c>
      <c r="C789" s="24" t="s">
        <v>660</v>
      </c>
      <c r="D789" s="31">
        <f>E789+F789+G789+H789+I789+J789+L789+N789+P789+R789+T789+U789+V789+W789+X789+Y789+Z789+AA789+AB789+AC789+AD789+AE789</f>
        <v>5495600.0099999998</v>
      </c>
      <c r="E789" s="38">
        <v>0</v>
      </c>
      <c r="F789" s="38">
        <v>0</v>
      </c>
      <c r="G789" s="38">
        <v>0</v>
      </c>
      <c r="H789" s="38">
        <v>0</v>
      </c>
      <c r="I789" s="38">
        <v>0</v>
      </c>
      <c r="J789" s="38">
        <v>0</v>
      </c>
      <c r="K789" s="85">
        <v>0</v>
      </c>
      <c r="L789" s="38">
        <v>0</v>
      </c>
      <c r="M789" s="31">
        <v>1100</v>
      </c>
      <c r="N789" s="31">
        <v>5237044.34</v>
      </c>
      <c r="O789" s="31">
        <v>0</v>
      </c>
      <c r="P789" s="31">
        <v>0</v>
      </c>
      <c r="Q789" s="31">
        <v>0</v>
      </c>
      <c r="R789" s="31">
        <v>0</v>
      </c>
      <c r="S789" s="31">
        <v>0</v>
      </c>
      <c r="T789" s="31">
        <v>0</v>
      </c>
      <c r="U789" s="31">
        <v>0</v>
      </c>
      <c r="V789" s="31">
        <v>0</v>
      </c>
      <c r="W789" s="31">
        <v>0</v>
      </c>
      <c r="X789" s="31">
        <v>0</v>
      </c>
      <c r="Y789" s="31">
        <v>0</v>
      </c>
      <c r="Z789" s="31">
        <v>0</v>
      </c>
      <c r="AA789" s="31">
        <v>0</v>
      </c>
      <c r="AB789" s="31">
        <v>0</v>
      </c>
      <c r="AC789" s="31">
        <f>ROUND(N789*1.5%,2)</f>
        <v>78555.67</v>
      </c>
      <c r="AD789" s="31">
        <v>180000</v>
      </c>
      <c r="AE789" s="31">
        <v>0</v>
      </c>
      <c r="AF789" s="34">
        <v>2021</v>
      </c>
      <c r="AG789" s="34">
        <v>2021</v>
      </c>
      <c r="AH789" s="35">
        <v>2021</v>
      </c>
      <c r="AT789" s="20" t="e">
        <f t="shared" si="204"/>
        <v>#N/A</v>
      </c>
      <c r="BZ789" s="71"/>
      <c r="CD789" s="20" t="e">
        <f t="shared" si="205"/>
        <v>#N/A</v>
      </c>
    </row>
    <row r="790" spans="1:82" ht="61.5" x14ac:dyDescent="0.85">
      <c r="A790" s="20">
        <v>1</v>
      </c>
      <c r="B790" s="66">
        <f>SUBTOTAL(103,$A$558:A790)</f>
        <v>225</v>
      </c>
      <c r="C790" s="24" t="s">
        <v>1929</v>
      </c>
      <c r="D790" s="31">
        <f>E790+F790+G790+H790+I790+J790+L790+N790+P790+R790+T790+U790+V790+W790+X790+Y790+Z790+AA790+AB790+AC790+AD790+AE790</f>
        <v>3582812.32</v>
      </c>
      <c r="E790" s="38">
        <v>126532.34</v>
      </c>
      <c r="F790" s="38">
        <v>0</v>
      </c>
      <c r="G790" s="38">
        <f>2070237.87-234803.79</f>
        <v>1835434.08</v>
      </c>
      <c r="H790" s="38">
        <v>207872.75</v>
      </c>
      <c r="I790" s="38">
        <v>1044754.25</v>
      </c>
      <c r="J790" s="38">
        <v>0</v>
      </c>
      <c r="K790" s="85">
        <v>0</v>
      </c>
      <c r="L790" s="38">
        <v>0</v>
      </c>
      <c r="M790" s="31">
        <v>0</v>
      </c>
      <c r="N790" s="31">
        <v>0</v>
      </c>
      <c r="O790" s="31">
        <v>0</v>
      </c>
      <c r="P790" s="31">
        <v>0</v>
      </c>
      <c r="Q790" s="31">
        <v>0</v>
      </c>
      <c r="R790" s="31">
        <v>0</v>
      </c>
      <c r="S790" s="31">
        <v>0</v>
      </c>
      <c r="T790" s="31">
        <v>0</v>
      </c>
      <c r="U790" s="31">
        <v>0</v>
      </c>
      <c r="V790" s="31">
        <v>0</v>
      </c>
      <c r="W790" s="31">
        <v>0</v>
      </c>
      <c r="X790" s="31">
        <v>0</v>
      </c>
      <c r="Y790" s="31">
        <v>0</v>
      </c>
      <c r="Z790" s="31">
        <v>0</v>
      </c>
      <c r="AA790" s="31">
        <v>0</v>
      </c>
      <c r="AB790" s="31">
        <v>0</v>
      </c>
      <c r="AC790" s="31">
        <f>ROUND((E790+G790+H790+I790)*1.5%,2)</f>
        <v>48218.9</v>
      </c>
      <c r="AD790" s="31">
        <v>320000</v>
      </c>
      <c r="AE790" s="31">
        <v>0</v>
      </c>
      <c r="AF790" s="34">
        <v>2021</v>
      </c>
      <c r="AG790" s="34">
        <v>2021</v>
      </c>
      <c r="AH790" s="35">
        <v>2021</v>
      </c>
      <c r="AT790" s="20" t="e">
        <f t="shared" si="204"/>
        <v>#N/A</v>
      </c>
      <c r="BZ790" s="71"/>
      <c r="CD790" s="20" t="e">
        <f t="shared" si="205"/>
        <v>#N/A</v>
      </c>
    </row>
    <row r="791" spans="1:82" ht="61.5" x14ac:dyDescent="0.85">
      <c r="A791" s="20">
        <v>1</v>
      </c>
      <c r="B791" s="66">
        <f>SUBTOTAL(103,$A$558:A791)</f>
        <v>226</v>
      </c>
      <c r="C791" s="24" t="s">
        <v>1958</v>
      </c>
      <c r="D791" s="31">
        <f>E791+F791+G791+H791+I791+J791+L791+N791+P791+R791+T791+U791+V791+W791+X791+Y791+Z791+AA791+AB791+AC791+AD791+AE791</f>
        <v>977643.6</v>
      </c>
      <c r="E791" s="38">
        <v>0</v>
      </c>
      <c r="F791" s="38">
        <v>0</v>
      </c>
      <c r="G791" s="38">
        <v>0</v>
      </c>
      <c r="H791" s="38">
        <v>0</v>
      </c>
      <c r="I791" s="38">
        <v>815412.41</v>
      </c>
      <c r="J791" s="38">
        <v>0</v>
      </c>
      <c r="K791" s="85">
        <v>0</v>
      </c>
      <c r="L791" s="38">
        <v>0</v>
      </c>
      <c r="M791" s="31">
        <v>0</v>
      </c>
      <c r="N791" s="31">
        <v>0</v>
      </c>
      <c r="O791" s="31">
        <v>0</v>
      </c>
      <c r="P791" s="31">
        <v>0</v>
      </c>
      <c r="Q791" s="31">
        <v>0</v>
      </c>
      <c r="R791" s="31">
        <v>0</v>
      </c>
      <c r="S791" s="31">
        <v>0</v>
      </c>
      <c r="T791" s="31">
        <v>0</v>
      </c>
      <c r="U791" s="31">
        <v>0</v>
      </c>
      <c r="V791" s="31">
        <v>0</v>
      </c>
      <c r="W791" s="31">
        <v>0</v>
      </c>
      <c r="X791" s="31">
        <v>0</v>
      </c>
      <c r="Y791" s="31">
        <v>0</v>
      </c>
      <c r="Z791" s="31">
        <v>0</v>
      </c>
      <c r="AA791" s="31">
        <v>0</v>
      </c>
      <c r="AB791" s="31">
        <v>0</v>
      </c>
      <c r="AC791" s="31">
        <f>ROUND((E791+G791+H791+I791)*1.5%,2)</f>
        <v>12231.19</v>
      </c>
      <c r="AD791" s="31">
        <v>150000</v>
      </c>
      <c r="AE791" s="31">
        <v>0</v>
      </c>
      <c r="AF791" s="34">
        <v>2021</v>
      </c>
      <c r="AG791" s="34">
        <v>2021</v>
      </c>
      <c r="AH791" s="35">
        <v>2021</v>
      </c>
      <c r="AT791" s="20" t="e">
        <f t="shared" si="204"/>
        <v>#N/A</v>
      </c>
      <c r="BZ791" s="71"/>
      <c r="CD791" s="20" t="e">
        <f t="shared" si="205"/>
        <v>#N/A</v>
      </c>
    </row>
    <row r="792" spans="1:82" ht="61.5" x14ac:dyDescent="0.85">
      <c r="B792" s="24" t="s">
        <v>825</v>
      </c>
      <c r="C792" s="108"/>
      <c r="D792" s="195">
        <f t="shared" ref="D792:AE792" si="209">SUM(D793:D793)</f>
        <v>2579501.7000000002</v>
      </c>
      <c r="E792" s="31">
        <f t="shared" si="209"/>
        <v>0</v>
      </c>
      <c r="F792" s="31">
        <f t="shared" si="209"/>
        <v>0</v>
      </c>
      <c r="G792" s="31">
        <f t="shared" si="209"/>
        <v>0</v>
      </c>
      <c r="H792" s="31">
        <f t="shared" si="209"/>
        <v>0</v>
      </c>
      <c r="I792" s="31">
        <f t="shared" si="209"/>
        <v>0</v>
      </c>
      <c r="J792" s="31">
        <f t="shared" si="209"/>
        <v>0</v>
      </c>
      <c r="K792" s="33">
        <f t="shared" si="209"/>
        <v>0</v>
      </c>
      <c r="L792" s="31">
        <f t="shared" si="209"/>
        <v>0</v>
      </c>
      <c r="M792" s="31">
        <f t="shared" si="209"/>
        <v>1040</v>
      </c>
      <c r="N792" s="31">
        <f t="shared" si="209"/>
        <v>2393597.73</v>
      </c>
      <c r="O792" s="31">
        <f t="shared" si="209"/>
        <v>0</v>
      </c>
      <c r="P792" s="31">
        <f t="shared" si="209"/>
        <v>0</v>
      </c>
      <c r="Q792" s="31">
        <f t="shared" si="209"/>
        <v>0</v>
      </c>
      <c r="R792" s="31">
        <f t="shared" si="209"/>
        <v>0</v>
      </c>
      <c r="S792" s="31">
        <f t="shared" si="209"/>
        <v>0</v>
      </c>
      <c r="T792" s="31">
        <f t="shared" si="209"/>
        <v>0</v>
      </c>
      <c r="U792" s="31">
        <f t="shared" si="209"/>
        <v>0</v>
      </c>
      <c r="V792" s="31">
        <f t="shared" si="209"/>
        <v>0</v>
      </c>
      <c r="W792" s="31">
        <f t="shared" si="209"/>
        <v>0</v>
      </c>
      <c r="X792" s="31">
        <f t="shared" si="209"/>
        <v>0</v>
      </c>
      <c r="Y792" s="31">
        <f t="shared" si="209"/>
        <v>0</v>
      </c>
      <c r="Z792" s="31">
        <f t="shared" si="209"/>
        <v>0</v>
      </c>
      <c r="AA792" s="31">
        <f t="shared" si="209"/>
        <v>0</v>
      </c>
      <c r="AB792" s="31">
        <f t="shared" si="209"/>
        <v>0</v>
      </c>
      <c r="AC792" s="31">
        <f t="shared" si="209"/>
        <v>35903.97</v>
      </c>
      <c r="AD792" s="31">
        <f t="shared" si="209"/>
        <v>150000</v>
      </c>
      <c r="AE792" s="31">
        <f t="shared" si="209"/>
        <v>0</v>
      </c>
      <c r="AF792" s="72" t="s">
        <v>757</v>
      </c>
      <c r="AG792" s="72" t="s">
        <v>757</v>
      </c>
      <c r="AH792" s="87" t="s">
        <v>757</v>
      </c>
      <c r="AT792" s="20" t="e">
        <f t="shared" si="204"/>
        <v>#N/A</v>
      </c>
      <c r="BZ792" s="71">
        <v>2579501.7000000002</v>
      </c>
      <c r="CD792" s="20" t="e">
        <f t="shared" si="205"/>
        <v>#N/A</v>
      </c>
    </row>
    <row r="793" spans="1:82" ht="61.5" x14ac:dyDescent="0.85">
      <c r="A793" s="20">
        <v>1</v>
      </c>
      <c r="B793" s="66">
        <f>SUBTOTAL(103,$A$558:A793)</f>
        <v>227</v>
      </c>
      <c r="C793" s="24" t="s">
        <v>765</v>
      </c>
      <c r="D793" s="31">
        <f>E793+F793+G793+H793+I793+J793+L793+N793+P793+R793+T793+U793+V793+W793+X793+Y793+Z793+AA793+AB793+AC793+AD793+AE793</f>
        <v>2579501.7000000002</v>
      </c>
      <c r="E793" s="31">
        <v>0</v>
      </c>
      <c r="F793" s="31">
        <v>0</v>
      </c>
      <c r="G793" s="31">
        <v>0</v>
      </c>
      <c r="H793" s="31">
        <v>0</v>
      </c>
      <c r="I793" s="31">
        <v>0</v>
      </c>
      <c r="J793" s="31">
        <v>0</v>
      </c>
      <c r="K793" s="33">
        <v>0</v>
      </c>
      <c r="L793" s="31">
        <v>0</v>
      </c>
      <c r="M793" s="31">
        <v>1040</v>
      </c>
      <c r="N793" s="31">
        <v>2393597.73</v>
      </c>
      <c r="O793" s="31">
        <v>0</v>
      </c>
      <c r="P793" s="31">
        <v>0</v>
      </c>
      <c r="Q793" s="31">
        <v>0</v>
      </c>
      <c r="R793" s="31">
        <v>0</v>
      </c>
      <c r="S793" s="31">
        <v>0</v>
      </c>
      <c r="T793" s="31">
        <v>0</v>
      </c>
      <c r="U793" s="31">
        <v>0</v>
      </c>
      <c r="V793" s="31">
        <v>0</v>
      </c>
      <c r="W793" s="31">
        <v>0</v>
      </c>
      <c r="X793" s="31">
        <v>0</v>
      </c>
      <c r="Y793" s="31">
        <v>0</v>
      </c>
      <c r="Z793" s="31">
        <v>0</v>
      </c>
      <c r="AA793" s="31">
        <v>0</v>
      </c>
      <c r="AB793" s="31">
        <v>0</v>
      </c>
      <c r="AC793" s="31">
        <f>ROUND(N793*1.5%,2)</f>
        <v>35903.97</v>
      </c>
      <c r="AD793" s="31">
        <v>150000</v>
      </c>
      <c r="AE793" s="31">
        <v>0</v>
      </c>
      <c r="AF793" s="34">
        <v>2021</v>
      </c>
      <c r="AG793" s="34">
        <v>2021</v>
      </c>
      <c r="AH793" s="35">
        <v>2021</v>
      </c>
      <c r="AT793" s="20" t="e">
        <f t="shared" si="204"/>
        <v>#N/A</v>
      </c>
      <c r="BZ793" s="71"/>
      <c r="CD793" s="20" t="e">
        <f t="shared" si="205"/>
        <v>#N/A</v>
      </c>
    </row>
    <row r="794" spans="1:82" ht="61.5" x14ac:dyDescent="0.85">
      <c r="B794" s="24" t="s">
        <v>827</v>
      </c>
      <c r="C794" s="24"/>
      <c r="D794" s="195">
        <f t="shared" ref="D794:AE794" si="210">SUM(D795:D797)</f>
        <v>3119161.9899999998</v>
      </c>
      <c r="E794" s="31">
        <f t="shared" si="210"/>
        <v>0</v>
      </c>
      <c r="F794" s="31">
        <f t="shared" si="210"/>
        <v>0</v>
      </c>
      <c r="G794" s="31">
        <f t="shared" si="210"/>
        <v>0</v>
      </c>
      <c r="H794" s="31">
        <f t="shared" si="210"/>
        <v>0</v>
      </c>
      <c r="I794" s="31">
        <f t="shared" si="210"/>
        <v>466362.82000000007</v>
      </c>
      <c r="J794" s="31">
        <f t="shared" si="210"/>
        <v>0</v>
      </c>
      <c r="K794" s="33">
        <f t="shared" si="210"/>
        <v>0</v>
      </c>
      <c r="L794" s="31">
        <f t="shared" si="210"/>
        <v>0</v>
      </c>
      <c r="M794" s="31">
        <f t="shared" si="210"/>
        <v>646</v>
      </c>
      <c r="N794" s="31">
        <f t="shared" si="210"/>
        <v>2419511.06</v>
      </c>
      <c r="O794" s="31">
        <f t="shared" si="210"/>
        <v>0</v>
      </c>
      <c r="P794" s="31">
        <f t="shared" si="210"/>
        <v>0</v>
      </c>
      <c r="Q794" s="31">
        <f t="shared" si="210"/>
        <v>0</v>
      </c>
      <c r="R794" s="31">
        <f t="shared" si="210"/>
        <v>0</v>
      </c>
      <c r="S794" s="31">
        <f t="shared" si="210"/>
        <v>0</v>
      </c>
      <c r="T794" s="31">
        <f t="shared" si="210"/>
        <v>0</v>
      </c>
      <c r="U794" s="31">
        <f t="shared" si="210"/>
        <v>0</v>
      </c>
      <c r="V794" s="31">
        <f t="shared" si="210"/>
        <v>0</v>
      </c>
      <c r="W794" s="31">
        <f t="shared" si="210"/>
        <v>0</v>
      </c>
      <c r="X794" s="31">
        <f t="shared" si="210"/>
        <v>0</v>
      </c>
      <c r="Y794" s="31">
        <f t="shared" si="210"/>
        <v>0</v>
      </c>
      <c r="Z794" s="31">
        <f t="shared" si="210"/>
        <v>0</v>
      </c>
      <c r="AA794" s="31">
        <f t="shared" si="210"/>
        <v>0</v>
      </c>
      <c r="AB794" s="31">
        <f t="shared" si="210"/>
        <v>0</v>
      </c>
      <c r="AC794" s="31">
        <f t="shared" si="210"/>
        <v>43288.11</v>
      </c>
      <c r="AD794" s="31">
        <f t="shared" si="210"/>
        <v>190000</v>
      </c>
      <c r="AE794" s="31">
        <f t="shared" si="210"/>
        <v>0</v>
      </c>
      <c r="AF794" s="72" t="s">
        <v>757</v>
      </c>
      <c r="AG794" s="72" t="s">
        <v>757</v>
      </c>
      <c r="AH794" s="87" t="s">
        <v>757</v>
      </c>
      <c r="AT794" s="20" t="e">
        <f t="shared" si="204"/>
        <v>#N/A</v>
      </c>
      <c r="BZ794" s="71">
        <v>3008567.42</v>
      </c>
      <c r="CD794" s="20" t="e">
        <f t="shared" si="205"/>
        <v>#N/A</v>
      </c>
    </row>
    <row r="795" spans="1:82" ht="61.5" x14ac:dyDescent="0.85">
      <c r="A795" s="20">
        <v>1</v>
      </c>
      <c r="B795" s="66">
        <f>SUBTOTAL(103,$A$558:A795)</f>
        <v>228</v>
      </c>
      <c r="C795" s="24" t="s">
        <v>691</v>
      </c>
      <c r="D795" s="31">
        <f>E795+F795+G795+H795+I795+J795+L795+N795+P795+R795+T795+U795+V795+W795+X795+Y795+Z795+AA795+AB795+AC795+AD795+AE795</f>
        <v>2605803.73</v>
      </c>
      <c r="E795" s="31">
        <v>0</v>
      </c>
      <c r="F795" s="31">
        <v>0</v>
      </c>
      <c r="G795" s="31">
        <v>0</v>
      </c>
      <c r="H795" s="31">
        <v>0</v>
      </c>
      <c r="I795" s="31">
        <v>0</v>
      </c>
      <c r="J795" s="31">
        <v>0</v>
      </c>
      <c r="K795" s="33">
        <v>0</v>
      </c>
      <c r="L795" s="31">
        <v>0</v>
      </c>
      <c r="M795" s="31">
        <v>646</v>
      </c>
      <c r="N795" s="31">
        <v>2419511.06</v>
      </c>
      <c r="O795" s="31">
        <v>0</v>
      </c>
      <c r="P795" s="31">
        <v>0</v>
      </c>
      <c r="Q795" s="31">
        <v>0</v>
      </c>
      <c r="R795" s="31">
        <v>0</v>
      </c>
      <c r="S795" s="31">
        <v>0</v>
      </c>
      <c r="T795" s="31">
        <v>0</v>
      </c>
      <c r="U795" s="31">
        <v>0</v>
      </c>
      <c r="V795" s="31">
        <v>0</v>
      </c>
      <c r="W795" s="31">
        <v>0</v>
      </c>
      <c r="X795" s="31">
        <v>0</v>
      </c>
      <c r="Y795" s="31">
        <v>0</v>
      </c>
      <c r="Z795" s="31">
        <v>0</v>
      </c>
      <c r="AA795" s="31">
        <v>0</v>
      </c>
      <c r="AB795" s="31">
        <v>0</v>
      </c>
      <c r="AC795" s="31">
        <f>ROUND(N795*1.5%,2)</f>
        <v>36292.67</v>
      </c>
      <c r="AD795" s="31">
        <v>150000</v>
      </c>
      <c r="AE795" s="31">
        <v>0</v>
      </c>
      <c r="AF795" s="34">
        <v>2021</v>
      </c>
      <c r="AG795" s="34">
        <v>2021</v>
      </c>
      <c r="AH795" s="35">
        <v>2021</v>
      </c>
      <c r="AT795" s="20" t="e">
        <f t="shared" si="204"/>
        <v>#N/A</v>
      </c>
      <c r="BZ795" s="71"/>
      <c r="CD795" s="20" t="e">
        <f t="shared" si="205"/>
        <v>#N/A</v>
      </c>
    </row>
    <row r="796" spans="1:82" ht="61.5" x14ac:dyDescent="0.85">
      <c r="A796" s="20">
        <v>1</v>
      </c>
      <c r="B796" s="66">
        <f>SUBTOTAL(103,$A$558:A796)</f>
        <v>229</v>
      </c>
      <c r="C796" s="24" t="s">
        <v>683</v>
      </c>
      <c r="D796" s="31">
        <f>E796+F796+G796+H796+I796+J796+L796+N796+P796+R796+T796+U796+V796+W796+X796+Y796+Z796+AA796+AB796+AC796+AD796+AE796</f>
        <v>402763.69</v>
      </c>
      <c r="E796" s="31">
        <v>0</v>
      </c>
      <c r="F796" s="31">
        <v>0</v>
      </c>
      <c r="G796" s="31">
        <v>0</v>
      </c>
      <c r="H796" s="31">
        <v>0</v>
      </c>
      <c r="I796" s="31">
        <v>357402.65</v>
      </c>
      <c r="J796" s="31">
        <v>0</v>
      </c>
      <c r="K796" s="33">
        <v>0</v>
      </c>
      <c r="L796" s="31">
        <v>0</v>
      </c>
      <c r="M796" s="31">
        <v>0</v>
      </c>
      <c r="N796" s="31">
        <v>0</v>
      </c>
      <c r="O796" s="31">
        <v>0</v>
      </c>
      <c r="P796" s="31">
        <v>0</v>
      </c>
      <c r="Q796" s="31">
        <v>0</v>
      </c>
      <c r="R796" s="31">
        <v>0</v>
      </c>
      <c r="S796" s="31">
        <v>0</v>
      </c>
      <c r="T796" s="31">
        <v>0</v>
      </c>
      <c r="U796" s="31">
        <v>0</v>
      </c>
      <c r="V796" s="31">
        <v>0</v>
      </c>
      <c r="W796" s="31">
        <v>0</v>
      </c>
      <c r="X796" s="31">
        <v>0</v>
      </c>
      <c r="Y796" s="31">
        <v>0</v>
      </c>
      <c r="Z796" s="31">
        <v>0</v>
      </c>
      <c r="AA796" s="31">
        <v>0</v>
      </c>
      <c r="AB796" s="31">
        <v>0</v>
      </c>
      <c r="AC796" s="31">
        <f>ROUND((E796+F796+G796+H796+I796+J796)*1.5%,2)</f>
        <v>5361.04</v>
      </c>
      <c r="AD796" s="31">
        <v>40000</v>
      </c>
      <c r="AE796" s="31">
        <v>0</v>
      </c>
      <c r="AF796" s="34">
        <v>2021</v>
      </c>
      <c r="AG796" s="34">
        <v>2021</v>
      </c>
      <c r="AH796" s="35">
        <v>2021</v>
      </c>
      <c r="AT796" s="20" t="e">
        <f t="shared" si="204"/>
        <v>#N/A</v>
      </c>
      <c r="BZ796" s="71"/>
      <c r="CD796" s="20" t="e">
        <f t="shared" si="205"/>
        <v>#N/A</v>
      </c>
    </row>
    <row r="797" spans="1:82" ht="61.5" x14ac:dyDescent="0.85">
      <c r="A797" s="20">
        <v>1</v>
      </c>
      <c r="B797" s="66">
        <f>SUBTOTAL(103,$A$558:A797)</f>
        <v>230</v>
      </c>
      <c r="C797" s="24" t="s">
        <v>688</v>
      </c>
      <c r="D797" s="31">
        <f>E797+F797+G797+H797+I797+J797+L797+N797+P797+R797+T797+U797+V797+W797+X797+Y797+Z797+AA797+AB797+AC797+AD797+AE797</f>
        <v>110594.57</v>
      </c>
      <c r="E797" s="38">
        <v>0</v>
      </c>
      <c r="F797" s="38">
        <v>0</v>
      </c>
      <c r="G797" s="31">
        <v>0</v>
      </c>
      <c r="H797" s="38">
        <v>0</v>
      </c>
      <c r="I797" s="31">
        <v>108960.17000000001</v>
      </c>
      <c r="J797" s="38">
        <v>0</v>
      </c>
      <c r="K797" s="74">
        <v>0</v>
      </c>
      <c r="L797" s="31">
        <v>0</v>
      </c>
      <c r="M797" s="31">
        <v>0</v>
      </c>
      <c r="N797" s="31">
        <v>0</v>
      </c>
      <c r="O797" s="38">
        <v>0</v>
      </c>
      <c r="P797" s="38">
        <v>0</v>
      </c>
      <c r="Q797" s="31">
        <v>0</v>
      </c>
      <c r="R797" s="31">
        <v>0</v>
      </c>
      <c r="S797" s="31">
        <v>0</v>
      </c>
      <c r="T797" s="31">
        <v>0</v>
      </c>
      <c r="U797" s="31">
        <v>0</v>
      </c>
      <c r="V797" s="31">
        <v>0</v>
      </c>
      <c r="W797" s="31">
        <v>0</v>
      </c>
      <c r="X797" s="31">
        <v>0</v>
      </c>
      <c r="Y797" s="31">
        <v>0</v>
      </c>
      <c r="Z797" s="31">
        <v>0</v>
      </c>
      <c r="AA797" s="31">
        <v>0</v>
      </c>
      <c r="AB797" s="31">
        <v>0</v>
      </c>
      <c r="AC797" s="31">
        <f>ROUND((E797+F797+G797+H797+I797+J797)*1.5%,2)</f>
        <v>1634.4</v>
      </c>
      <c r="AD797" s="31">
        <v>0</v>
      </c>
      <c r="AE797" s="31">
        <v>0</v>
      </c>
      <c r="AF797" s="34" t="s">
        <v>270</v>
      </c>
      <c r="AG797" s="34">
        <v>2021</v>
      </c>
      <c r="AH797" s="35">
        <v>2021</v>
      </c>
      <c r="AT797" s="20" t="e">
        <f t="shared" si="204"/>
        <v>#N/A</v>
      </c>
      <c r="BZ797" s="71"/>
      <c r="CD797" s="20" t="e">
        <f t="shared" si="205"/>
        <v>#N/A</v>
      </c>
    </row>
    <row r="798" spans="1:82" ht="61.5" x14ac:dyDescent="0.85">
      <c r="B798" s="24" t="s">
        <v>872</v>
      </c>
      <c r="C798" s="24"/>
      <c r="D798" s="195">
        <f t="shared" ref="D798:AE798" si="211">D799</f>
        <v>3080948</v>
      </c>
      <c r="E798" s="31">
        <f t="shared" si="211"/>
        <v>0</v>
      </c>
      <c r="F798" s="31">
        <f t="shared" si="211"/>
        <v>0</v>
      </c>
      <c r="G798" s="31">
        <f t="shared" si="211"/>
        <v>0</v>
      </c>
      <c r="H798" s="31">
        <f t="shared" si="211"/>
        <v>0</v>
      </c>
      <c r="I798" s="31">
        <f t="shared" si="211"/>
        <v>0</v>
      </c>
      <c r="J798" s="31">
        <f t="shared" si="211"/>
        <v>0</v>
      </c>
      <c r="K798" s="33">
        <f t="shared" si="211"/>
        <v>0</v>
      </c>
      <c r="L798" s="31">
        <f t="shared" si="211"/>
        <v>0</v>
      </c>
      <c r="M798" s="31">
        <f t="shared" si="211"/>
        <v>520</v>
      </c>
      <c r="N798" s="31">
        <f t="shared" si="211"/>
        <v>2887633.5</v>
      </c>
      <c r="O798" s="31">
        <f t="shared" si="211"/>
        <v>0</v>
      </c>
      <c r="P798" s="31">
        <f t="shared" si="211"/>
        <v>0</v>
      </c>
      <c r="Q798" s="31">
        <f t="shared" si="211"/>
        <v>0</v>
      </c>
      <c r="R798" s="31">
        <f t="shared" si="211"/>
        <v>0</v>
      </c>
      <c r="S798" s="31">
        <f t="shared" si="211"/>
        <v>0</v>
      </c>
      <c r="T798" s="31">
        <f t="shared" si="211"/>
        <v>0</v>
      </c>
      <c r="U798" s="31">
        <f t="shared" si="211"/>
        <v>0</v>
      </c>
      <c r="V798" s="31">
        <f t="shared" si="211"/>
        <v>0</v>
      </c>
      <c r="W798" s="31">
        <f t="shared" si="211"/>
        <v>0</v>
      </c>
      <c r="X798" s="31">
        <f t="shared" si="211"/>
        <v>0</v>
      </c>
      <c r="Y798" s="31">
        <f t="shared" si="211"/>
        <v>0</v>
      </c>
      <c r="Z798" s="31">
        <f t="shared" si="211"/>
        <v>0</v>
      </c>
      <c r="AA798" s="31">
        <f t="shared" si="211"/>
        <v>0</v>
      </c>
      <c r="AB798" s="31">
        <f t="shared" si="211"/>
        <v>0</v>
      </c>
      <c r="AC798" s="31">
        <f t="shared" si="211"/>
        <v>43314.5</v>
      </c>
      <c r="AD798" s="31">
        <f t="shared" si="211"/>
        <v>150000</v>
      </c>
      <c r="AE798" s="31">
        <f t="shared" si="211"/>
        <v>0</v>
      </c>
      <c r="AF798" s="72" t="s">
        <v>757</v>
      </c>
      <c r="AG798" s="72" t="s">
        <v>757</v>
      </c>
      <c r="AH798" s="87" t="s">
        <v>757</v>
      </c>
      <c r="AT798" s="20" t="e">
        <f t="shared" si="204"/>
        <v>#N/A</v>
      </c>
      <c r="BZ798" s="71">
        <v>3080948</v>
      </c>
      <c r="CD798" s="20" t="e">
        <f t="shared" si="205"/>
        <v>#N/A</v>
      </c>
    </row>
    <row r="799" spans="1:82" ht="61.5" x14ac:dyDescent="0.85">
      <c r="A799" s="20">
        <v>1</v>
      </c>
      <c r="B799" s="66">
        <f>SUBTOTAL(103,$A$558:A799)</f>
        <v>231</v>
      </c>
      <c r="C799" s="24" t="s">
        <v>677</v>
      </c>
      <c r="D799" s="31">
        <f>E799+F799+G799+H799+I799+J799+L799+N799+P799+R799+T799+U799+V799+W799+X799+Y799+Z799+AA799+AB799+AC799+AD799+AE799</f>
        <v>3080948</v>
      </c>
      <c r="E799" s="31">
        <v>0</v>
      </c>
      <c r="F799" s="31">
        <v>0</v>
      </c>
      <c r="G799" s="31">
        <v>0</v>
      </c>
      <c r="H799" s="31">
        <v>0</v>
      </c>
      <c r="I799" s="31">
        <v>0</v>
      </c>
      <c r="J799" s="31">
        <v>0</v>
      </c>
      <c r="K799" s="33">
        <v>0</v>
      </c>
      <c r="L799" s="31">
        <v>0</v>
      </c>
      <c r="M799" s="31">
        <v>520</v>
      </c>
      <c r="N799" s="31">
        <v>2887633.5</v>
      </c>
      <c r="O799" s="31">
        <v>0</v>
      </c>
      <c r="P799" s="31">
        <v>0</v>
      </c>
      <c r="Q799" s="31">
        <v>0</v>
      </c>
      <c r="R799" s="31">
        <v>0</v>
      </c>
      <c r="S799" s="31">
        <v>0</v>
      </c>
      <c r="T799" s="31">
        <v>0</v>
      </c>
      <c r="U799" s="31">
        <v>0</v>
      </c>
      <c r="V799" s="31">
        <v>0</v>
      </c>
      <c r="W799" s="31">
        <v>0</v>
      </c>
      <c r="X799" s="31">
        <v>0</v>
      </c>
      <c r="Y799" s="31">
        <v>0</v>
      </c>
      <c r="Z799" s="31">
        <v>0</v>
      </c>
      <c r="AA799" s="31">
        <v>0</v>
      </c>
      <c r="AB799" s="31">
        <v>0</v>
      </c>
      <c r="AC799" s="31">
        <f>ROUND(N799*1.5%,2)</f>
        <v>43314.5</v>
      </c>
      <c r="AD799" s="31">
        <v>150000</v>
      </c>
      <c r="AE799" s="31">
        <v>0</v>
      </c>
      <c r="AF799" s="34">
        <v>2021</v>
      </c>
      <c r="AG799" s="34">
        <v>2021</v>
      </c>
      <c r="AH799" s="35">
        <v>2021</v>
      </c>
      <c r="AT799" s="20" t="e">
        <f t="shared" si="204"/>
        <v>#N/A</v>
      </c>
      <c r="BZ799" s="71"/>
      <c r="CD799" s="20" t="e">
        <f t="shared" si="205"/>
        <v>#N/A</v>
      </c>
    </row>
    <row r="800" spans="1:82" ht="61.5" x14ac:dyDescent="0.85">
      <c r="B800" s="24" t="s">
        <v>828</v>
      </c>
      <c r="C800" s="24"/>
      <c r="D800" s="195">
        <f>D801</f>
        <v>2008998.15</v>
      </c>
      <c r="E800" s="31">
        <f t="shared" ref="E800:AE800" si="212">E801</f>
        <v>0</v>
      </c>
      <c r="F800" s="31">
        <f t="shared" si="212"/>
        <v>0</v>
      </c>
      <c r="G800" s="31">
        <f t="shared" si="212"/>
        <v>0</v>
      </c>
      <c r="H800" s="31">
        <f t="shared" si="212"/>
        <v>0</v>
      </c>
      <c r="I800" s="31">
        <f t="shared" si="212"/>
        <v>0</v>
      </c>
      <c r="J800" s="31">
        <f t="shared" si="212"/>
        <v>0</v>
      </c>
      <c r="K800" s="33">
        <f t="shared" si="212"/>
        <v>0</v>
      </c>
      <c r="L800" s="31">
        <f t="shared" si="212"/>
        <v>0</v>
      </c>
      <c r="M800" s="31">
        <f t="shared" si="212"/>
        <v>812</v>
      </c>
      <c r="N800" s="31">
        <f t="shared" si="212"/>
        <v>1851229.7</v>
      </c>
      <c r="O800" s="31">
        <f t="shared" si="212"/>
        <v>0</v>
      </c>
      <c r="P800" s="31">
        <f t="shared" si="212"/>
        <v>0</v>
      </c>
      <c r="Q800" s="31">
        <f t="shared" si="212"/>
        <v>0</v>
      </c>
      <c r="R800" s="31">
        <f t="shared" si="212"/>
        <v>0</v>
      </c>
      <c r="S800" s="31">
        <f t="shared" si="212"/>
        <v>0</v>
      </c>
      <c r="T800" s="31">
        <f t="shared" si="212"/>
        <v>0</v>
      </c>
      <c r="U800" s="31">
        <f t="shared" si="212"/>
        <v>0</v>
      </c>
      <c r="V800" s="31">
        <f t="shared" si="212"/>
        <v>0</v>
      </c>
      <c r="W800" s="31">
        <f t="shared" si="212"/>
        <v>0</v>
      </c>
      <c r="X800" s="31">
        <f t="shared" si="212"/>
        <v>0</v>
      </c>
      <c r="Y800" s="31">
        <f t="shared" si="212"/>
        <v>0</v>
      </c>
      <c r="Z800" s="31">
        <f t="shared" si="212"/>
        <v>0</v>
      </c>
      <c r="AA800" s="31">
        <f t="shared" si="212"/>
        <v>0</v>
      </c>
      <c r="AB800" s="31">
        <f t="shared" si="212"/>
        <v>0</v>
      </c>
      <c r="AC800" s="31">
        <f t="shared" si="212"/>
        <v>27768.45</v>
      </c>
      <c r="AD800" s="31">
        <f t="shared" si="212"/>
        <v>130000</v>
      </c>
      <c r="AE800" s="31">
        <f t="shared" si="212"/>
        <v>0</v>
      </c>
      <c r="AF800" s="72" t="s">
        <v>757</v>
      </c>
      <c r="AG800" s="72" t="s">
        <v>757</v>
      </c>
      <c r="AH800" s="87" t="s">
        <v>757</v>
      </c>
      <c r="AT800" s="20" t="e">
        <f t="shared" si="204"/>
        <v>#N/A</v>
      </c>
      <c r="BZ800" s="71">
        <v>2000000</v>
      </c>
      <c r="CD800" s="20" t="e">
        <f t="shared" si="205"/>
        <v>#N/A</v>
      </c>
    </row>
    <row r="801" spans="1:82" ht="61.5" x14ac:dyDescent="0.85">
      <c r="A801" s="20">
        <v>1</v>
      </c>
      <c r="B801" s="66">
        <f>SUBTOTAL(103,$A$558:A801)</f>
        <v>232</v>
      </c>
      <c r="C801" s="122" t="s">
        <v>684</v>
      </c>
      <c r="D801" s="31">
        <f>E801+F801+G801+H801+I801+J801+L801+N801+P801+R801+T801+U801+V801+W801+X801+Y801+Z801+AA801+AB801+AC801+AD801+AE801</f>
        <v>2008998.15</v>
      </c>
      <c r="E801" s="31">
        <v>0</v>
      </c>
      <c r="F801" s="31">
        <v>0</v>
      </c>
      <c r="G801" s="31">
        <v>0</v>
      </c>
      <c r="H801" s="31">
        <v>0</v>
      </c>
      <c r="I801" s="31">
        <v>0</v>
      </c>
      <c r="J801" s="31">
        <v>0</v>
      </c>
      <c r="K801" s="33">
        <v>0</v>
      </c>
      <c r="L801" s="31">
        <v>0</v>
      </c>
      <c r="M801" s="31">
        <v>812</v>
      </c>
      <c r="N801" s="31">
        <f>1842364.53+8865.17</f>
        <v>1851229.7</v>
      </c>
      <c r="O801" s="31">
        <v>0</v>
      </c>
      <c r="P801" s="31">
        <v>0</v>
      </c>
      <c r="Q801" s="31">
        <v>0</v>
      </c>
      <c r="R801" s="31">
        <v>0</v>
      </c>
      <c r="S801" s="31">
        <v>0</v>
      </c>
      <c r="T801" s="31">
        <v>0</v>
      </c>
      <c r="U801" s="31">
        <v>0</v>
      </c>
      <c r="V801" s="31">
        <v>0</v>
      </c>
      <c r="W801" s="31">
        <v>0</v>
      </c>
      <c r="X801" s="31">
        <v>0</v>
      </c>
      <c r="Y801" s="31">
        <v>0</v>
      </c>
      <c r="Z801" s="31">
        <v>0</v>
      </c>
      <c r="AA801" s="31">
        <v>0</v>
      </c>
      <c r="AB801" s="31">
        <v>0</v>
      </c>
      <c r="AC801" s="31">
        <f>ROUND(N801*1.5%,2)</f>
        <v>27768.45</v>
      </c>
      <c r="AD801" s="31">
        <v>130000</v>
      </c>
      <c r="AE801" s="31">
        <v>0</v>
      </c>
      <c r="AF801" s="34">
        <v>2021</v>
      </c>
      <c r="AG801" s="34">
        <v>2021</v>
      </c>
      <c r="AH801" s="35">
        <v>2021</v>
      </c>
      <c r="AT801" s="20" t="e">
        <f t="shared" si="204"/>
        <v>#N/A</v>
      </c>
      <c r="BZ801" s="71"/>
      <c r="CD801" s="20" t="e">
        <f t="shared" si="205"/>
        <v>#N/A</v>
      </c>
    </row>
    <row r="802" spans="1:82" ht="61.5" x14ac:dyDescent="0.85">
      <c r="B802" s="24" t="s">
        <v>829</v>
      </c>
      <c r="C802" s="24"/>
      <c r="D802" s="195">
        <f t="shared" ref="D802:AE802" si="213">SUM(D803:D816)</f>
        <v>48634728.759999998</v>
      </c>
      <c r="E802" s="31">
        <f t="shared" si="213"/>
        <v>0</v>
      </c>
      <c r="F802" s="31">
        <f t="shared" si="213"/>
        <v>0</v>
      </c>
      <c r="G802" s="31">
        <f t="shared" si="213"/>
        <v>0</v>
      </c>
      <c r="H802" s="31">
        <f t="shared" si="213"/>
        <v>0</v>
      </c>
      <c r="I802" s="31">
        <f t="shared" si="213"/>
        <v>0</v>
      </c>
      <c r="J802" s="31">
        <f t="shared" si="213"/>
        <v>0</v>
      </c>
      <c r="K802" s="33">
        <f t="shared" si="213"/>
        <v>0</v>
      </c>
      <c r="L802" s="31">
        <f t="shared" si="213"/>
        <v>0</v>
      </c>
      <c r="M802" s="31">
        <f t="shared" si="213"/>
        <v>9209.4199999999983</v>
      </c>
      <c r="N802" s="31">
        <f t="shared" si="213"/>
        <v>39060509.600000001</v>
      </c>
      <c r="O802" s="31">
        <f t="shared" si="213"/>
        <v>0</v>
      </c>
      <c r="P802" s="31">
        <f t="shared" si="213"/>
        <v>0</v>
      </c>
      <c r="Q802" s="31">
        <f t="shared" si="213"/>
        <v>3354</v>
      </c>
      <c r="R802" s="31">
        <f t="shared" si="213"/>
        <v>5073900.45</v>
      </c>
      <c r="S802" s="31">
        <f t="shared" si="213"/>
        <v>62</v>
      </c>
      <c r="T802" s="31">
        <f t="shared" si="213"/>
        <v>2276041.94</v>
      </c>
      <c r="U802" s="31">
        <f t="shared" si="213"/>
        <v>0</v>
      </c>
      <c r="V802" s="31">
        <f t="shared" si="213"/>
        <v>0</v>
      </c>
      <c r="W802" s="31">
        <f t="shared" si="213"/>
        <v>0</v>
      </c>
      <c r="X802" s="31">
        <f t="shared" si="213"/>
        <v>0</v>
      </c>
      <c r="Y802" s="31">
        <f t="shared" si="213"/>
        <v>0</v>
      </c>
      <c r="Z802" s="31">
        <f t="shared" si="213"/>
        <v>0</v>
      </c>
      <c r="AA802" s="31">
        <f t="shared" si="213"/>
        <v>0</v>
      </c>
      <c r="AB802" s="31">
        <f t="shared" si="213"/>
        <v>0</v>
      </c>
      <c r="AC802" s="31">
        <f t="shared" si="213"/>
        <v>696156.77000000025</v>
      </c>
      <c r="AD802" s="31">
        <f t="shared" si="213"/>
        <v>1168120</v>
      </c>
      <c r="AE802" s="31">
        <f t="shared" si="213"/>
        <v>360000</v>
      </c>
      <c r="AF802" s="72" t="s">
        <v>757</v>
      </c>
      <c r="AG802" s="72" t="s">
        <v>757</v>
      </c>
      <c r="AH802" s="87" t="s">
        <v>757</v>
      </c>
      <c r="AT802" s="20" t="e">
        <f t="shared" si="204"/>
        <v>#N/A</v>
      </c>
      <c r="BZ802" s="71">
        <v>23342012.82</v>
      </c>
      <c r="CD802" s="20" t="e">
        <f t="shared" si="205"/>
        <v>#N/A</v>
      </c>
    </row>
    <row r="803" spans="1:82" ht="61.5" x14ac:dyDescent="0.85">
      <c r="A803" s="20">
        <v>1</v>
      </c>
      <c r="B803" s="66">
        <f>SUBTOTAL(103,$A$558:A803)</f>
        <v>233</v>
      </c>
      <c r="C803" s="24" t="s">
        <v>674</v>
      </c>
      <c r="D803" s="31">
        <f t="shared" ref="D803:D807" si="214">E803+F803+G803+H803+I803+J803+L803+N803+P803+R803+T803+U803+V803+W803+X803+Y803+Z803+AA803+AB803+AC803+AD803+AE803</f>
        <v>2492137.06</v>
      </c>
      <c r="E803" s="31">
        <v>0</v>
      </c>
      <c r="F803" s="31">
        <v>0</v>
      </c>
      <c r="G803" s="31">
        <v>0</v>
      </c>
      <c r="H803" s="31">
        <v>0</v>
      </c>
      <c r="I803" s="31">
        <v>0</v>
      </c>
      <c r="J803" s="31">
        <v>0</v>
      </c>
      <c r="K803" s="33">
        <v>0</v>
      </c>
      <c r="L803" s="31">
        <v>0</v>
      </c>
      <c r="M803" s="31">
        <v>0</v>
      </c>
      <c r="N803" s="31">
        <v>0</v>
      </c>
      <c r="O803" s="31">
        <v>0</v>
      </c>
      <c r="P803" s="31">
        <v>0</v>
      </c>
      <c r="Q803" s="31">
        <v>2768.5</v>
      </c>
      <c r="R803" s="31">
        <v>2307055.62</v>
      </c>
      <c r="S803" s="31">
        <v>0</v>
      </c>
      <c r="T803" s="31">
        <v>0</v>
      </c>
      <c r="U803" s="31">
        <v>0</v>
      </c>
      <c r="V803" s="31">
        <v>0</v>
      </c>
      <c r="W803" s="31">
        <v>0</v>
      </c>
      <c r="X803" s="31">
        <v>0</v>
      </c>
      <c r="Y803" s="31">
        <v>0</v>
      </c>
      <c r="Z803" s="31">
        <v>0</v>
      </c>
      <c r="AA803" s="31">
        <v>0</v>
      </c>
      <c r="AB803" s="31">
        <v>0</v>
      </c>
      <c r="AC803" s="31">
        <f>ROUND(R803*1.5%,2)</f>
        <v>34605.83</v>
      </c>
      <c r="AD803" s="31">
        <v>150475.60999999999</v>
      </c>
      <c r="AE803" s="31">
        <v>0</v>
      </c>
      <c r="AF803" s="34">
        <v>2021</v>
      </c>
      <c r="AG803" s="34">
        <v>2021</v>
      </c>
      <c r="AH803" s="35">
        <v>2021</v>
      </c>
      <c r="AT803" s="20">
        <f t="shared" si="204"/>
        <v>1</v>
      </c>
      <c r="BZ803" s="71"/>
      <c r="CD803" s="20" t="e">
        <f t="shared" si="205"/>
        <v>#N/A</v>
      </c>
    </row>
    <row r="804" spans="1:82" ht="61.5" x14ac:dyDescent="0.85">
      <c r="A804" s="20">
        <v>1</v>
      </c>
      <c r="B804" s="66">
        <f>SUBTOTAL(103,$A$558:A804)</f>
        <v>234</v>
      </c>
      <c r="C804" s="24" t="s">
        <v>662</v>
      </c>
      <c r="D804" s="31">
        <f t="shared" si="214"/>
        <v>5311274.96</v>
      </c>
      <c r="E804" s="31">
        <v>0</v>
      </c>
      <c r="F804" s="31">
        <v>0</v>
      </c>
      <c r="G804" s="31">
        <v>0</v>
      </c>
      <c r="H804" s="31">
        <v>0</v>
      </c>
      <c r="I804" s="31">
        <v>0</v>
      </c>
      <c r="J804" s="31">
        <v>0</v>
      </c>
      <c r="K804" s="33">
        <v>0</v>
      </c>
      <c r="L804" s="31">
        <v>0</v>
      </c>
      <c r="M804" s="31">
        <v>1323</v>
      </c>
      <c r="N804" s="31">
        <v>5114076.47</v>
      </c>
      <c r="O804" s="31">
        <v>0</v>
      </c>
      <c r="P804" s="31">
        <v>0</v>
      </c>
      <c r="Q804" s="31">
        <v>0</v>
      </c>
      <c r="R804" s="31">
        <v>0</v>
      </c>
      <c r="S804" s="31">
        <v>0</v>
      </c>
      <c r="T804" s="31">
        <v>0</v>
      </c>
      <c r="U804" s="31">
        <v>0</v>
      </c>
      <c r="V804" s="31">
        <v>0</v>
      </c>
      <c r="W804" s="31">
        <v>0</v>
      </c>
      <c r="X804" s="31">
        <v>0</v>
      </c>
      <c r="Y804" s="31">
        <v>0</v>
      </c>
      <c r="Z804" s="31">
        <v>0</v>
      </c>
      <c r="AA804" s="31">
        <v>0</v>
      </c>
      <c r="AB804" s="31">
        <v>0</v>
      </c>
      <c r="AC804" s="31">
        <f t="shared" ref="AC804:AC809" si="215">ROUND(N804*1.5%,2)</f>
        <v>76711.149999999994</v>
      </c>
      <c r="AD804" s="31">
        <v>120487.34</v>
      </c>
      <c r="AE804" s="31">
        <v>0</v>
      </c>
      <c r="AF804" s="34">
        <v>2021</v>
      </c>
      <c r="AG804" s="34">
        <v>2021</v>
      </c>
      <c r="AH804" s="35">
        <v>2021</v>
      </c>
      <c r="AT804" s="20" t="e">
        <f t="shared" si="204"/>
        <v>#N/A</v>
      </c>
      <c r="BZ804" s="71"/>
      <c r="CD804" s="20" t="e">
        <f t="shared" si="205"/>
        <v>#N/A</v>
      </c>
    </row>
    <row r="805" spans="1:82" ht="61.5" x14ac:dyDescent="0.85">
      <c r="A805" s="20">
        <v>1</v>
      </c>
      <c r="B805" s="66">
        <f>SUBTOTAL(103,$A$558:A805)</f>
        <v>235</v>
      </c>
      <c r="C805" s="24" t="s">
        <v>690</v>
      </c>
      <c r="D805" s="31">
        <f t="shared" si="214"/>
        <v>4042067.3</v>
      </c>
      <c r="E805" s="31">
        <v>0</v>
      </c>
      <c r="F805" s="31">
        <v>0</v>
      </c>
      <c r="G805" s="31">
        <v>0</v>
      </c>
      <c r="H805" s="31">
        <v>0</v>
      </c>
      <c r="I805" s="31">
        <v>0</v>
      </c>
      <c r="J805" s="31">
        <v>0</v>
      </c>
      <c r="K805" s="33">
        <v>0</v>
      </c>
      <c r="L805" s="31">
        <v>0</v>
      </c>
      <c r="M805" s="31">
        <v>856</v>
      </c>
      <c r="N805" s="31">
        <v>3865028.57</v>
      </c>
      <c r="O805" s="31">
        <v>0</v>
      </c>
      <c r="P805" s="31">
        <v>0</v>
      </c>
      <c r="Q805" s="31">
        <v>0</v>
      </c>
      <c r="R805" s="31">
        <v>0</v>
      </c>
      <c r="S805" s="31">
        <v>0</v>
      </c>
      <c r="T805" s="31">
        <v>0</v>
      </c>
      <c r="U805" s="31">
        <v>0</v>
      </c>
      <c r="V805" s="31">
        <v>0</v>
      </c>
      <c r="W805" s="31">
        <v>0</v>
      </c>
      <c r="X805" s="31">
        <v>0</v>
      </c>
      <c r="Y805" s="31">
        <v>0</v>
      </c>
      <c r="Z805" s="31">
        <v>0</v>
      </c>
      <c r="AA805" s="31">
        <v>0</v>
      </c>
      <c r="AB805" s="31">
        <v>0</v>
      </c>
      <c r="AC805" s="31">
        <f t="shared" si="215"/>
        <v>57975.43</v>
      </c>
      <c r="AD805" s="31">
        <v>119063.3</v>
      </c>
      <c r="AE805" s="31">
        <v>0</v>
      </c>
      <c r="AF805" s="34">
        <v>2021</v>
      </c>
      <c r="AG805" s="34">
        <v>2021</v>
      </c>
      <c r="AH805" s="35">
        <v>2021</v>
      </c>
      <c r="AT805" s="20" t="e">
        <f t="shared" si="204"/>
        <v>#N/A</v>
      </c>
      <c r="BZ805" s="71"/>
      <c r="CD805" s="20" t="e">
        <f t="shared" si="205"/>
        <v>#N/A</v>
      </c>
    </row>
    <row r="806" spans="1:82" ht="61.5" x14ac:dyDescent="0.85">
      <c r="A806" s="20">
        <v>1</v>
      </c>
      <c r="B806" s="66">
        <f>SUBTOTAL(103,$A$558:A806)</f>
        <v>236</v>
      </c>
      <c r="C806" s="24" t="s">
        <v>667</v>
      </c>
      <c r="D806" s="31">
        <f t="shared" si="214"/>
        <v>4517254.16</v>
      </c>
      <c r="E806" s="31">
        <v>0</v>
      </c>
      <c r="F806" s="31">
        <v>0</v>
      </c>
      <c r="G806" s="31">
        <v>0</v>
      </c>
      <c r="H806" s="31">
        <v>0</v>
      </c>
      <c r="I806" s="31">
        <v>0</v>
      </c>
      <c r="J806" s="31">
        <v>0</v>
      </c>
      <c r="K806" s="33">
        <v>0</v>
      </c>
      <c r="L806" s="31">
        <v>0</v>
      </c>
      <c r="M806" s="31">
        <v>1236</v>
      </c>
      <c r="N806" s="31">
        <f>3504904.43+238305.42+589784.98</f>
        <v>4332994.83</v>
      </c>
      <c r="O806" s="31">
        <v>0</v>
      </c>
      <c r="P806" s="31">
        <v>0</v>
      </c>
      <c r="Q806" s="31">
        <v>0</v>
      </c>
      <c r="R806" s="31">
        <v>0</v>
      </c>
      <c r="S806" s="31">
        <v>0</v>
      </c>
      <c r="T806" s="31">
        <v>0</v>
      </c>
      <c r="U806" s="31">
        <v>0</v>
      </c>
      <c r="V806" s="31">
        <v>0</v>
      </c>
      <c r="W806" s="31">
        <v>0</v>
      </c>
      <c r="X806" s="31">
        <v>0</v>
      </c>
      <c r="Y806" s="31">
        <v>0</v>
      </c>
      <c r="Z806" s="31">
        <v>0</v>
      </c>
      <c r="AA806" s="31">
        <v>0</v>
      </c>
      <c r="AB806" s="31">
        <v>0</v>
      </c>
      <c r="AC806" s="31">
        <f t="shared" si="215"/>
        <v>64994.92</v>
      </c>
      <c r="AD806" s="31">
        <v>119264.41</v>
      </c>
      <c r="AE806" s="31">
        <v>0</v>
      </c>
      <c r="AF806" s="34">
        <v>2021</v>
      </c>
      <c r="AG806" s="34">
        <v>2021</v>
      </c>
      <c r="AH806" s="35">
        <v>2021</v>
      </c>
      <c r="AT806" s="20" t="e">
        <f t="shared" si="204"/>
        <v>#N/A</v>
      </c>
      <c r="BZ806" s="71"/>
      <c r="CD806" s="20" t="e">
        <f t="shared" si="205"/>
        <v>#N/A</v>
      </c>
    </row>
    <row r="807" spans="1:82" ht="61.5" x14ac:dyDescent="0.85">
      <c r="A807" s="20">
        <v>1</v>
      </c>
      <c r="B807" s="66">
        <f>SUBTOTAL(103,$A$558:A807)</f>
        <v>237</v>
      </c>
      <c r="C807" s="24" t="s">
        <v>672</v>
      </c>
      <c r="D807" s="31">
        <f t="shared" si="214"/>
        <v>3875480.82</v>
      </c>
      <c r="E807" s="31">
        <v>0</v>
      </c>
      <c r="F807" s="31">
        <v>0</v>
      </c>
      <c r="G807" s="31">
        <v>0</v>
      </c>
      <c r="H807" s="31">
        <v>0</v>
      </c>
      <c r="I807" s="31">
        <v>0</v>
      </c>
      <c r="J807" s="31">
        <v>0</v>
      </c>
      <c r="K807" s="33">
        <v>0</v>
      </c>
      <c r="L807" s="31">
        <v>0</v>
      </c>
      <c r="M807" s="31">
        <v>949</v>
      </c>
      <c r="N807" s="31">
        <v>3710689.66</v>
      </c>
      <c r="O807" s="31">
        <v>0</v>
      </c>
      <c r="P807" s="31">
        <v>0</v>
      </c>
      <c r="Q807" s="31">
        <v>0</v>
      </c>
      <c r="R807" s="31">
        <v>0</v>
      </c>
      <c r="S807" s="31">
        <v>0</v>
      </c>
      <c r="T807" s="31">
        <v>0</v>
      </c>
      <c r="U807" s="31">
        <v>0</v>
      </c>
      <c r="V807" s="31">
        <v>0</v>
      </c>
      <c r="W807" s="31">
        <v>0</v>
      </c>
      <c r="X807" s="31">
        <v>0</v>
      </c>
      <c r="Y807" s="31">
        <v>0</v>
      </c>
      <c r="Z807" s="31">
        <v>0</v>
      </c>
      <c r="AA807" s="31">
        <v>0</v>
      </c>
      <c r="AB807" s="31">
        <v>0</v>
      </c>
      <c r="AC807" s="31">
        <f t="shared" si="215"/>
        <v>55660.34</v>
      </c>
      <c r="AD807" s="31">
        <v>109130.82</v>
      </c>
      <c r="AE807" s="31">
        <v>0</v>
      </c>
      <c r="AF807" s="34">
        <v>2021</v>
      </c>
      <c r="AG807" s="34">
        <v>2021</v>
      </c>
      <c r="AH807" s="35">
        <v>2021</v>
      </c>
      <c r="AT807" s="20" t="e">
        <f t="shared" si="204"/>
        <v>#N/A</v>
      </c>
      <c r="BZ807" s="71"/>
      <c r="CD807" s="20" t="e">
        <f t="shared" si="205"/>
        <v>#N/A</v>
      </c>
    </row>
    <row r="808" spans="1:82" ht="61.5" x14ac:dyDescent="0.85">
      <c r="A808" s="20">
        <v>1</v>
      </c>
      <c r="B808" s="66">
        <f>SUBTOTAL(103,$A$558:A808)</f>
        <v>238</v>
      </c>
      <c r="C808" s="24" t="s">
        <v>671</v>
      </c>
      <c r="D808" s="31">
        <f t="shared" ref="D808" si="216">E808+F808+G808+H808+I808+J808+L808+N808+P808+R808+T808+U808+V808+W808+X808+Y808+Z808+AA808+AB808+AC808+AD808+AE808</f>
        <v>3103798.52</v>
      </c>
      <c r="E808" s="31">
        <v>0</v>
      </c>
      <c r="F808" s="31">
        <v>0</v>
      </c>
      <c r="G808" s="31">
        <v>0</v>
      </c>
      <c r="H808" s="31">
        <v>0</v>
      </c>
      <c r="I808" s="31">
        <v>0</v>
      </c>
      <c r="J808" s="31">
        <v>0</v>
      </c>
      <c r="K808" s="33">
        <v>0</v>
      </c>
      <c r="L808" s="31">
        <v>0</v>
      </c>
      <c r="M808" s="31">
        <v>840</v>
      </c>
      <c r="N808" s="31">
        <v>2940000</v>
      </c>
      <c r="O808" s="31">
        <v>0</v>
      </c>
      <c r="P808" s="31">
        <v>0</v>
      </c>
      <c r="Q808" s="31">
        <v>0</v>
      </c>
      <c r="R808" s="31">
        <v>0</v>
      </c>
      <c r="S808" s="31">
        <v>0</v>
      </c>
      <c r="T808" s="31">
        <v>0</v>
      </c>
      <c r="U808" s="31">
        <v>0</v>
      </c>
      <c r="V808" s="31">
        <v>0</v>
      </c>
      <c r="W808" s="31">
        <v>0</v>
      </c>
      <c r="X808" s="31">
        <v>0</v>
      </c>
      <c r="Y808" s="31">
        <v>0</v>
      </c>
      <c r="Z808" s="31">
        <v>0</v>
      </c>
      <c r="AA808" s="31">
        <v>0</v>
      </c>
      <c r="AB808" s="31">
        <v>0</v>
      </c>
      <c r="AC808" s="31">
        <f t="shared" si="215"/>
        <v>44100</v>
      </c>
      <c r="AD808" s="31">
        <v>119698.52</v>
      </c>
      <c r="AE808" s="31">
        <v>0</v>
      </c>
      <c r="AF808" s="34">
        <v>2021</v>
      </c>
      <c r="AG808" s="34">
        <v>2021</v>
      </c>
      <c r="AH808" s="35">
        <v>2021</v>
      </c>
      <c r="AT808" s="20" t="e">
        <f t="shared" si="204"/>
        <v>#N/A</v>
      </c>
      <c r="BZ808" s="71"/>
      <c r="CD808" s="20" t="e">
        <f t="shared" si="205"/>
        <v>#N/A</v>
      </c>
    </row>
    <row r="809" spans="1:82" ht="61.5" x14ac:dyDescent="0.85">
      <c r="A809" s="20">
        <v>1</v>
      </c>
      <c r="B809" s="66">
        <f>SUBTOTAL(103,$A$558:A809)</f>
        <v>239</v>
      </c>
      <c r="C809" s="24" t="s">
        <v>1204</v>
      </c>
      <c r="D809" s="31">
        <f>E809+F809+G809+H809+I809+J809+L809+N809+P809+R809+T809+U809+V809+W809+X809+Y809+Z809+AA809+AB809+AC809+AD809+AE809</f>
        <v>1859292.57</v>
      </c>
      <c r="E809" s="38">
        <v>0</v>
      </c>
      <c r="F809" s="38">
        <v>0</v>
      </c>
      <c r="G809" s="31">
        <v>0</v>
      </c>
      <c r="H809" s="38">
        <v>0</v>
      </c>
      <c r="I809" s="38">
        <v>0</v>
      </c>
      <c r="J809" s="38">
        <v>0</v>
      </c>
      <c r="K809" s="33">
        <v>0</v>
      </c>
      <c r="L809" s="31">
        <v>0</v>
      </c>
      <c r="M809" s="31">
        <v>407.8</v>
      </c>
      <c r="N809" s="31">
        <v>1713588.74</v>
      </c>
      <c r="O809" s="38">
        <v>0</v>
      </c>
      <c r="P809" s="38">
        <v>0</v>
      </c>
      <c r="Q809" s="31">
        <v>0</v>
      </c>
      <c r="R809" s="31">
        <v>0</v>
      </c>
      <c r="S809" s="31">
        <v>0</v>
      </c>
      <c r="T809" s="31">
        <v>0</v>
      </c>
      <c r="U809" s="31">
        <v>0</v>
      </c>
      <c r="V809" s="31">
        <v>0</v>
      </c>
      <c r="W809" s="31">
        <v>0</v>
      </c>
      <c r="X809" s="31">
        <v>0</v>
      </c>
      <c r="Y809" s="31">
        <v>0</v>
      </c>
      <c r="Z809" s="31">
        <v>0</v>
      </c>
      <c r="AA809" s="31">
        <v>0</v>
      </c>
      <c r="AB809" s="31">
        <v>0</v>
      </c>
      <c r="AC809" s="31">
        <f t="shared" si="215"/>
        <v>25703.83</v>
      </c>
      <c r="AD809" s="31">
        <v>0</v>
      </c>
      <c r="AE809" s="31">
        <v>120000</v>
      </c>
      <c r="AF809" s="34" t="s">
        <v>270</v>
      </c>
      <c r="AG809" s="34">
        <v>2021</v>
      </c>
      <c r="AH809" s="35">
        <v>2021</v>
      </c>
      <c r="BZ809" s="71"/>
      <c r="CD809" s="20">
        <f t="shared" si="205"/>
        <v>407.8</v>
      </c>
    </row>
    <row r="810" spans="1:82" ht="61.5" x14ac:dyDescent="0.85">
      <c r="A810" s="20">
        <v>1</v>
      </c>
      <c r="B810" s="66">
        <f>SUBTOTAL(103,$A$558:A810)</f>
        <v>240</v>
      </c>
      <c r="C810" s="24" t="s">
        <v>676</v>
      </c>
      <c r="D810" s="31">
        <f t="shared" ref="D810" si="217">E810+F810+G810+H810+I810+J810+L810+N810+P810+R810+T810+U810+V810+W810+X810+Y810+Z810+AA810+AB810+AC810+AD810+AE810</f>
        <v>2567424.7199999997</v>
      </c>
      <c r="E810" s="38">
        <v>0</v>
      </c>
      <c r="F810" s="38">
        <v>0</v>
      </c>
      <c r="G810" s="31">
        <v>0</v>
      </c>
      <c r="H810" s="38">
        <v>0</v>
      </c>
      <c r="I810" s="38">
        <v>0</v>
      </c>
      <c r="J810" s="38">
        <v>0</v>
      </c>
      <c r="K810" s="33">
        <v>0</v>
      </c>
      <c r="L810" s="31">
        <v>0</v>
      </c>
      <c r="M810" s="31">
        <v>520.4</v>
      </c>
      <c r="N810" s="31">
        <f>2529482.48-118226.6</f>
        <v>2411255.88</v>
      </c>
      <c r="O810" s="38">
        <v>0</v>
      </c>
      <c r="P810" s="38">
        <v>0</v>
      </c>
      <c r="Q810" s="31">
        <v>0</v>
      </c>
      <c r="R810" s="31">
        <v>0</v>
      </c>
      <c r="S810" s="31">
        <v>0</v>
      </c>
      <c r="T810" s="31">
        <v>0</v>
      </c>
      <c r="U810" s="31">
        <v>0</v>
      </c>
      <c r="V810" s="31">
        <v>0</v>
      </c>
      <c r="W810" s="31">
        <v>0</v>
      </c>
      <c r="X810" s="31">
        <v>0</v>
      </c>
      <c r="Y810" s="31">
        <v>0</v>
      </c>
      <c r="Z810" s="31">
        <v>0</v>
      </c>
      <c r="AA810" s="31">
        <v>0</v>
      </c>
      <c r="AB810" s="31">
        <v>0</v>
      </c>
      <c r="AC810" s="31">
        <f t="shared" ref="AC810" si="218">ROUND(N810*1.5%,2)</f>
        <v>36168.839999999997</v>
      </c>
      <c r="AD810" s="31">
        <v>0</v>
      </c>
      <c r="AE810" s="31">
        <v>120000</v>
      </c>
      <c r="AF810" s="34" t="s">
        <v>270</v>
      </c>
      <c r="AG810" s="34">
        <v>2021</v>
      </c>
      <c r="AH810" s="35">
        <v>2021</v>
      </c>
      <c r="AT810" s="20" t="e">
        <f>VLOOKUP(C810,AW:AX,2,FALSE)</f>
        <v>#N/A</v>
      </c>
      <c r="BZ810" s="71"/>
      <c r="CD810" s="20" t="e">
        <f t="shared" si="205"/>
        <v>#N/A</v>
      </c>
    </row>
    <row r="811" spans="1:82" ht="61.5" x14ac:dyDescent="0.85">
      <c r="A811" s="20">
        <v>1</v>
      </c>
      <c r="B811" s="66">
        <f>SUBTOTAL(103,$A$558:A811)</f>
        <v>241</v>
      </c>
      <c r="C811" s="24" t="s">
        <v>689</v>
      </c>
      <c r="D811" s="31">
        <f t="shared" ref="D811:D816" si="219">E811+F811+G811+H811+I811+J811+L811+N811+P811+R811+T811+U811+V811+W811+X811+Y811+Z811+AA811+AB811+AC811+AD811+AE811</f>
        <v>4559283.37</v>
      </c>
      <c r="E811" s="38">
        <v>0</v>
      </c>
      <c r="F811" s="38">
        <v>0</v>
      </c>
      <c r="G811" s="31">
        <v>0</v>
      </c>
      <c r="H811" s="38">
        <v>0</v>
      </c>
      <c r="I811" s="38">
        <v>0</v>
      </c>
      <c r="J811" s="38">
        <v>0</v>
      </c>
      <c r="K811" s="74">
        <v>0</v>
      </c>
      <c r="L811" s="31">
        <v>0</v>
      </c>
      <c r="M811" s="31">
        <v>870</v>
      </c>
      <c r="N811" s="31">
        <v>4491904.8</v>
      </c>
      <c r="O811" s="38">
        <v>0</v>
      </c>
      <c r="P811" s="38">
        <v>0</v>
      </c>
      <c r="Q811" s="31">
        <v>0</v>
      </c>
      <c r="R811" s="31">
        <v>0</v>
      </c>
      <c r="S811" s="31">
        <v>0</v>
      </c>
      <c r="T811" s="31">
        <v>0</v>
      </c>
      <c r="U811" s="31">
        <v>0</v>
      </c>
      <c r="V811" s="31">
        <v>0</v>
      </c>
      <c r="W811" s="31">
        <v>0</v>
      </c>
      <c r="X811" s="31">
        <v>0</v>
      </c>
      <c r="Y811" s="31">
        <v>0</v>
      </c>
      <c r="Z811" s="31">
        <v>0</v>
      </c>
      <c r="AA811" s="31">
        <v>0</v>
      </c>
      <c r="AB811" s="31">
        <v>0</v>
      </c>
      <c r="AC811" s="31">
        <f>ROUND(N811*1.5%,2)</f>
        <v>67378.570000000007</v>
      </c>
      <c r="AD811" s="31">
        <v>0</v>
      </c>
      <c r="AE811" s="31">
        <v>0</v>
      </c>
      <c r="AF811" s="34" t="s">
        <v>270</v>
      </c>
      <c r="AG811" s="34">
        <v>2021</v>
      </c>
      <c r="AH811" s="35">
        <v>2021</v>
      </c>
      <c r="AT811" s="20" t="e">
        <f>VLOOKUP(C811,AW:AX,2,FALSE)</f>
        <v>#N/A</v>
      </c>
      <c r="BZ811" s="71"/>
      <c r="CD811" s="20" t="e">
        <f t="shared" si="205"/>
        <v>#N/A</v>
      </c>
    </row>
    <row r="812" spans="1:82" ht="61.5" x14ac:dyDescent="0.85">
      <c r="A812" s="20">
        <v>1</v>
      </c>
      <c r="B812" s="66">
        <f>SUBTOTAL(103,$A$558:A812)</f>
        <v>242</v>
      </c>
      <c r="C812" s="24" t="s">
        <v>664</v>
      </c>
      <c r="D812" s="31">
        <f t="shared" si="219"/>
        <v>5405855.4900000002</v>
      </c>
      <c r="E812" s="38">
        <v>0</v>
      </c>
      <c r="F812" s="38">
        <v>0</v>
      </c>
      <c r="G812" s="31">
        <v>0</v>
      </c>
      <c r="H812" s="38">
        <v>0</v>
      </c>
      <c r="I812" s="38">
        <v>0</v>
      </c>
      <c r="J812" s="38">
        <v>0</v>
      </c>
      <c r="K812" s="74">
        <v>0</v>
      </c>
      <c r="L812" s="31">
        <v>0</v>
      </c>
      <c r="M812" s="31">
        <v>991.5</v>
      </c>
      <c r="N812" s="31">
        <v>5325966</v>
      </c>
      <c r="O812" s="38">
        <v>0</v>
      </c>
      <c r="P812" s="38">
        <v>0</v>
      </c>
      <c r="Q812" s="31">
        <v>0</v>
      </c>
      <c r="R812" s="31">
        <v>0</v>
      </c>
      <c r="S812" s="31">
        <v>0</v>
      </c>
      <c r="T812" s="31">
        <v>0</v>
      </c>
      <c r="U812" s="31">
        <v>0</v>
      </c>
      <c r="V812" s="31">
        <v>0</v>
      </c>
      <c r="W812" s="31">
        <v>0</v>
      </c>
      <c r="X812" s="31">
        <v>0</v>
      </c>
      <c r="Y812" s="31">
        <v>0</v>
      </c>
      <c r="Z812" s="31">
        <v>0</v>
      </c>
      <c r="AA812" s="31">
        <v>0</v>
      </c>
      <c r="AB812" s="31">
        <v>0</v>
      </c>
      <c r="AC812" s="31">
        <f>ROUND(N812*1.5%,2)</f>
        <v>79889.490000000005</v>
      </c>
      <c r="AD812" s="31">
        <v>0</v>
      </c>
      <c r="AE812" s="31">
        <v>0</v>
      </c>
      <c r="AF812" s="34" t="s">
        <v>270</v>
      </c>
      <c r="AG812" s="34">
        <v>2021</v>
      </c>
      <c r="AH812" s="35">
        <v>2021</v>
      </c>
      <c r="AT812" s="20" t="e">
        <f>VLOOKUP(C812,AW:AX,2,FALSE)</f>
        <v>#N/A</v>
      </c>
      <c r="BZ812" s="71"/>
      <c r="CD812" s="20" t="e">
        <f t="shared" si="205"/>
        <v>#N/A</v>
      </c>
    </row>
    <row r="813" spans="1:82" ht="61.5" x14ac:dyDescent="0.85">
      <c r="A813" s="20">
        <v>1</v>
      </c>
      <c r="B813" s="66">
        <f>SUBTOTAL(103,$A$558:A813)</f>
        <v>243</v>
      </c>
      <c r="C813" s="24" t="s">
        <v>1213</v>
      </c>
      <c r="D813" s="31">
        <f t="shared" ref="D813" si="220">E813+F813+G813+H813+I813+J813+L813+N813+P813+R813+T813+U813+V813+W813+X813+Y813+Z813+AA813+AB813+AC813+AD813+AE813</f>
        <v>3122749.9699999997</v>
      </c>
      <c r="E813" s="38">
        <v>0</v>
      </c>
      <c r="F813" s="38">
        <v>0</v>
      </c>
      <c r="G813" s="31">
        <v>0</v>
      </c>
      <c r="H813" s="38">
        <v>0</v>
      </c>
      <c r="I813" s="38">
        <v>0</v>
      </c>
      <c r="J813" s="38">
        <v>0</v>
      </c>
      <c r="K813" s="74">
        <v>0</v>
      </c>
      <c r="L813" s="31">
        <v>0</v>
      </c>
      <c r="M813" s="31">
        <v>738.92</v>
      </c>
      <c r="N813" s="31">
        <f>3507338.79-430737.83</f>
        <v>3076600.96</v>
      </c>
      <c r="O813" s="38">
        <v>0</v>
      </c>
      <c r="P813" s="38">
        <v>0</v>
      </c>
      <c r="Q813" s="31">
        <v>0</v>
      </c>
      <c r="R813" s="31">
        <v>0</v>
      </c>
      <c r="S813" s="31">
        <v>0</v>
      </c>
      <c r="T813" s="31">
        <v>0</v>
      </c>
      <c r="U813" s="31">
        <v>0</v>
      </c>
      <c r="V813" s="31">
        <v>0</v>
      </c>
      <c r="W813" s="31">
        <v>0</v>
      </c>
      <c r="X813" s="31">
        <v>0</v>
      </c>
      <c r="Y813" s="31">
        <v>0</v>
      </c>
      <c r="Z813" s="31">
        <v>0</v>
      </c>
      <c r="AA813" s="31">
        <v>0</v>
      </c>
      <c r="AB813" s="31">
        <v>0</v>
      </c>
      <c r="AC813" s="31">
        <f>ROUND(N813*1.5%,2)</f>
        <v>46149.01</v>
      </c>
      <c r="AD813" s="31">
        <v>0</v>
      </c>
      <c r="AE813" s="31">
        <v>0</v>
      </c>
      <c r="AF813" s="34" t="s">
        <v>270</v>
      </c>
      <c r="AG813" s="34">
        <v>2021</v>
      </c>
      <c r="AH813" s="35">
        <v>2021</v>
      </c>
      <c r="BZ813" s="71"/>
      <c r="CD813" s="20">
        <f t="shared" si="205"/>
        <v>738.92</v>
      </c>
    </row>
    <row r="814" spans="1:82" s="220" customFormat="1" ht="61.5" x14ac:dyDescent="0.85">
      <c r="A814" s="220">
        <v>1</v>
      </c>
      <c r="B814" s="66">
        <f>SUBTOTAL(103,$A$558:A814)</f>
        <v>244</v>
      </c>
      <c r="C814" s="246" t="s">
        <v>1966</v>
      </c>
      <c r="D814" s="31">
        <f t="shared" ref="D814:D815" si="221">E814+F814+G814+H814+I814+J814+L814+N814+P814+R814+T814+U814+V814+W814+X814+Y814+Z814+AA814+AB814+AC814+AD814+AE814</f>
        <v>2259579.75</v>
      </c>
      <c r="E814" s="221">
        <v>0</v>
      </c>
      <c r="F814" s="221">
        <v>0</v>
      </c>
      <c r="G814" s="221">
        <v>0</v>
      </c>
      <c r="H814" s="221">
        <v>0</v>
      </c>
      <c r="I814" s="221">
        <v>0</v>
      </c>
      <c r="J814" s="221">
        <v>0</v>
      </c>
      <c r="K814" s="222">
        <v>0</v>
      </c>
      <c r="L814" s="103">
        <v>0</v>
      </c>
      <c r="M814" s="103">
        <v>476.8</v>
      </c>
      <c r="N814" s="103">
        <f>2046196.68+32207.01</f>
        <v>2078403.69</v>
      </c>
      <c r="O814" s="103">
        <v>0</v>
      </c>
      <c r="P814" s="103">
        <v>0</v>
      </c>
      <c r="Q814" s="103">
        <v>0</v>
      </c>
      <c r="R814" s="103">
        <v>0</v>
      </c>
      <c r="S814" s="103">
        <v>0</v>
      </c>
      <c r="T814" s="103">
        <v>0</v>
      </c>
      <c r="U814" s="103">
        <v>0</v>
      </c>
      <c r="V814" s="103">
        <v>0</v>
      </c>
      <c r="W814" s="103">
        <v>0</v>
      </c>
      <c r="X814" s="103">
        <v>0</v>
      </c>
      <c r="Y814" s="103">
        <v>0</v>
      </c>
      <c r="Z814" s="103">
        <v>0</v>
      </c>
      <c r="AA814" s="103">
        <v>0</v>
      </c>
      <c r="AB814" s="103">
        <v>0</v>
      </c>
      <c r="AC814" s="103">
        <f>ROUND(N814*1.5%,2)</f>
        <v>31176.06</v>
      </c>
      <c r="AD814" s="103">
        <v>150000</v>
      </c>
      <c r="AE814" s="103">
        <v>0</v>
      </c>
      <c r="AF814" s="223">
        <v>2021</v>
      </c>
      <c r="AG814" s="223">
        <v>2021</v>
      </c>
      <c r="AH814" s="224">
        <v>2021</v>
      </c>
      <c r="AT814" s="220" t="e">
        <f t="shared" ref="AT814:AT819" si="222">VLOOKUP(C814,AW:AX,2,FALSE)</f>
        <v>#N/A</v>
      </c>
      <c r="BZ814" s="225"/>
      <c r="CD814" s="220" t="e">
        <f t="shared" si="205"/>
        <v>#N/A</v>
      </c>
    </row>
    <row r="815" spans="1:82" s="220" customFormat="1" ht="61.5" x14ac:dyDescent="0.85">
      <c r="A815" s="220">
        <v>1</v>
      </c>
      <c r="B815" s="66">
        <f>SUBTOTAL(103,$A$558:A815)</f>
        <v>245</v>
      </c>
      <c r="C815" s="246" t="s">
        <v>1967</v>
      </c>
      <c r="D815" s="31">
        <f t="shared" si="221"/>
        <v>2460182.5699999998</v>
      </c>
      <c r="E815" s="221">
        <v>0</v>
      </c>
      <c r="F815" s="221">
        <v>0</v>
      </c>
      <c r="G815" s="221">
        <v>0</v>
      </c>
      <c r="H815" s="221">
        <v>0</v>
      </c>
      <c r="I815" s="221">
        <v>0</v>
      </c>
      <c r="J815" s="221">
        <v>0</v>
      </c>
      <c r="K815" s="222">
        <v>0</v>
      </c>
      <c r="L815" s="103">
        <v>0</v>
      </c>
      <c r="M815" s="103">
        <v>0</v>
      </c>
      <c r="N815" s="103">
        <v>0</v>
      </c>
      <c r="O815" s="103">
        <v>0</v>
      </c>
      <c r="P815" s="103">
        <v>0</v>
      </c>
      <c r="Q815" s="103">
        <v>0</v>
      </c>
      <c r="R815" s="103">
        <v>0</v>
      </c>
      <c r="S815" s="103">
        <v>62</v>
      </c>
      <c r="T815" s="103">
        <f>1919206.85+356835.09</f>
        <v>2276041.94</v>
      </c>
      <c r="U815" s="103">
        <v>0</v>
      </c>
      <c r="V815" s="103">
        <v>0</v>
      </c>
      <c r="W815" s="103">
        <v>0</v>
      </c>
      <c r="X815" s="103">
        <v>0</v>
      </c>
      <c r="Y815" s="103">
        <v>0</v>
      </c>
      <c r="Z815" s="103">
        <v>0</v>
      </c>
      <c r="AA815" s="103">
        <v>0</v>
      </c>
      <c r="AB815" s="103">
        <v>0</v>
      </c>
      <c r="AC815" s="103">
        <f>ROUND(T815*1.5%,2)</f>
        <v>34140.629999999997</v>
      </c>
      <c r="AD815" s="103">
        <v>150000</v>
      </c>
      <c r="AE815" s="103">
        <v>0</v>
      </c>
      <c r="AF815" s="223">
        <v>2021</v>
      </c>
      <c r="AG815" s="223">
        <v>2021</v>
      </c>
      <c r="AH815" s="224">
        <v>2021</v>
      </c>
      <c r="AT815" s="220" t="e">
        <f t="shared" si="222"/>
        <v>#N/A</v>
      </c>
      <c r="BZ815" s="225"/>
      <c r="CD815" s="220" t="e">
        <f t="shared" si="205"/>
        <v>#N/A</v>
      </c>
    </row>
    <row r="816" spans="1:82" ht="61.5" x14ac:dyDescent="0.85">
      <c r="A816" s="20">
        <v>1</v>
      </c>
      <c r="B816" s="66">
        <f>SUBTOTAL(103,$A$558:A816)</f>
        <v>246</v>
      </c>
      <c r="C816" s="122" t="s">
        <v>675</v>
      </c>
      <c r="D816" s="31">
        <f t="shared" si="219"/>
        <v>3058347.5</v>
      </c>
      <c r="E816" s="31">
        <v>0</v>
      </c>
      <c r="F816" s="31">
        <v>0</v>
      </c>
      <c r="G816" s="31">
        <v>0</v>
      </c>
      <c r="H816" s="31">
        <v>0</v>
      </c>
      <c r="I816" s="31">
        <v>0</v>
      </c>
      <c r="J816" s="31">
        <v>0</v>
      </c>
      <c r="K816" s="74">
        <v>0</v>
      </c>
      <c r="L816" s="31">
        <v>0</v>
      </c>
      <c r="M816" s="31">
        <v>0</v>
      </c>
      <c r="N816" s="31">
        <v>0</v>
      </c>
      <c r="O816" s="31">
        <v>0</v>
      </c>
      <c r="P816" s="31">
        <v>0</v>
      </c>
      <c r="Q816" s="31">
        <v>585.5</v>
      </c>
      <c r="R816" s="31">
        <f>2885071.43-118226.6</f>
        <v>2766844.83</v>
      </c>
      <c r="S816" s="31">
        <v>0</v>
      </c>
      <c r="T816" s="31">
        <v>0</v>
      </c>
      <c r="U816" s="31">
        <v>0</v>
      </c>
      <c r="V816" s="31">
        <v>0</v>
      </c>
      <c r="W816" s="31">
        <v>0</v>
      </c>
      <c r="X816" s="31">
        <v>0</v>
      </c>
      <c r="Y816" s="31">
        <v>0</v>
      </c>
      <c r="Z816" s="31">
        <v>0</v>
      </c>
      <c r="AA816" s="31">
        <v>0</v>
      </c>
      <c r="AB816" s="31">
        <v>0</v>
      </c>
      <c r="AC816" s="31">
        <f>ROUND(R816*1.5%,2)</f>
        <v>41502.67</v>
      </c>
      <c r="AD816" s="31">
        <v>130000</v>
      </c>
      <c r="AE816" s="31">
        <v>120000</v>
      </c>
      <c r="AF816" s="34">
        <v>2021</v>
      </c>
      <c r="AG816" s="34">
        <v>2021</v>
      </c>
      <c r="AH816" s="35">
        <v>2021</v>
      </c>
      <c r="AT816" s="20" t="e">
        <f t="shared" si="222"/>
        <v>#N/A</v>
      </c>
      <c r="BZ816" s="71"/>
    </row>
    <row r="817" spans="1:82" ht="61.5" x14ac:dyDescent="0.85">
      <c r="B817" s="24" t="s">
        <v>830</v>
      </c>
      <c r="C817" s="108"/>
      <c r="D817" s="195">
        <f t="shared" ref="D817:AE817" si="223">SUM(D818:D827)</f>
        <v>25570376.100000001</v>
      </c>
      <c r="E817" s="31">
        <f t="shared" si="223"/>
        <v>315048.13</v>
      </c>
      <c r="F817" s="31">
        <f t="shared" si="223"/>
        <v>0</v>
      </c>
      <c r="G817" s="31">
        <f t="shared" si="223"/>
        <v>0</v>
      </c>
      <c r="H817" s="31">
        <f t="shared" si="223"/>
        <v>550227.06000000006</v>
      </c>
      <c r="I817" s="31">
        <f t="shared" si="223"/>
        <v>0</v>
      </c>
      <c r="J817" s="31">
        <f t="shared" si="223"/>
        <v>0</v>
      </c>
      <c r="K817" s="33">
        <f t="shared" si="223"/>
        <v>0</v>
      </c>
      <c r="L817" s="31">
        <f t="shared" si="223"/>
        <v>0</v>
      </c>
      <c r="M817" s="31">
        <f t="shared" si="223"/>
        <v>3264.4</v>
      </c>
      <c r="N817" s="31">
        <f t="shared" si="223"/>
        <v>14595924.969999999</v>
      </c>
      <c r="O817" s="31">
        <f t="shared" si="223"/>
        <v>0</v>
      </c>
      <c r="P817" s="31">
        <f t="shared" si="223"/>
        <v>0</v>
      </c>
      <c r="Q817" s="31">
        <f t="shared" si="223"/>
        <v>827.7</v>
      </c>
      <c r="R817" s="31">
        <f t="shared" si="223"/>
        <v>3605796.98</v>
      </c>
      <c r="S817" s="31">
        <f t="shared" si="223"/>
        <v>84.3</v>
      </c>
      <c r="T817" s="31">
        <f t="shared" si="223"/>
        <v>1784615.64</v>
      </c>
      <c r="U817" s="31">
        <f t="shared" si="223"/>
        <v>4066158.53</v>
      </c>
      <c r="V817" s="31">
        <f t="shared" si="223"/>
        <v>0</v>
      </c>
      <c r="W817" s="31">
        <f t="shared" si="223"/>
        <v>0</v>
      </c>
      <c r="X817" s="31">
        <f t="shared" si="223"/>
        <v>0</v>
      </c>
      <c r="Y817" s="31">
        <f t="shared" si="223"/>
        <v>0</v>
      </c>
      <c r="Z817" s="31">
        <f t="shared" si="223"/>
        <v>0</v>
      </c>
      <c r="AA817" s="31">
        <f t="shared" si="223"/>
        <v>0</v>
      </c>
      <c r="AB817" s="31">
        <f t="shared" si="223"/>
        <v>0</v>
      </c>
      <c r="AC817" s="31">
        <f t="shared" si="223"/>
        <v>373766.57</v>
      </c>
      <c r="AD817" s="31">
        <f t="shared" si="223"/>
        <v>278838.22000000003</v>
      </c>
      <c r="AE817" s="31">
        <f t="shared" si="223"/>
        <v>0</v>
      </c>
      <c r="AF817" s="72" t="s">
        <v>757</v>
      </c>
      <c r="AG817" s="72" t="s">
        <v>757</v>
      </c>
      <c r="AH817" s="87" t="s">
        <v>757</v>
      </c>
      <c r="AT817" s="20" t="e">
        <f t="shared" si="222"/>
        <v>#N/A</v>
      </c>
      <c r="BZ817" s="71">
        <v>11973050.91</v>
      </c>
      <c r="CB817" s="71">
        <f>BZ817-D817</f>
        <v>-13597325.190000001</v>
      </c>
      <c r="CD817" s="20" t="e">
        <f t="shared" ref="CD817:CD848" si="224">VLOOKUP(C817,CE:CF,2,FALSE)</f>
        <v>#N/A</v>
      </c>
    </row>
    <row r="818" spans="1:82" ht="61.5" x14ac:dyDescent="0.85">
      <c r="A818" s="20">
        <v>1</v>
      </c>
      <c r="B818" s="66">
        <f>SUBTOTAL(103,$A$558:A818)</f>
        <v>247</v>
      </c>
      <c r="C818" s="24" t="s">
        <v>236</v>
      </c>
      <c r="D818" s="31">
        <f t="shared" ref="D818:D829" si="225">E818+F818+G818+H818+I818+J818+L818+N818+P818+R818+T818+U818+V818+W818+X818+Y818+Z818+AA818+AB818+AC818+AD818+AE818</f>
        <v>7386727.6500000004</v>
      </c>
      <c r="E818" s="31">
        <v>0</v>
      </c>
      <c r="F818" s="31">
        <v>0</v>
      </c>
      <c r="G818" s="31">
        <v>0</v>
      </c>
      <c r="H818" s="31">
        <v>0</v>
      </c>
      <c r="I818" s="31">
        <v>0</v>
      </c>
      <c r="J818" s="31">
        <v>0</v>
      </c>
      <c r="K818" s="33">
        <v>0</v>
      </c>
      <c r="L818" s="31">
        <v>0</v>
      </c>
      <c r="M818" s="31">
        <v>1509</v>
      </c>
      <c r="N818" s="31">
        <f>7404827.59-237942.47-7322.63</f>
        <v>7159562.4900000002</v>
      </c>
      <c r="O818" s="31">
        <v>0</v>
      </c>
      <c r="P818" s="31">
        <v>0</v>
      </c>
      <c r="Q818" s="31">
        <v>0</v>
      </c>
      <c r="R818" s="31">
        <v>0</v>
      </c>
      <c r="S818" s="31">
        <v>0</v>
      </c>
      <c r="T818" s="31">
        <v>0</v>
      </c>
      <c r="U818" s="31">
        <v>0</v>
      </c>
      <c r="V818" s="31">
        <v>0</v>
      </c>
      <c r="W818" s="31">
        <v>0</v>
      </c>
      <c r="X818" s="31">
        <v>0</v>
      </c>
      <c r="Y818" s="31">
        <v>0</v>
      </c>
      <c r="Z818" s="31">
        <v>0</v>
      </c>
      <c r="AA818" s="31">
        <v>0</v>
      </c>
      <c r="AB818" s="31">
        <v>0</v>
      </c>
      <c r="AC818" s="31">
        <f>ROUND(N818*1.5%,2)</f>
        <v>107393.44</v>
      </c>
      <c r="AD818" s="31">
        <v>119771.72</v>
      </c>
      <c r="AE818" s="31">
        <v>0</v>
      </c>
      <c r="AF818" s="34">
        <v>2021</v>
      </c>
      <c r="AG818" s="34">
        <v>2021</v>
      </c>
      <c r="AH818" s="35">
        <v>2021</v>
      </c>
      <c r="AT818" s="20">
        <f t="shared" si="222"/>
        <v>1</v>
      </c>
      <c r="BZ818" s="71"/>
      <c r="CD818" s="20" t="e">
        <f t="shared" si="224"/>
        <v>#N/A</v>
      </c>
    </row>
    <row r="819" spans="1:82" ht="61.5" x14ac:dyDescent="0.85">
      <c r="A819" s="20">
        <v>1</v>
      </c>
      <c r="B819" s="66">
        <f>SUBTOTAL(103,$A$558:A819)</f>
        <v>248</v>
      </c>
      <c r="C819" s="24" t="s">
        <v>241</v>
      </c>
      <c r="D819" s="31">
        <f t="shared" si="225"/>
        <v>4229794.2699999996</v>
      </c>
      <c r="E819" s="31">
        <v>0</v>
      </c>
      <c r="F819" s="31">
        <v>0</v>
      </c>
      <c r="G819" s="31">
        <v>0</v>
      </c>
      <c r="H819" s="31">
        <v>0</v>
      </c>
      <c r="I819" s="31">
        <v>0</v>
      </c>
      <c r="J819" s="31">
        <v>0</v>
      </c>
      <c r="K819" s="33">
        <v>0</v>
      </c>
      <c r="L819" s="31">
        <v>0</v>
      </c>
      <c r="M819" s="31">
        <v>0</v>
      </c>
      <c r="N819" s="31">
        <v>0</v>
      </c>
      <c r="O819" s="31">
        <v>0</v>
      </c>
      <c r="P819" s="31">
        <v>0</v>
      </c>
      <c r="Q819" s="31">
        <v>0</v>
      </c>
      <c r="R819" s="31">
        <v>0</v>
      </c>
      <c r="S819" s="31">
        <v>0</v>
      </c>
      <c r="T819" s="31">
        <v>0</v>
      </c>
      <c r="U819" s="31">
        <v>4066158.53</v>
      </c>
      <c r="V819" s="31">
        <v>0</v>
      </c>
      <c r="W819" s="31">
        <v>0</v>
      </c>
      <c r="X819" s="31">
        <v>0</v>
      </c>
      <c r="Y819" s="31">
        <v>0</v>
      </c>
      <c r="Z819" s="31">
        <v>0</v>
      </c>
      <c r="AA819" s="31">
        <v>0</v>
      </c>
      <c r="AB819" s="31">
        <v>0</v>
      </c>
      <c r="AC819" s="31">
        <f>ROUND(U819*1.5%,2)</f>
        <v>60992.38</v>
      </c>
      <c r="AD819" s="31">
        <v>102643.36</v>
      </c>
      <c r="AE819" s="31">
        <v>0</v>
      </c>
      <c r="AF819" s="34">
        <v>2021</v>
      </c>
      <c r="AG819" s="34">
        <v>2021</v>
      </c>
      <c r="AH819" s="35">
        <v>2021</v>
      </c>
      <c r="AT819" s="20" t="e">
        <f t="shared" si="222"/>
        <v>#N/A</v>
      </c>
      <c r="BZ819" s="71"/>
      <c r="CD819" s="20" t="e">
        <f t="shared" si="224"/>
        <v>#N/A</v>
      </c>
    </row>
    <row r="820" spans="1:82" ht="61.5" x14ac:dyDescent="0.85">
      <c r="A820" s="20">
        <v>1</v>
      </c>
      <c r="B820" s="66">
        <f>SUBTOTAL(103,$A$558:A820)</f>
        <v>249</v>
      </c>
      <c r="C820" s="24" t="s">
        <v>1619</v>
      </c>
      <c r="D820" s="31">
        <f t="shared" si="225"/>
        <v>1438527.14</v>
      </c>
      <c r="E820" s="31">
        <v>0</v>
      </c>
      <c r="F820" s="31">
        <v>0</v>
      </c>
      <c r="G820" s="31">
        <v>0</v>
      </c>
      <c r="H820" s="31">
        <v>0</v>
      </c>
      <c r="I820" s="31">
        <v>0</v>
      </c>
      <c r="J820" s="31">
        <v>0</v>
      </c>
      <c r="K820" s="33">
        <v>0</v>
      </c>
      <c r="L820" s="31">
        <v>0</v>
      </c>
      <c r="M820" s="31">
        <v>280</v>
      </c>
      <c r="N820" s="31">
        <v>1361678.82</v>
      </c>
      <c r="O820" s="31">
        <v>0</v>
      </c>
      <c r="P820" s="31">
        <v>0</v>
      </c>
      <c r="Q820" s="31">
        <v>0</v>
      </c>
      <c r="R820" s="31">
        <v>0</v>
      </c>
      <c r="S820" s="31">
        <v>0</v>
      </c>
      <c r="T820" s="31">
        <v>0</v>
      </c>
      <c r="U820" s="31">
        <v>0</v>
      </c>
      <c r="V820" s="31">
        <v>0</v>
      </c>
      <c r="W820" s="31">
        <v>0</v>
      </c>
      <c r="X820" s="31">
        <v>0</v>
      </c>
      <c r="Y820" s="31">
        <v>0</v>
      </c>
      <c r="Z820" s="31">
        <v>0</v>
      </c>
      <c r="AA820" s="31">
        <v>0</v>
      </c>
      <c r="AB820" s="31">
        <v>0</v>
      </c>
      <c r="AC820" s="31">
        <f>ROUND(N820*1.5%,2)</f>
        <v>20425.18</v>
      </c>
      <c r="AD820" s="31">
        <v>56423.14</v>
      </c>
      <c r="AE820" s="31">
        <v>0</v>
      </c>
      <c r="AF820" s="34">
        <v>2021</v>
      </c>
      <c r="AG820" s="34">
        <v>2021</v>
      </c>
      <c r="AH820" s="35">
        <v>2021</v>
      </c>
      <c r="BZ820" s="71"/>
      <c r="CD820" s="20" t="e">
        <f t="shared" si="224"/>
        <v>#N/A</v>
      </c>
    </row>
    <row r="821" spans="1:82" ht="61.5" x14ac:dyDescent="0.85">
      <c r="A821" s="20">
        <v>1</v>
      </c>
      <c r="B821" s="66">
        <f>SUBTOTAL(103,$A$558:A821)</f>
        <v>250</v>
      </c>
      <c r="C821" s="24" t="s">
        <v>1219</v>
      </c>
      <c r="D821" s="31">
        <f>E821+F821+G821+H821+I821+J821+L821+N821+P821+R821+T821+U821+V821+W821+X821+Y821+Z821+AA821+AB821+AC821+AD821+AE821</f>
        <v>2302763.91</v>
      </c>
      <c r="E821" s="38">
        <v>0</v>
      </c>
      <c r="F821" s="38">
        <v>0</v>
      </c>
      <c r="G821" s="31">
        <v>0</v>
      </c>
      <c r="H821" s="38">
        <v>0</v>
      </c>
      <c r="I821" s="38">
        <v>0</v>
      </c>
      <c r="J821" s="38">
        <v>0</v>
      </c>
      <c r="K821" s="33">
        <v>0</v>
      </c>
      <c r="L821" s="31">
        <v>0</v>
      </c>
      <c r="M821" s="31">
        <v>665</v>
      </c>
      <c r="N821" s="31">
        <v>2268732.92</v>
      </c>
      <c r="O821" s="38">
        <v>0</v>
      </c>
      <c r="P821" s="38">
        <v>0</v>
      </c>
      <c r="Q821" s="31">
        <v>0</v>
      </c>
      <c r="R821" s="31">
        <v>0</v>
      </c>
      <c r="S821" s="31">
        <v>0</v>
      </c>
      <c r="T821" s="31">
        <v>0</v>
      </c>
      <c r="U821" s="31">
        <v>0</v>
      </c>
      <c r="V821" s="31">
        <v>0</v>
      </c>
      <c r="W821" s="31">
        <v>0</v>
      </c>
      <c r="X821" s="31">
        <v>0</v>
      </c>
      <c r="Y821" s="31">
        <v>0</v>
      </c>
      <c r="Z821" s="31">
        <v>0</v>
      </c>
      <c r="AA821" s="31">
        <v>0</v>
      </c>
      <c r="AB821" s="31">
        <v>0</v>
      </c>
      <c r="AC821" s="31">
        <f>ROUND(N821*1.5%,2)</f>
        <v>34030.99</v>
      </c>
      <c r="AD821" s="31">
        <v>0</v>
      </c>
      <c r="AE821" s="31">
        <v>0</v>
      </c>
      <c r="AF821" s="34" t="s">
        <v>270</v>
      </c>
      <c r="AG821" s="34">
        <v>2021</v>
      </c>
      <c r="AH821" s="35">
        <v>2021</v>
      </c>
      <c r="BZ821" s="71"/>
      <c r="CD821" s="20" t="e">
        <f t="shared" si="224"/>
        <v>#N/A</v>
      </c>
    </row>
    <row r="822" spans="1:82" ht="61.5" x14ac:dyDescent="0.85">
      <c r="A822" s="20">
        <v>1</v>
      </c>
      <c r="B822" s="66">
        <f>SUBTOTAL(103,$A$558:A822)</f>
        <v>251</v>
      </c>
      <c r="C822" s="24" t="s">
        <v>234</v>
      </c>
      <c r="D822" s="31">
        <f t="shared" ref="D822:D827" si="226">E822+F822+G822+H822+I822+J822+L822+N822+P822+R822+T822+U822+V822+W822+X822+Y822+Z822+AA822+AB822+AC822+AD822+AE822</f>
        <v>2244110.73</v>
      </c>
      <c r="E822" s="31">
        <v>0</v>
      </c>
      <c r="F822" s="31">
        <v>0</v>
      </c>
      <c r="G822" s="31">
        <v>0</v>
      </c>
      <c r="H822" s="31">
        <v>0</v>
      </c>
      <c r="I822" s="31">
        <v>0</v>
      </c>
      <c r="J822" s="31">
        <v>0</v>
      </c>
      <c r="K822" s="74">
        <v>0</v>
      </c>
      <c r="L822" s="31">
        <v>0</v>
      </c>
      <c r="M822" s="31">
        <v>0</v>
      </c>
      <c r="N822" s="31">
        <v>0</v>
      </c>
      <c r="O822" s="31">
        <v>0</v>
      </c>
      <c r="P822" s="31">
        <v>0</v>
      </c>
      <c r="Q822" s="31">
        <v>449.8</v>
      </c>
      <c r="R822" s="31">
        <f>1694742.15+749592.83-200000-44537.95+11149.5</f>
        <v>2210946.5299999998</v>
      </c>
      <c r="S822" s="31">
        <v>0</v>
      </c>
      <c r="T822" s="31">
        <v>0</v>
      </c>
      <c r="U822" s="31">
        <v>0</v>
      </c>
      <c r="V822" s="31">
        <v>0</v>
      </c>
      <c r="W822" s="31">
        <v>0</v>
      </c>
      <c r="X822" s="31">
        <v>0</v>
      </c>
      <c r="Y822" s="31">
        <v>0</v>
      </c>
      <c r="Z822" s="31">
        <v>0</v>
      </c>
      <c r="AA822" s="31">
        <v>0</v>
      </c>
      <c r="AB822" s="31">
        <v>0</v>
      </c>
      <c r="AC822" s="31">
        <f>ROUND(R822*1.5%,2)</f>
        <v>33164.199999999997</v>
      </c>
      <c r="AD822" s="31">
        <v>0</v>
      </c>
      <c r="AE822" s="31">
        <v>0</v>
      </c>
      <c r="AF822" s="34" t="s">
        <v>270</v>
      </c>
      <c r="AG822" s="34">
        <v>2021</v>
      </c>
      <c r="AH822" s="35">
        <v>2021</v>
      </c>
      <c r="AT822" s="20" t="e">
        <f>VLOOKUP(C822,AW:AX,2,FALSE)</f>
        <v>#N/A</v>
      </c>
      <c r="BZ822" s="71"/>
      <c r="CD822" s="20" t="e">
        <f t="shared" si="224"/>
        <v>#N/A</v>
      </c>
    </row>
    <row r="823" spans="1:82" ht="61.5" x14ac:dyDescent="0.85">
      <c r="A823" s="20">
        <v>1</v>
      </c>
      <c r="B823" s="66">
        <f>SUBTOTAL(103,$A$558:A823)</f>
        <v>252</v>
      </c>
      <c r="C823" s="24" t="s">
        <v>238</v>
      </c>
      <c r="D823" s="31">
        <f t="shared" si="226"/>
        <v>1262100</v>
      </c>
      <c r="E823" s="31">
        <v>0</v>
      </c>
      <c r="F823" s="31">
        <v>0</v>
      </c>
      <c r="G823" s="31">
        <v>0</v>
      </c>
      <c r="H823" s="31">
        <v>0</v>
      </c>
      <c r="I823" s="31">
        <v>0</v>
      </c>
      <c r="J823" s="31">
        <v>0</v>
      </c>
      <c r="K823" s="74">
        <v>0</v>
      </c>
      <c r="L823" s="31">
        <v>0</v>
      </c>
      <c r="M823" s="31">
        <v>271</v>
      </c>
      <c r="N823" s="31">
        <v>1243448.28</v>
      </c>
      <c r="O823" s="31">
        <v>0</v>
      </c>
      <c r="P823" s="31">
        <v>0</v>
      </c>
      <c r="Q823" s="31">
        <v>0</v>
      </c>
      <c r="R823" s="31">
        <v>0</v>
      </c>
      <c r="S823" s="31">
        <v>0</v>
      </c>
      <c r="T823" s="31">
        <v>0</v>
      </c>
      <c r="U823" s="31">
        <v>0</v>
      </c>
      <c r="V823" s="31">
        <v>0</v>
      </c>
      <c r="W823" s="31">
        <v>0</v>
      </c>
      <c r="X823" s="31">
        <v>0</v>
      </c>
      <c r="Y823" s="31">
        <v>0</v>
      </c>
      <c r="Z823" s="31">
        <v>0</v>
      </c>
      <c r="AA823" s="31">
        <v>0</v>
      </c>
      <c r="AB823" s="31">
        <v>0</v>
      </c>
      <c r="AC823" s="31">
        <f>ROUND(N823*1.5%,2)</f>
        <v>18651.72</v>
      </c>
      <c r="AD823" s="31">
        <v>0</v>
      </c>
      <c r="AE823" s="31">
        <v>0</v>
      </c>
      <c r="AF823" s="34" t="s">
        <v>270</v>
      </c>
      <c r="AG823" s="34">
        <v>2021</v>
      </c>
      <c r="AH823" s="35">
        <v>2021</v>
      </c>
      <c r="AT823" s="20" t="e">
        <f>VLOOKUP(C823,AW:AX,2,FALSE)</f>
        <v>#N/A</v>
      </c>
      <c r="BZ823" s="71"/>
      <c r="CD823" s="20" t="e">
        <f t="shared" si="224"/>
        <v>#N/A</v>
      </c>
    </row>
    <row r="824" spans="1:82" ht="61.5" x14ac:dyDescent="0.85">
      <c r="A824" s="20">
        <v>1</v>
      </c>
      <c r="B824" s="66">
        <f>SUBTOTAL(103,$A$558:A824)</f>
        <v>253</v>
      </c>
      <c r="C824" s="24" t="s">
        <v>240</v>
      </c>
      <c r="D824" s="31">
        <f t="shared" si="226"/>
        <v>2600940</v>
      </c>
      <c r="E824" s="31">
        <v>0</v>
      </c>
      <c r="F824" s="31">
        <v>0</v>
      </c>
      <c r="G824" s="31">
        <v>0</v>
      </c>
      <c r="H824" s="31">
        <v>0</v>
      </c>
      <c r="I824" s="31">
        <v>0</v>
      </c>
      <c r="J824" s="31">
        <v>0</v>
      </c>
      <c r="K824" s="74">
        <v>0</v>
      </c>
      <c r="L824" s="31">
        <v>0</v>
      </c>
      <c r="M824" s="31">
        <v>539.4</v>
      </c>
      <c r="N824" s="31">
        <v>2562502.46</v>
      </c>
      <c r="O824" s="31">
        <v>0</v>
      </c>
      <c r="P824" s="31">
        <v>0</v>
      </c>
      <c r="Q824" s="31">
        <v>0</v>
      </c>
      <c r="R824" s="31">
        <v>0</v>
      </c>
      <c r="S824" s="31">
        <v>0</v>
      </c>
      <c r="T824" s="31">
        <v>0</v>
      </c>
      <c r="U824" s="31">
        <v>0</v>
      </c>
      <c r="V824" s="31">
        <v>0</v>
      </c>
      <c r="W824" s="31">
        <v>0</v>
      </c>
      <c r="X824" s="31">
        <v>0</v>
      </c>
      <c r="Y824" s="31">
        <v>0</v>
      </c>
      <c r="Z824" s="31">
        <v>0</v>
      </c>
      <c r="AA824" s="31">
        <v>0</v>
      </c>
      <c r="AB824" s="31">
        <v>0</v>
      </c>
      <c r="AC824" s="31">
        <f>ROUND(N824*1.5%,2)</f>
        <v>38437.54</v>
      </c>
      <c r="AD824" s="31">
        <v>0</v>
      </c>
      <c r="AE824" s="31">
        <v>0</v>
      </c>
      <c r="AF824" s="34" t="s">
        <v>270</v>
      </c>
      <c r="AG824" s="34">
        <v>2021</v>
      </c>
      <c r="AH824" s="35">
        <v>2021</v>
      </c>
      <c r="AT824" s="20" t="e">
        <f>VLOOKUP(C824,AW:AX,2,FALSE)</f>
        <v>#N/A</v>
      </c>
      <c r="BZ824" s="71"/>
      <c r="CD824" s="20" t="e">
        <f t="shared" si="224"/>
        <v>#N/A</v>
      </c>
    </row>
    <row r="825" spans="1:82" ht="61.5" x14ac:dyDescent="0.85">
      <c r="A825" s="20">
        <v>1</v>
      </c>
      <c r="B825" s="66">
        <f>SUBTOTAL(103,$A$558:A825)</f>
        <v>254</v>
      </c>
      <c r="C825" s="24" t="s">
        <v>1217</v>
      </c>
      <c r="D825" s="31">
        <f t="shared" si="226"/>
        <v>878254.32000000007</v>
      </c>
      <c r="E825" s="38">
        <v>315048.13</v>
      </c>
      <c r="F825" s="38">
        <v>0</v>
      </c>
      <c r="G825" s="31">
        <v>0</v>
      </c>
      <c r="H825" s="38">
        <v>550227.06000000006</v>
      </c>
      <c r="I825" s="38">
        <v>0</v>
      </c>
      <c r="J825" s="38">
        <v>0</v>
      </c>
      <c r="K825" s="74">
        <v>0</v>
      </c>
      <c r="L825" s="31">
        <v>0</v>
      </c>
      <c r="M825" s="31">
        <v>0</v>
      </c>
      <c r="N825" s="31">
        <v>0</v>
      </c>
      <c r="O825" s="38">
        <v>0</v>
      </c>
      <c r="P825" s="38">
        <v>0</v>
      </c>
      <c r="Q825" s="31">
        <v>0</v>
      </c>
      <c r="R825" s="31">
        <v>0</v>
      </c>
      <c r="S825" s="31">
        <v>0</v>
      </c>
      <c r="T825" s="31">
        <v>0</v>
      </c>
      <c r="U825" s="31">
        <v>0</v>
      </c>
      <c r="V825" s="31">
        <v>0</v>
      </c>
      <c r="W825" s="31">
        <v>0</v>
      </c>
      <c r="X825" s="31">
        <v>0</v>
      </c>
      <c r="Y825" s="31">
        <v>0</v>
      </c>
      <c r="Z825" s="31">
        <v>0</v>
      </c>
      <c r="AA825" s="31">
        <v>0</v>
      </c>
      <c r="AB825" s="31">
        <v>0</v>
      </c>
      <c r="AC825" s="31">
        <f>ROUND((E825+F825+G825+H825+I825+J825)*1.5%,2)</f>
        <v>12979.13</v>
      </c>
      <c r="AD825" s="31">
        <v>0</v>
      </c>
      <c r="AE825" s="31">
        <v>0</v>
      </c>
      <c r="AF825" s="34" t="s">
        <v>270</v>
      </c>
      <c r="AG825" s="34">
        <v>2021</v>
      </c>
      <c r="AH825" s="35">
        <v>2021</v>
      </c>
      <c r="BZ825" s="71"/>
      <c r="CD825" s="20" t="e">
        <f t="shared" si="224"/>
        <v>#N/A</v>
      </c>
    </row>
    <row r="826" spans="1:82" ht="61.5" x14ac:dyDescent="0.85">
      <c r="A826" s="20">
        <v>1</v>
      </c>
      <c r="B826" s="66">
        <f>SUBTOTAL(103,$A$558:A826)</f>
        <v>255</v>
      </c>
      <c r="C826" s="24" t="s">
        <v>1220</v>
      </c>
      <c r="D826" s="31">
        <f t="shared" si="226"/>
        <v>1811384.8699999999</v>
      </c>
      <c r="E826" s="38">
        <v>0</v>
      </c>
      <c r="F826" s="38">
        <v>0</v>
      </c>
      <c r="G826" s="31">
        <v>0</v>
      </c>
      <c r="H826" s="38">
        <v>0</v>
      </c>
      <c r="I826" s="38">
        <v>0</v>
      </c>
      <c r="J826" s="38">
        <v>0</v>
      </c>
      <c r="K826" s="74">
        <v>0</v>
      </c>
      <c r="L826" s="31">
        <v>0</v>
      </c>
      <c r="M826" s="31">
        <v>0</v>
      </c>
      <c r="N826" s="31">
        <v>0</v>
      </c>
      <c r="O826" s="38">
        <v>0</v>
      </c>
      <c r="P826" s="38">
        <v>0</v>
      </c>
      <c r="Q826" s="31">
        <v>0</v>
      </c>
      <c r="R826" s="31">
        <v>0</v>
      </c>
      <c r="S826" s="31">
        <v>84.3</v>
      </c>
      <c r="T826" s="31">
        <v>1784615.64</v>
      </c>
      <c r="U826" s="31">
        <v>0</v>
      </c>
      <c r="V826" s="31">
        <v>0</v>
      </c>
      <c r="W826" s="31">
        <v>0</v>
      </c>
      <c r="X826" s="31">
        <v>0</v>
      </c>
      <c r="Y826" s="31">
        <v>0</v>
      </c>
      <c r="Z826" s="31">
        <v>0</v>
      </c>
      <c r="AA826" s="31">
        <v>0</v>
      </c>
      <c r="AB826" s="31">
        <v>0</v>
      </c>
      <c r="AC826" s="31">
        <f>ROUND(T826*1.5%,2)</f>
        <v>26769.23</v>
      </c>
      <c r="AD826" s="31">
        <v>0</v>
      </c>
      <c r="AE826" s="31">
        <v>0</v>
      </c>
      <c r="AF826" s="34" t="s">
        <v>270</v>
      </c>
      <c r="AG826" s="34">
        <v>2021</v>
      </c>
      <c r="AH826" s="35">
        <v>2021</v>
      </c>
      <c r="BZ826" s="71"/>
      <c r="CD826" s="20" t="e">
        <f t="shared" si="224"/>
        <v>#N/A</v>
      </c>
    </row>
    <row r="827" spans="1:82" ht="61.5" x14ac:dyDescent="0.85">
      <c r="A827" s="20">
        <v>1</v>
      </c>
      <c r="B827" s="66">
        <f>SUBTOTAL(103,$A$558:A827)</f>
        <v>256</v>
      </c>
      <c r="C827" s="24" t="s">
        <v>1594</v>
      </c>
      <c r="D827" s="31">
        <f t="shared" si="226"/>
        <v>1415773.2100000002</v>
      </c>
      <c r="E827" s="38">
        <v>0</v>
      </c>
      <c r="F827" s="38">
        <v>0</v>
      </c>
      <c r="G827" s="31">
        <v>0</v>
      </c>
      <c r="H827" s="38">
        <v>0</v>
      </c>
      <c r="I827" s="38">
        <v>0</v>
      </c>
      <c r="J827" s="38">
        <v>0</v>
      </c>
      <c r="K827" s="74">
        <v>0</v>
      </c>
      <c r="L827" s="31">
        <v>0</v>
      </c>
      <c r="M827" s="31">
        <v>0</v>
      </c>
      <c r="N827" s="31">
        <v>0</v>
      </c>
      <c r="O827" s="38">
        <v>0</v>
      </c>
      <c r="P827" s="38">
        <v>0</v>
      </c>
      <c r="Q827" s="31">
        <v>377.9</v>
      </c>
      <c r="R827" s="31">
        <v>1394850.4500000002</v>
      </c>
      <c r="S827" s="31">
        <v>0</v>
      </c>
      <c r="T827" s="31">
        <v>0</v>
      </c>
      <c r="U827" s="31">
        <v>0</v>
      </c>
      <c r="V827" s="31">
        <v>0</v>
      </c>
      <c r="W827" s="31">
        <v>0</v>
      </c>
      <c r="X827" s="31">
        <v>0</v>
      </c>
      <c r="Y827" s="31">
        <v>0</v>
      </c>
      <c r="Z827" s="31">
        <v>0</v>
      </c>
      <c r="AA827" s="31">
        <v>0</v>
      </c>
      <c r="AB827" s="31">
        <v>0</v>
      </c>
      <c r="AC827" s="31">
        <f>ROUND(R827*1.5%,2)</f>
        <v>20922.759999999998</v>
      </c>
      <c r="AD827" s="31">
        <v>0</v>
      </c>
      <c r="AE827" s="31">
        <v>0</v>
      </c>
      <c r="AF827" s="34" t="s">
        <v>270</v>
      </c>
      <c r="AG827" s="34">
        <v>2021</v>
      </c>
      <c r="AH827" s="35">
        <v>2021</v>
      </c>
      <c r="BZ827" s="71"/>
      <c r="CD827" s="20" t="e">
        <f t="shared" si="224"/>
        <v>#N/A</v>
      </c>
    </row>
    <row r="828" spans="1:82" ht="61.5" x14ac:dyDescent="0.85">
      <c r="B828" s="24" t="s">
        <v>1285</v>
      </c>
      <c r="C828" s="24"/>
      <c r="D828" s="195">
        <f t="shared" ref="D828:AE828" si="227">SUM(D829:D830)</f>
        <v>5788982.2599999998</v>
      </c>
      <c r="E828" s="31">
        <f t="shared" si="227"/>
        <v>0</v>
      </c>
      <c r="F828" s="31">
        <f t="shared" si="227"/>
        <v>0</v>
      </c>
      <c r="G828" s="31">
        <f t="shared" si="227"/>
        <v>0</v>
      </c>
      <c r="H828" s="31">
        <f t="shared" si="227"/>
        <v>0</v>
      </c>
      <c r="I828" s="31">
        <f t="shared" si="227"/>
        <v>0</v>
      </c>
      <c r="J828" s="31">
        <f t="shared" si="227"/>
        <v>0</v>
      </c>
      <c r="K828" s="33">
        <f t="shared" si="227"/>
        <v>0</v>
      </c>
      <c r="L828" s="31">
        <f t="shared" si="227"/>
        <v>0</v>
      </c>
      <c r="M828" s="31">
        <f t="shared" si="227"/>
        <v>0</v>
      </c>
      <c r="N828" s="31">
        <f t="shared" si="227"/>
        <v>0</v>
      </c>
      <c r="O828" s="31">
        <f t="shared" si="227"/>
        <v>0</v>
      </c>
      <c r="P828" s="31">
        <f t="shared" si="227"/>
        <v>0</v>
      </c>
      <c r="Q828" s="31">
        <f t="shared" si="227"/>
        <v>1339.37</v>
      </c>
      <c r="R828" s="31">
        <f t="shared" si="227"/>
        <v>5585225.3700000001</v>
      </c>
      <c r="S828" s="31">
        <f t="shared" si="227"/>
        <v>0</v>
      </c>
      <c r="T828" s="31">
        <f t="shared" si="227"/>
        <v>0</v>
      </c>
      <c r="U828" s="31">
        <f t="shared" si="227"/>
        <v>0</v>
      </c>
      <c r="V828" s="31">
        <f t="shared" si="227"/>
        <v>0</v>
      </c>
      <c r="W828" s="31">
        <f t="shared" si="227"/>
        <v>0</v>
      </c>
      <c r="X828" s="31">
        <f t="shared" si="227"/>
        <v>0</v>
      </c>
      <c r="Y828" s="31">
        <f t="shared" si="227"/>
        <v>0</v>
      </c>
      <c r="Z828" s="31">
        <f t="shared" si="227"/>
        <v>0</v>
      </c>
      <c r="AA828" s="31">
        <f t="shared" si="227"/>
        <v>0</v>
      </c>
      <c r="AB828" s="31">
        <f t="shared" si="227"/>
        <v>0</v>
      </c>
      <c r="AC828" s="31">
        <f t="shared" si="227"/>
        <v>83778.38</v>
      </c>
      <c r="AD828" s="31">
        <f t="shared" si="227"/>
        <v>119978.51</v>
      </c>
      <c r="AE828" s="31">
        <f t="shared" si="227"/>
        <v>0</v>
      </c>
      <c r="AF828" s="72" t="s">
        <v>757</v>
      </c>
      <c r="AG828" s="72" t="s">
        <v>757</v>
      </c>
      <c r="AH828" s="87" t="s">
        <v>757</v>
      </c>
      <c r="AT828" s="20" t="e">
        <f>VLOOKUP(C828,AW:AX,2,FALSE)</f>
        <v>#N/A</v>
      </c>
      <c r="BZ828" s="71">
        <v>3284631.43</v>
      </c>
      <c r="CD828" s="20" t="e">
        <f t="shared" si="224"/>
        <v>#N/A</v>
      </c>
    </row>
    <row r="829" spans="1:82" ht="61.5" x14ac:dyDescent="0.85">
      <c r="A829" s="20">
        <v>1</v>
      </c>
      <c r="B829" s="66">
        <f>SUBTOTAL(103,$A$558:A829)</f>
        <v>257</v>
      </c>
      <c r="C829" s="24" t="s">
        <v>1286</v>
      </c>
      <c r="D829" s="31">
        <f t="shared" si="225"/>
        <v>3254609.94</v>
      </c>
      <c r="E829" s="31">
        <v>0</v>
      </c>
      <c r="F829" s="31">
        <v>0</v>
      </c>
      <c r="G829" s="31">
        <v>0</v>
      </c>
      <c r="H829" s="31">
        <v>0</v>
      </c>
      <c r="I829" s="31">
        <v>0</v>
      </c>
      <c r="J829" s="31">
        <v>0</v>
      </c>
      <c r="K829" s="33">
        <v>0</v>
      </c>
      <c r="L829" s="31">
        <v>0</v>
      </c>
      <c r="M829" s="31">
        <v>0</v>
      </c>
      <c r="N829" s="31">
        <v>0</v>
      </c>
      <c r="O829" s="31">
        <v>0</v>
      </c>
      <c r="P829" s="31">
        <v>0</v>
      </c>
      <c r="Q829" s="31">
        <v>842.36</v>
      </c>
      <c r="R829" s="31">
        <v>3088306.83</v>
      </c>
      <c r="S829" s="31">
        <v>0</v>
      </c>
      <c r="T829" s="31">
        <v>0</v>
      </c>
      <c r="U829" s="31">
        <v>0</v>
      </c>
      <c r="V829" s="31">
        <v>0</v>
      </c>
      <c r="W829" s="31">
        <v>0</v>
      </c>
      <c r="X829" s="31">
        <v>0</v>
      </c>
      <c r="Y829" s="31">
        <v>0</v>
      </c>
      <c r="Z829" s="31">
        <v>0</v>
      </c>
      <c r="AA829" s="31">
        <v>0</v>
      </c>
      <c r="AB829" s="31">
        <v>0</v>
      </c>
      <c r="AC829" s="31">
        <f>ROUND(R829*1.5%,2)</f>
        <v>46324.6</v>
      </c>
      <c r="AD829" s="31">
        <v>119978.51</v>
      </c>
      <c r="AE829" s="31">
        <v>0</v>
      </c>
      <c r="AF829" s="34">
        <v>2021</v>
      </c>
      <c r="AG829" s="34">
        <v>2021</v>
      </c>
      <c r="AH829" s="35">
        <v>2021</v>
      </c>
      <c r="BZ829" s="71"/>
      <c r="CD829" s="20" t="e">
        <f t="shared" si="224"/>
        <v>#N/A</v>
      </c>
    </row>
    <row r="830" spans="1:82" ht="61.5" x14ac:dyDescent="0.85">
      <c r="A830" s="20">
        <v>1</v>
      </c>
      <c r="B830" s="66">
        <f>SUBTOTAL(103,$A$558:A830)</f>
        <v>258</v>
      </c>
      <c r="C830" s="24" t="s">
        <v>1223</v>
      </c>
      <c r="D830" s="31">
        <f>E830+F830+G830+H830+I830+J830+L830+N830+P830+R830+T830+U830+V830+W830+X830+Y830+Z830+AA830+AB830+AC830+AD830+AE830</f>
        <v>2534372.3199999998</v>
      </c>
      <c r="E830" s="38">
        <v>0</v>
      </c>
      <c r="F830" s="38">
        <v>0</v>
      </c>
      <c r="G830" s="31">
        <v>0</v>
      </c>
      <c r="H830" s="38">
        <v>0</v>
      </c>
      <c r="I830" s="38">
        <v>0</v>
      </c>
      <c r="J830" s="38">
        <v>0</v>
      </c>
      <c r="K830" s="33">
        <v>0</v>
      </c>
      <c r="L830" s="31">
        <v>0</v>
      </c>
      <c r="M830" s="31">
        <v>0</v>
      </c>
      <c r="N830" s="31">
        <v>0</v>
      </c>
      <c r="O830" s="38">
        <v>0</v>
      </c>
      <c r="P830" s="38">
        <v>0</v>
      </c>
      <c r="Q830" s="31">
        <v>497.01</v>
      </c>
      <c r="R830" s="31">
        <f>2550000-53081.46</f>
        <v>2496918.54</v>
      </c>
      <c r="S830" s="31">
        <v>0</v>
      </c>
      <c r="T830" s="31">
        <v>0</v>
      </c>
      <c r="U830" s="31">
        <v>0</v>
      </c>
      <c r="V830" s="31">
        <v>0</v>
      </c>
      <c r="W830" s="31">
        <v>0</v>
      </c>
      <c r="X830" s="31">
        <v>0</v>
      </c>
      <c r="Y830" s="31">
        <v>0</v>
      </c>
      <c r="Z830" s="31">
        <v>0</v>
      </c>
      <c r="AA830" s="31">
        <v>0</v>
      </c>
      <c r="AB830" s="31">
        <v>0</v>
      </c>
      <c r="AC830" s="31">
        <f>ROUND(R830*1.5%,2)</f>
        <v>37453.78</v>
      </c>
      <c r="AD830" s="31">
        <v>0</v>
      </c>
      <c r="AE830" s="31">
        <v>0</v>
      </c>
      <c r="AF830" s="34" t="s">
        <v>270</v>
      </c>
      <c r="AG830" s="34">
        <v>2021</v>
      </c>
      <c r="AH830" s="35">
        <v>2021</v>
      </c>
      <c r="BZ830" s="71"/>
      <c r="CD830" s="20" t="e">
        <f t="shared" si="224"/>
        <v>#N/A</v>
      </c>
    </row>
    <row r="831" spans="1:82" ht="61.5" x14ac:dyDescent="0.85">
      <c r="B831" s="24" t="s">
        <v>831</v>
      </c>
      <c r="C831" s="24"/>
      <c r="D831" s="195">
        <f>SUM(D832:D834)</f>
        <v>1900027.6800000002</v>
      </c>
      <c r="E831" s="31">
        <f t="shared" ref="E831:AE831" si="228">SUM(E832:E834)</f>
        <v>0</v>
      </c>
      <c r="F831" s="31">
        <f t="shared" si="228"/>
        <v>0</v>
      </c>
      <c r="G831" s="31">
        <f t="shared" si="228"/>
        <v>0</v>
      </c>
      <c r="H831" s="31">
        <f t="shared" si="228"/>
        <v>134182.18</v>
      </c>
      <c r="I831" s="31">
        <f t="shared" si="228"/>
        <v>0</v>
      </c>
      <c r="J831" s="31">
        <f t="shared" si="228"/>
        <v>0</v>
      </c>
      <c r="K831" s="33">
        <f t="shared" si="228"/>
        <v>0</v>
      </c>
      <c r="L831" s="31">
        <f t="shared" si="228"/>
        <v>0</v>
      </c>
      <c r="M831" s="31">
        <f t="shared" si="228"/>
        <v>0</v>
      </c>
      <c r="N831" s="31">
        <f t="shared" si="228"/>
        <v>0</v>
      </c>
      <c r="O831" s="31">
        <f t="shared" si="228"/>
        <v>0</v>
      </c>
      <c r="P831" s="31">
        <f t="shared" si="228"/>
        <v>0</v>
      </c>
      <c r="Q831" s="31">
        <f t="shared" si="228"/>
        <v>369.1</v>
      </c>
      <c r="R831" s="31">
        <f t="shared" si="228"/>
        <v>1359619.7</v>
      </c>
      <c r="S831" s="31">
        <f t="shared" si="228"/>
        <v>41.6</v>
      </c>
      <c r="T831" s="31">
        <f t="shared" si="228"/>
        <v>378146.57</v>
      </c>
      <c r="U831" s="31">
        <f t="shared" si="228"/>
        <v>0</v>
      </c>
      <c r="V831" s="31">
        <f t="shared" si="228"/>
        <v>0</v>
      </c>
      <c r="W831" s="31">
        <f t="shared" si="228"/>
        <v>0</v>
      </c>
      <c r="X831" s="31">
        <f t="shared" si="228"/>
        <v>0</v>
      </c>
      <c r="Y831" s="31">
        <f t="shared" si="228"/>
        <v>0</v>
      </c>
      <c r="Z831" s="31">
        <f t="shared" si="228"/>
        <v>0</v>
      </c>
      <c r="AA831" s="31">
        <f t="shared" si="228"/>
        <v>0</v>
      </c>
      <c r="AB831" s="31">
        <f t="shared" si="228"/>
        <v>0</v>
      </c>
      <c r="AC831" s="31">
        <f t="shared" si="228"/>
        <v>28079.23</v>
      </c>
      <c r="AD831" s="31">
        <f t="shared" si="228"/>
        <v>0</v>
      </c>
      <c r="AE831" s="31">
        <f t="shared" si="228"/>
        <v>0</v>
      </c>
      <c r="AF831" s="72" t="s">
        <v>757</v>
      </c>
      <c r="AG831" s="72" t="s">
        <v>757</v>
      </c>
      <c r="AH831" s="87" t="s">
        <v>757</v>
      </c>
      <c r="AT831" s="20" t="e">
        <f>VLOOKUP(C831,AW:AX,2,FALSE)</f>
        <v>#N/A</v>
      </c>
      <c r="BZ831" s="71">
        <v>3284631.43</v>
      </c>
      <c r="CD831" s="20" t="e">
        <f t="shared" si="224"/>
        <v>#N/A</v>
      </c>
    </row>
    <row r="832" spans="1:82" ht="61.5" x14ac:dyDescent="0.85">
      <c r="A832" s="20">
        <v>1</v>
      </c>
      <c r="B832" s="66">
        <f>SUBTOTAL(103,$A$558:A832)</f>
        <v>259</v>
      </c>
      <c r="C832" s="24" t="s">
        <v>248</v>
      </c>
      <c r="D832" s="31">
        <f t="shared" ref="D832:D834" si="229">E832+F832+G832+H832+I832+J832+L832+N832+P832+R832+T832+U832+V832+W832+X832+Y832+Z832+AA832+AB832+AC832+AD832+AE832</f>
        <v>136194.91</v>
      </c>
      <c r="E832" s="31">
        <v>0</v>
      </c>
      <c r="F832" s="31">
        <v>0</v>
      </c>
      <c r="G832" s="31">
        <v>0</v>
      </c>
      <c r="H832" s="31">
        <v>134182.18</v>
      </c>
      <c r="I832" s="31">
        <v>0</v>
      </c>
      <c r="J832" s="31">
        <v>0</v>
      </c>
      <c r="K832" s="74">
        <v>0</v>
      </c>
      <c r="L832" s="31">
        <v>0</v>
      </c>
      <c r="M832" s="31">
        <v>0</v>
      </c>
      <c r="N832" s="31">
        <v>0</v>
      </c>
      <c r="O832" s="31">
        <v>0</v>
      </c>
      <c r="P832" s="31">
        <v>0</v>
      </c>
      <c r="Q832" s="31">
        <v>0</v>
      </c>
      <c r="R832" s="31">
        <v>0</v>
      </c>
      <c r="S832" s="31">
        <v>0</v>
      </c>
      <c r="T832" s="31">
        <v>0</v>
      </c>
      <c r="U832" s="31">
        <v>0</v>
      </c>
      <c r="V832" s="31">
        <v>0</v>
      </c>
      <c r="W832" s="31">
        <v>0</v>
      </c>
      <c r="X832" s="31">
        <v>0</v>
      </c>
      <c r="Y832" s="31">
        <v>0</v>
      </c>
      <c r="Z832" s="31">
        <v>0</v>
      </c>
      <c r="AA832" s="31">
        <v>0</v>
      </c>
      <c r="AB832" s="31">
        <v>0</v>
      </c>
      <c r="AC832" s="31">
        <f>ROUND((E832+F832+G832+H832+I832+J832)*1.5%,2)</f>
        <v>2012.73</v>
      </c>
      <c r="AD832" s="31">
        <v>0</v>
      </c>
      <c r="AE832" s="31">
        <v>0</v>
      </c>
      <c r="AF832" s="34" t="s">
        <v>270</v>
      </c>
      <c r="AG832" s="34">
        <v>2021</v>
      </c>
      <c r="AH832" s="35">
        <v>2021</v>
      </c>
      <c r="AT832" s="20" t="e">
        <f>VLOOKUP(C832,AW:AX,2,FALSE)</f>
        <v>#N/A</v>
      </c>
      <c r="BZ832" s="71"/>
      <c r="CD832" s="20" t="e">
        <f t="shared" si="224"/>
        <v>#N/A</v>
      </c>
    </row>
    <row r="833" spans="1:82" ht="61.5" x14ac:dyDescent="0.85">
      <c r="A833" s="20">
        <v>1</v>
      </c>
      <c r="B833" s="66">
        <f>SUBTOTAL(103,$A$558:A833)</f>
        <v>260</v>
      </c>
      <c r="C833" s="24" t="s">
        <v>1224</v>
      </c>
      <c r="D833" s="31">
        <f t="shared" si="229"/>
        <v>383818.77</v>
      </c>
      <c r="E833" s="31">
        <v>0</v>
      </c>
      <c r="F833" s="31">
        <v>0</v>
      </c>
      <c r="G833" s="31">
        <v>0</v>
      </c>
      <c r="H833" s="31">
        <v>0</v>
      </c>
      <c r="I833" s="31">
        <v>0</v>
      </c>
      <c r="J833" s="31">
        <v>0</v>
      </c>
      <c r="K833" s="74">
        <v>0</v>
      </c>
      <c r="L833" s="31">
        <v>0</v>
      </c>
      <c r="M833" s="31">
        <v>0</v>
      </c>
      <c r="N833" s="31">
        <v>0</v>
      </c>
      <c r="O833" s="31">
        <v>0</v>
      </c>
      <c r="P833" s="31">
        <v>0</v>
      </c>
      <c r="Q833" s="31">
        <v>0</v>
      </c>
      <c r="R833" s="31">
        <v>0</v>
      </c>
      <c r="S833" s="31">
        <v>41.6</v>
      </c>
      <c r="T833" s="31">
        <v>378146.57</v>
      </c>
      <c r="U833" s="31">
        <v>0</v>
      </c>
      <c r="V833" s="31">
        <v>0</v>
      </c>
      <c r="W833" s="31">
        <v>0</v>
      </c>
      <c r="X833" s="31">
        <v>0</v>
      </c>
      <c r="Y833" s="31">
        <v>0</v>
      </c>
      <c r="Z833" s="31">
        <v>0</v>
      </c>
      <c r="AA833" s="31">
        <v>0</v>
      </c>
      <c r="AB833" s="31">
        <v>0</v>
      </c>
      <c r="AC833" s="31">
        <f>ROUND(T833*1.5%,2)</f>
        <v>5672.2</v>
      </c>
      <c r="AD833" s="31">
        <v>0</v>
      </c>
      <c r="AE833" s="31">
        <v>0</v>
      </c>
      <c r="AF833" s="34" t="s">
        <v>270</v>
      </c>
      <c r="AG833" s="34">
        <v>2021</v>
      </c>
      <c r="AH833" s="35">
        <v>2021</v>
      </c>
      <c r="BZ833" s="71"/>
      <c r="CD833" s="20" t="e">
        <f t="shared" si="224"/>
        <v>#N/A</v>
      </c>
    </row>
    <row r="834" spans="1:82" ht="61.5" x14ac:dyDescent="0.85">
      <c r="A834" s="20">
        <v>1</v>
      </c>
      <c r="B834" s="66">
        <f>SUBTOTAL(103,$A$558:A834)</f>
        <v>261</v>
      </c>
      <c r="C834" s="24" t="s">
        <v>245</v>
      </c>
      <c r="D834" s="31">
        <f t="shared" si="229"/>
        <v>1380014</v>
      </c>
      <c r="E834" s="31">
        <v>0</v>
      </c>
      <c r="F834" s="31">
        <v>0</v>
      </c>
      <c r="G834" s="31">
        <v>0</v>
      </c>
      <c r="H834" s="31">
        <v>0</v>
      </c>
      <c r="I834" s="31">
        <v>0</v>
      </c>
      <c r="J834" s="31">
        <v>0</v>
      </c>
      <c r="K834" s="74">
        <v>0</v>
      </c>
      <c r="L834" s="31">
        <v>0</v>
      </c>
      <c r="M834" s="31">
        <v>0</v>
      </c>
      <c r="N834" s="31">
        <v>0</v>
      </c>
      <c r="O834" s="31">
        <v>0</v>
      </c>
      <c r="P834" s="31">
        <v>0</v>
      </c>
      <c r="Q834" s="31">
        <v>369.1</v>
      </c>
      <c r="R834" s="31">
        <v>1359619.7</v>
      </c>
      <c r="S834" s="31">
        <v>0</v>
      </c>
      <c r="T834" s="31">
        <v>0</v>
      </c>
      <c r="U834" s="31">
        <v>0</v>
      </c>
      <c r="V834" s="31">
        <v>0</v>
      </c>
      <c r="W834" s="31">
        <v>0</v>
      </c>
      <c r="X834" s="31">
        <v>0</v>
      </c>
      <c r="Y834" s="31">
        <v>0</v>
      </c>
      <c r="Z834" s="31">
        <v>0</v>
      </c>
      <c r="AA834" s="31">
        <v>0</v>
      </c>
      <c r="AB834" s="31">
        <v>0</v>
      </c>
      <c r="AC834" s="31">
        <f>ROUND(R834*1.5%,2)</f>
        <v>20394.3</v>
      </c>
      <c r="AD834" s="31">
        <v>0</v>
      </c>
      <c r="AE834" s="31">
        <v>0</v>
      </c>
      <c r="AF834" s="34" t="s">
        <v>270</v>
      </c>
      <c r="AG834" s="34">
        <v>2021</v>
      </c>
      <c r="AH834" s="35">
        <v>2021</v>
      </c>
      <c r="AT834" s="20" t="e">
        <f t="shared" ref="AT834:AT846" si="230">VLOOKUP(C834,AW:AX,2,FALSE)</f>
        <v>#N/A</v>
      </c>
      <c r="BZ834" s="71"/>
      <c r="CD834" s="20" t="e">
        <f t="shared" si="224"/>
        <v>#N/A</v>
      </c>
    </row>
    <row r="835" spans="1:82" ht="61.5" x14ac:dyDescent="0.85">
      <c r="B835" s="24" t="s">
        <v>873</v>
      </c>
      <c r="C835" s="24"/>
      <c r="D835" s="195">
        <f t="shared" ref="D835:AE835" si="231">SUM(D836)</f>
        <v>2205555.96</v>
      </c>
      <c r="E835" s="31">
        <f t="shared" si="231"/>
        <v>0</v>
      </c>
      <c r="F835" s="31">
        <f t="shared" si="231"/>
        <v>0</v>
      </c>
      <c r="G835" s="31">
        <f t="shared" si="231"/>
        <v>0</v>
      </c>
      <c r="H835" s="31">
        <f t="shared" si="231"/>
        <v>0</v>
      </c>
      <c r="I835" s="31">
        <f t="shared" si="231"/>
        <v>0</v>
      </c>
      <c r="J835" s="31">
        <f t="shared" si="231"/>
        <v>0</v>
      </c>
      <c r="K835" s="33">
        <f t="shared" si="231"/>
        <v>0</v>
      </c>
      <c r="L835" s="31">
        <f t="shared" si="231"/>
        <v>0</v>
      </c>
      <c r="M835" s="31">
        <f t="shared" si="231"/>
        <v>442.2</v>
      </c>
      <c r="N835" s="31">
        <f t="shared" si="231"/>
        <v>2103665.02</v>
      </c>
      <c r="O835" s="31">
        <f t="shared" si="231"/>
        <v>0</v>
      </c>
      <c r="P835" s="31">
        <f t="shared" si="231"/>
        <v>0</v>
      </c>
      <c r="Q835" s="31">
        <f t="shared" si="231"/>
        <v>0</v>
      </c>
      <c r="R835" s="31">
        <f t="shared" si="231"/>
        <v>0</v>
      </c>
      <c r="S835" s="31">
        <f t="shared" si="231"/>
        <v>0</v>
      </c>
      <c r="T835" s="31">
        <f t="shared" si="231"/>
        <v>0</v>
      </c>
      <c r="U835" s="31">
        <f t="shared" si="231"/>
        <v>0</v>
      </c>
      <c r="V835" s="31">
        <f t="shared" si="231"/>
        <v>0</v>
      </c>
      <c r="W835" s="31">
        <f t="shared" si="231"/>
        <v>0</v>
      </c>
      <c r="X835" s="31">
        <f t="shared" si="231"/>
        <v>0</v>
      </c>
      <c r="Y835" s="31">
        <f t="shared" si="231"/>
        <v>0</v>
      </c>
      <c r="Z835" s="31">
        <f t="shared" si="231"/>
        <v>0</v>
      </c>
      <c r="AA835" s="31">
        <f t="shared" si="231"/>
        <v>0</v>
      </c>
      <c r="AB835" s="31">
        <f t="shared" si="231"/>
        <v>0</v>
      </c>
      <c r="AC835" s="31">
        <f t="shared" si="231"/>
        <v>31554.98</v>
      </c>
      <c r="AD835" s="31">
        <f t="shared" si="231"/>
        <v>70335.960000000006</v>
      </c>
      <c r="AE835" s="31">
        <f t="shared" si="231"/>
        <v>0</v>
      </c>
      <c r="AF835" s="72" t="s">
        <v>757</v>
      </c>
      <c r="AG835" s="72" t="s">
        <v>757</v>
      </c>
      <c r="AH835" s="87" t="s">
        <v>757</v>
      </c>
      <c r="AT835" s="20" t="e">
        <f t="shared" si="230"/>
        <v>#N/A</v>
      </c>
      <c r="BZ835" s="71">
        <v>2255220</v>
      </c>
      <c r="CD835" s="20" t="e">
        <f t="shared" si="224"/>
        <v>#N/A</v>
      </c>
    </row>
    <row r="836" spans="1:82" ht="61.5" x14ac:dyDescent="0.85">
      <c r="A836" s="20">
        <v>1</v>
      </c>
      <c r="B836" s="66">
        <f>SUBTOTAL(103,$A$558:A836)</f>
        <v>262</v>
      </c>
      <c r="C836" s="24" t="s">
        <v>243</v>
      </c>
      <c r="D836" s="31">
        <f>E836+F836+G836+H836+I836+J836+L836+N836+P836+R836+T836+U836+V836+W836+X836+Y836+Z836+AA836+AB836+AC836+AD836+AE836</f>
        <v>2205555.96</v>
      </c>
      <c r="E836" s="31">
        <v>0</v>
      </c>
      <c r="F836" s="31">
        <v>0</v>
      </c>
      <c r="G836" s="31">
        <v>0</v>
      </c>
      <c r="H836" s="31">
        <v>0</v>
      </c>
      <c r="I836" s="31">
        <v>0</v>
      </c>
      <c r="J836" s="31">
        <v>0</v>
      </c>
      <c r="K836" s="33">
        <v>0</v>
      </c>
      <c r="L836" s="31">
        <v>0</v>
      </c>
      <c r="M836" s="31">
        <v>442.2</v>
      </c>
      <c r="N836" s="31">
        <v>2103665.02</v>
      </c>
      <c r="O836" s="31">
        <v>0</v>
      </c>
      <c r="P836" s="31">
        <v>0</v>
      </c>
      <c r="Q836" s="31">
        <v>0</v>
      </c>
      <c r="R836" s="31">
        <v>0</v>
      </c>
      <c r="S836" s="31">
        <v>0</v>
      </c>
      <c r="T836" s="31">
        <v>0</v>
      </c>
      <c r="U836" s="31">
        <v>0</v>
      </c>
      <c r="V836" s="31">
        <v>0</v>
      </c>
      <c r="W836" s="31">
        <v>0</v>
      </c>
      <c r="X836" s="31">
        <v>0</v>
      </c>
      <c r="Y836" s="31">
        <v>0</v>
      </c>
      <c r="Z836" s="31">
        <v>0</v>
      </c>
      <c r="AA836" s="31">
        <v>0</v>
      </c>
      <c r="AB836" s="31">
        <v>0</v>
      </c>
      <c r="AC836" s="31">
        <f>ROUND(N836*1.5%,2)</f>
        <v>31554.98</v>
      </c>
      <c r="AD836" s="31">
        <v>70335.960000000006</v>
      </c>
      <c r="AE836" s="31">
        <v>0</v>
      </c>
      <c r="AF836" s="34">
        <v>2021</v>
      </c>
      <c r="AG836" s="34">
        <v>2021</v>
      </c>
      <c r="AH836" s="35">
        <v>2021</v>
      </c>
      <c r="AT836" s="20" t="e">
        <f t="shared" si="230"/>
        <v>#N/A</v>
      </c>
      <c r="BZ836" s="71"/>
      <c r="CD836" s="20" t="e">
        <f t="shared" si="224"/>
        <v>#N/A</v>
      </c>
    </row>
    <row r="837" spans="1:82" ht="61.5" x14ac:dyDescent="0.85">
      <c r="B837" s="24" t="s">
        <v>874</v>
      </c>
      <c r="C837" s="138"/>
      <c r="D837" s="195">
        <f t="shared" ref="D837:AE837" si="232">D838</f>
        <v>2610900</v>
      </c>
      <c r="E837" s="31">
        <f t="shared" si="232"/>
        <v>0</v>
      </c>
      <c r="F837" s="31">
        <f t="shared" si="232"/>
        <v>0</v>
      </c>
      <c r="G837" s="31">
        <f t="shared" si="232"/>
        <v>0</v>
      </c>
      <c r="H837" s="31">
        <f t="shared" si="232"/>
        <v>0</v>
      </c>
      <c r="I837" s="31">
        <f t="shared" si="232"/>
        <v>0</v>
      </c>
      <c r="J837" s="31">
        <f t="shared" si="232"/>
        <v>0</v>
      </c>
      <c r="K837" s="33">
        <f t="shared" si="232"/>
        <v>0</v>
      </c>
      <c r="L837" s="31">
        <f t="shared" si="232"/>
        <v>0</v>
      </c>
      <c r="M837" s="31">
        <f t="shared" si="232"/>
        <v>500</v>
      </c>
      <c r="N837" s="31">
        <f t="shared" si="232"/>
        <v>2454088.67</v>
      </c>
      <c r="O837" s="31">
        <f t="shared" si="232"/>
        <v>0</v>
      </c>
      <c r="P837" s="31">
        <f t="shared" si="232"/>
        <v>0</v>
      </c>
      <c r="Q837" s="31">
        <f t="shared" si="232"/>
        <v>0</v>
      </c>
      <c r="R837" s="31">
        <f t="shared" si="232"/>
        <v>0</v>
      </c>
      <c r="S837" s="31">
        <f t="shared" si="232"/>
        <v>0</v>
      </c>
      <c r="T837" s="31">
        <f t="shared" si="232"/>
        <v>0</v>
      </c>
      <c r="U837" s="31">
        <f t="shared" si="232"/>
        <v>0</v>
      </c>
      <c r="V837" s="31">
        <f t="shared" si="232"/>
        <v>0</v>
      </c>
      <c r="W837" s="31">
        <f t="shared" si="232"/>
        <v>0</v>
      </c>
      <c r="X837" s="31">
        <f t="shared" si="232"/>
        <v>0</v>
      </c>
      <c r="Y837" s="31">
        <f t="shared" si="232"/>
        <v>0</v>
      </c>
      <c r="Z837" s="31">
        <f t="shared" si="232"/>
        <v>0</v>
      </c>
      <c r="AA837" s="31">
        <f t="shared" si="232"/>
        <v>0</v>
      </c>
      <c r="AB837" s="31">
        <f t="shared" si="232"/>
        <v>0</v>
      </c>
      <c r="AC837" s="31">
        <f t="shared" si="232"/>
        <v>36811.33</v>
      </c>
      <c r="AD837" s="31">
        <f t="shared" si="232"/>
        <v>120000</v>
      </c>
      <c r="AE837" s="31">
        <f t="shared" si="232"/>
        <v>0</v>
      </c>
      <c r="AF837" s="72" t="s">
        <v>757</v>
      </c>
      <c r="AG837" s="72" t="s">
        <v>757</v>
      </c>
      <c r="AH837" s="87" t="s">
        <v>757</v>
      </c>
      <c r="AT837" s="20" t="e">
        <f t="shared" si="230"/>
        <v>#N/A</v>
      </c>
      <c r="BZ837" s="71">
        <v>2610900</v>
      </c>
      <c r="CD837" s="20" t="e">
        <f t="shared" si="224"/>
        <v>#N/A</v>
      </c>
    </row>
    <row r="838" spans="1:82" ht="61.5" x14ac:dyDescent="0.85">
      <c r="A838" s="20">
        <v>1</v>
      </c>
      <c r="B838" s="66">
        <f>SUBTOTAL(103,$A$558:A838)</f>
        <v>263</v>
      </c>
      <c r="C838" s="25" t="s">
        <v>2</v>
      </c>
      <c r="D838" s="31">
        <f>E838+F838+G838+H838+I838+J838+L838+N838+P838+R838+T838+U838+V838+W838+X838+Y838+Z838+AA838+AB838+AC838+AD838+AE838</f>
        <v>2610900</v>
      </c>
      <c r="E838" s="31">
        <v>0</v>
      </c>
      <c r="F838" s="31">
        <v>0</v>
      </c>
      <c r="G838" s="31">
        <v>0</v>
      </c>
      <c r="H838" s="31">
        <v>0</v>
      </c>
      <c r="I838" s="31">
        <v>0</v>
      </c>
      <c r="J838" s="31">
        <v>0</v>
      </c>
      <c r="K838" s="33">
        <v>0</v>
      </c>
      <c r="L838" s="31">
        <v>0</v>
      </c>
      <c r="M838" s="31">
        <v>500</v>
      </c>
      <c r="N838" s="31">
        <v>2454088.67</v>
      </c>
      <c r="O838" s="31">
        <v>0</v>
      </c>
      <c r="P838" s="31">
        <v>0</v>
      </c>
      <c r="Q838" s="31">
        <v>0</v>
      </c>
      <c r="R838" s="31">
        <v>0</v>
      </c>
      <c r="S838" s="31">
        <v>0</v>
      </c>
      <c r="T838" s="31">
        <v>0</v>
      </c>
      <c r="U838" s="31">
        <v>0</v>
      </c>
      <c r="V838" s="31">
        <v>0</v>
      </c>
      <c r="W838" s="31">
        <v>0</v>
      </c>
      <c r="X838" s="31">
        <v>0</v>
      </c>
      <c r="Y838" s="31">
        <v>0</v>
      </c>
      <c r="Z838" s="31">
        <v>0</v>
      </c>
      <c r="AA838" s="31">
        <v>0</v>
      </c>
      <c r="AB838" s="31">
        <v>0</v>
      </c>
      <c r="AC838" s="31">
        <f>ROUND(N838*1.5%,2)</f>
        <v>36811.33</v>
      </c>
      <c r="AD838" s="31">
        <v>120000</v>
      </c>
      <c r="AE838" s="31">
        <v>0</v>
      </c>
      <c r="AF838" s="34">
        <v>2021</v>
      </c>
      <c r="AG838" s="34">
        <v>2021</v>
      </c>
      <c r="AH838" s="35">
        <v>2021</v>
      </c>
      <c r="AT838" s="20" t="e">
        <f t="shared" si="230"/>
        <v>#N/A</v>
      </c>
      <c r="BZ838" s="71"/>
      <c r="CD838" s="20" t="e">
        <f t="shared" si="224"/>
        <v>#N/A</v>
      </c>
    </row>
    <row r="839" spans="1:82" ht="61.5" x14ac:dyDescent="0.85">
      <c r="B839" s="24" t="s">
        <v>875</v>
      </c>
      <c r="C839" s="25"/>
      <c r="D839" s="195">
        <f t="shared" ref="D839:AE839" si="233">D840</f>
        <v>3133080</v>
      </c>
      <c r="E839" s="31">
        <f t="shared" si="233"/>
        <v>0</v>
      </c>
      <c r="F839" s="31">
        <f t="shared" si="233"/>
        <v>0</v>
      </c>
      <c r="G839" s="31">
        <f t="shared" si="233"/>
        <v>0</v>
      </c>
      <c r="H839" s="31">
        <f t="shared" si="233"/>
        <v>0</v>
      </c>
      <c r="I839" s="31">
        <f t="shared" si="233"/>
        <v>0</v>
      </c>
      <c r="J839" s="31">
        <f t="shared" si="233"/>
        <v>0</v>
      </c>
      <c r="K839" s="33">
        <f t="shared" si="233"/>
        <v>0</v>
      </c>
      <c r="L839" s="31">
        <f t="shared" si="233"/>
        <v>0</v>
      </c>
      <c r="M839" s="31">
        <f t="shared" si="233"/>
        <v>600</v>
      </c>
      <c r="N839" s="31">
        <f t="shared" si="233"/>
        <v>2938995.07</v>
      </c>
      <c r="O839" s="31">
        <f t="shared" si="233"/>
        <v>0</v>
      </c>
      <c r="P839" s="31">
        <f t="shared" si="233"/>
        <v>0</v>
      </c>
      <c r="Q839" s="31">
        <f t="shared" si="233"/>
        <v>0</v>
      </c>
      <c r="R839" s="31">
        <f t="shared" si="233"/>
        <v>0</v>
      </c>
      <c r="S839" s="31">
        <f t="shared" si="233"/>
        <v>0</v>
      </c>
      <c r="T839" s="31">
        <f t="shared" si="233"/>
        <v>0</v>
      </c>
      <c r="U839" s="31">
        <f t="shared" si="233"/>
        <v>0</v>
      </c>
      <c r="V839" s="31">
        <f t="shared" si="233"/>
        <v>0</v>
      </c>
      <c r="W839" s="31">
        <f t="shared" si="233"/>
        <v>0</v>
      </c>
      <c r="X839" s="31">
        <f t="shared" si="233"/>
        <v>0</v>
      </c>
      <c r="Y839" s="31">
        <f t="shared" si="233"/>
        <v>0</v>
      </c>
      <c r="Z839" s="31">
        <f t="shared" si="233"/>
        <v>0</v>
      </c>
      <c r="AA839" s="31">
        <f t="shared" si="233"/>
        <v>0</v>
      </c>
      <c r="AB839" s="31">
        <f t="shared" si="233"/>
        <v>0</v>
      </c>
      <c r="AC839" s="31">
        <f t="shared" si="233"/>
        <v>44084.93</v>
      </c>
      <c r="AD839" s="31">
        <f t="shared" si="233"/>
        <v>150000</v>
      </c>
      <c r="AE839" s="31">
        <f t="shared" si="233"/>
        <v>0</v>
      </c>
      <c r="AF839" s="72" t="s">
        <v>757</v>
      </c>
      <c r="AG839" s="72" t="s">
        <v>757</v>
      </c>
      <c r="AH839" s="87" t="s">
        <v>757</v>
      </c>
      <c r="AT839" s="20" t="e">
        <f t="shared" si="230"/>
        <v>#N/A</v>
      </c>
      <c r="BZ839" s="71">
        <v>3133080</v>
      </c>
      <c r="CB839" s="71">
        <f>BZ839-D839</f>
        <v>0</v>
      </c>
      <c r="CD839" s="20" t="e">
        <f t="shared" si="224"/>
        <v>#N/A</v>
      </c>
    </row>
    <row r="840" spans="1:82" ht="61.5" x14ac:dyDescent="0.85">
      <c r="A840" s="20">
        <v>1</v>
      </c>
      <c r="B840" s="66">
        <f>SUBTOTAL(103,$A$558:A840)</f>
        <v>264</v>
      </c>
      <c r="C840" s="25" t="s">
        <v>1</v>
      </c>
      <c r="D840" s="31">
        <f>E840+F840+G840+H840+I840+J840+L840+N840+P840+R840+T840+U840+V840+W840+X840+Y840+Z840+AA840+AB840+AC840+AD840+AE840</f>
        <v>3133080</v>
      </c>
      <c r="E840" s="31">
        <v>0</v>
      </c>
      <c r="F840" s="31">
        <v>0</v>
      </c>
      <c r="G840" s="31">
        <v>0</v>
      </c>
      <c r="H840" s="31">
        <v>0</v>
      </c>
      <c r="I840" s="31">
        <v>0</v>
      </c>
      <c r="J840" s="31">
        <v>0</v>
      </c>
      <c r="K840" s="33">
        <v>0</v>
      </c>
      <c r="L840" s="31">
        <v>0</v>
      </c>
      <c r="M840" s="31">
        <v>600</v>
      </c>
      <c r="N840" s="31">
        <v>2938995.07</v>
      </c>
      <c r="O840" s="31">
        <v>0</v>
      </c>
      <c r="P840" s="31">
        <v>0</v>
      </c>
      <c r="Q840" s="31">
        <v>0</v>
      </c>
      <c r="R840" s="31">
        <v>0</v>
      </c>
      <c r="S840" s="31">
        <v>0</v>
      </c>
      <c r="T840" s="31">
        <v>0</v>
      </c>
      <c r="U840" s="31">
        <v>0</v>
      </c>
      <c r="V840" s="31">
        <v>0</v>
      </c>
      <c r="W840" s="31">
        <v>0</v>
      </c>
      <c r="X840" s="31">
        <v>0</v>
      </c>
      <c r="Y840" s="31">
        <v>0</v>
      </c>
      <c r="Z840" s="31">
        <v>0</v>
      </c>
      <c r="AA840" s="31">
        <v>0</v>
      </c>
      <c r="AB840" s="31">
        <v>0</v>
      </c>
      <c r="AC840" s="31">
        <f>ROUND(N840*1.5%,2)</f>
        <v>44084.93</v>
      </c>
      <c r="AD840" s="31">
        <v>150000</v>
      </c>
      <c r="AE840" s="31">
        <v>0</v>
      </c>
      <c r="AF840" s="34">
        <v>2021</v>
      </c>
      <c r="AG840" s="34">
        <v>2021</v>
      </c>
      <c r="AH840" s="35">
        <v>2021</v>
      </c>
      <c r="AT840" s="20" t="e">
        <f t="shared" si="230"/>
        <v>#N/A</v>
      </c>
      <c r="BZ840" s="71"/>
      <c r="CD840" s="20" t="e">
        <f t="shared" si="224"/>
        <v>#N/A</v>
      </c>
    </row>
    <row r="841" spans="1:82" ht="61.5" x14ac:dyDescent="0.85">
      <c r="B841" s="24" t="s">
        <v>834</v>
      </c>
      <c r="C841" s="108"/>
      <c r="D841" s="195">
        <f t="shared" ref="D841:AE841" si="234">D842</f>
        <v>8458120</v>
      </c>
      <c r="E841" s="31">
        <f t="shared" si="234"/>
        <v>0</v>
      </c>
      <c r="F841" s="31">
        <f t="shared" si="234"/>
        <v>0</v>
      </c>
      <c r="G841" s="31">
        <f t="shared" si="234"/>
        <v>0</v>
      </c>
      <c r="H841" s="31">
        <f t="shared" si="234"/>
        <v>0</v>
      </c>
      <c r="I841" s="31">
        <f t="shared" si="234"/>
        <v>0</v>
      </c>
      <c r="J841" s="31">
        <f t="shared" si="234"/>
        <v>0</v>
      </c>
      <c r="K841" s="33">
        <f t="shared" si="234"/>
        <v>0</v>
      </c>
      <c r="L841" s="31">
        <f t="shared" si="234"/>
        <v>0</v>
      </c>
      <c r="M841" s="31">
        <f t="shared" si="234"/>
        <v>2000</v>
      </c>
      <c r="N841" s="31">
        <f t="shared" si="234"/>
        <v>8185339.9000000004</v>
      </c>
      <c r="O841" s="31">
        <f t="shared" si="234"/>
        <v>0</v>
      </c>
      <c r="P841" s="31">
        <f t="shared" si="234"/>
        <v>0</v>
      </c>
      <c r="Q841" s="31">
        <f t="shared" si="234"/>
        <v>0</v>
      </c>
      <c r="R841" s="31">
        <f t="shared" si="234"/>
        <v>0</v>
      </c>
      <c r="S841" s="31">
        <f t="shared" si="234"/>
        <v>0</v>
      </c>
      <c r="T841" s="31">
        <f t="shared" si="234"/>
        <v>0</v>
      </c>
      <c r="U841" s="31">
        <f t="shared" si="234"/>
        <v>0</v>
      </c>
      <c r="V841" s="31">
        <f t="shared" si="234"/>
        <v>0</v>
      </c>
      <c r="W841" s="31">
        <f t="shared" si="234"/>
        <v>0</v>
      </c>
      <c r="X841" s="31">
        <f t="shared" si="234"/>
        <v>0</v>
      </c>
      <c r="Y841" s="31">
        <f t="shared" si="234"/>
        <v>0</v>
      </c>
      <c r="Z841" s="31">
        <f t="shared" si="234"/>
        <v>0</v>
      </c>
      <c r="AA841" s="31">
        <f t="shared" si="234"/>
        <v>0</v>
      </c>
      <c r="AB841" s="31">
        <f t="shared" si="234"/>
        <v>0</v>
      </c>
      <c r="AC841" s="31">
        <f t="shared" si="234"/>
        <v>122780.1</v>
      </c>
      <c r="AD841" s="31">
        <f t="shared" si="234"/>
        <v>150000</v>
      </c>
      <c r="AE841" s="31">
        <f t="shared" si="234"/>
        <v>0</v>
      </c>
      <c r="AF841" s="72" t="s">
        <v>757</v>
      </c>
      <c r="AG841" s="72" t="s">
        <v>757</v>
      </c>
      <c r="AH841" s="87" t="s">
        <v>757</v>
      </c>
      <c r="AT841" s="20" t="e">
        <f t="shared" si="230"/>
        <v>#N/A</v>
      </c>
      <c r="BZ841" s="71">
        <v>7250046.1200000001</v>
      </c>
      <c r="CB841" s="71">
        <f>BZ841-D841</f>
        <v>-1208073.8799999999</v>
      </c>
      <c r="CD841" s="20" t="e">
        <f t="shared" si="224"/>
        <v>#N/A</v>
      </c>
    </row>
    <row r="842" spans="1:82" ht="61.5" x14ac:dyDescent="0.85">
      <c r="A842" s="20">
        <v>1</v>
      </c>
      <c r="B842" s="66">
        <f>SUBTOTAL(103,$A$558:A842)</f>
        <v>265</v>
      </c>
      <c r="C842" s="24" t="s">
        <v>699</v>
      </c>
      <c r="D842" s="31">
        <f>E842+F842+G842+H842+I842+J842+L842+N842+P842+R842+T842+U842+V842+W842+X842+Y842+Z842+AA842+AB842+AC842+AD842+AE842</f>
        <v>8458120</v>
      </c>
      <c r="E842" s="31">
        <v>0</v>
      </c>
      <c r="F842" s="31">
        <v>0</v>
      </c>
      <c r="G842" s="31">
        <v>0</v>
      </c>
      <c r="H842" s="31">
        <v>0</v>
      </c>
      <c r="I842" s="31">
        <v>0</v>
      </c>
      <c r="J842" s="31">
        <v>0</v>
      </c>
      <c r="K842" s="33">
        <v>0</v>
      </c>
      <c r="L842" s="31">
        <v>0</v>
      </c>
      <c r="M842" s="31">
        <v>2000</v>
      </c>
      <c r="N842" s="31">
        <v>8185339.9000000004</v>
      </c>
      <c r="O842" s="31">
        <v>0</v>
      </c>
      <c r="P842" s="31">
        <v>0</v>
      </c>
      <c r="Q842" s="31">
        <v>0</v>
      </c>
      <c r="R842" s="31">
        <v>0</v>
      </c>
      <c r="S842" s="31">
        <v>0</v>
      </c>
      <c r="T842" s="31">
        <v>0</v>
      </c>
      <c r="U842" s="31">
        <v>0</v>
      </c>
      <c r="V842" s="31">
        <v>0</v>
      </c>
      <c r="W842" s="31">
        <v>0</v>
      </c>
      <c r="X842" s="31">
        <v>0</v>
      </c>
      <c r="Y842" s="31">
        <v>0</v>
      </c>
      <c r="Z842" s="31">
        <v>0</v>
      </c>
      <c r="AA842" s="31">
        <v>0</v>
      </c>
      <c r="AB842" s="31">
        <v>0</v>
      </c>
      <c r="AC842" s="31">
        <f>ROUND(N842*1.5%,2)</f>
        <v>122780.1</v>
      </c>
      <c r="AD842" s="31">
        <v>150000</v>
      </c>
      <c r="AE842" s="31">
        <v>0</v>
      </c>
      <c r="AF842" s="34">
        <v>2021</v>
      </c>
      <c r="AG842" s="34">
        <v>2021</v>
      </c>
      <c r="AH842" s="35">
        <v>2021</v>
      </c>
      <c r="AT842" s="20" t="e">
        <f t="shared" si="230"/>
        <v>#N/A</v>
      </c>
      <c r="BZ842" s="71"/>
      <c r="CD842" s="20" t="e">
        <f t="shared" si="224"/>
        <v>#N/A</v>
      </c>
    </row>
    <row r="843" spans="1:82" ht="61.5" x14ac:dyDescent="0.85">
      <c r="B843" s="24" t="s">
        <v>876</v>
      </c>
      <c r="C843" s="24"/>
      <c r="D843" s="195">
        <f t="shared" ref="D843:AE843" si="235">D844</f>
        <v>2537436</v>
      </c>
      <c r="E843" s="31">
        <f t="shared" si="235"/>
        <v>0</v>
      </c>
      <c r="F843" s="31">
        <f t="shared" si="235"/>
        <v>0</v>
      </c>
      <c r="G843" s="31">
        <f t="shared" si="235"/>
        <v>0</v>
      </c>
      <c r="H843" s="31">
        <f t="shared" si="235"/>
        <v>0</v>
      </c>
      <c r="I843" s="31">
        <f t="shared" si="235"/>
        <v>0</v>
      </c>
      <c r="J843" s="31">
        <f t="shared" si="235"/>
        <v>0</v>
      </c>
      <c r="K843" s="33">
        <f t="shared" si="235"/>
        <v>0</v>
      </c>
      <c r="L843" s="31">
        <f t="shared" si="235"/>
        <v>0</v>
      </c>
      <c r="M843" s="31">
        <f t="shared" si="235"/>
        <v>600</v>
      </c>
      <c r="N843" s="31">
        <f t="shared" si="235"/>
        <v>2371858.13</v>
      </c>
      <c r="O843" s="31">
        <f t="shared" si="235"/>
        <v>0</v>
      </c>
      <c r="P843" s="31">
        <f t="shared" si="235"/>
        <v>0</v>
      </c>
      <c r="Q843" s="31">
        <f t="shared" si="235"/>
        <v>0</v>
      </c>
      <c r="R843" s="31">
        <f t="shared" si="235"/>
        <v>0</v>
      </c>
      <c r="S843" s="31">
        <f t="shared" si="235"/>
        <v>0</v>
      </c>
      <c r="T843" s="31">
        <f t="shared" si="235"/>
        <v>0</v>
      </c>
      <c r="U843" s="31">
        <f t="shared" si="235"/>
        <v>0</v>
      </c>
      <c r="V843" s="31">
        <f t="shared" si="235"/>
        <v>0</v>
      </c>
      <c r="W843" s="31">
        <f t="shared" si="235"/>
        <v>0</v>
      </c>
      <c r="X843" s="31">
        <f t="shared" si="235"/>
        <v>0</v>
      </c>
      <c r="Y843" s="31">
        <f t="shared" si="235"/>
        <v>0</v>
      </c>
      <c r="Z843" s="31">
        <f t="shared" si="235"/>
        <v>0</v>
      </c>
      <c r="AA843" s="31">
        <f t="shared" si="235"/>
        <v>0</v>
      </c>
      <c r="AB843" s="31">
        <f t="shared" si="235"/>
        <v>0</v>
      </c>
      <c r="AC843" s="31">
        <f t="shared" si="235"/>
        <v>35577.870000000003</v>
      </c>
      <c r="AD843" s="31">
        <f t="shared" si="235"/>
        <v>130000</v>
      </c>
      <c r="AE843" s="31">
        <f t="shared" si="235"/>
        <v>0</v>
      </c>
      <c r="AF843" s="72" t="s">
        <v>757</v>
      </c>
      <c r="AG843" s="72" t="s">
        <v>757</v>
      </c>
      <c r="AH843" s="87" t="s">
        <v>757</v>
      </c>
      <c r="AT843" s="20" t="e">
        <f t="shared" si="230"/>
        <v>#N/A</v>
      </c>
      <c r="BZ843" s="71">
        <v>2473090.71</v>
      </c>
      <c r="CB843" s="71">
        <f>BZ843-D843</f>
        <v>-64345.290000000037</v>
      </c>
      <c r="CD843" s="20" t="e">
        <f t="shared" si="224"/>
        <v>#N/A</v>
      </c>
    </row>
    <row r="844" spans="1:82" ht="61.5" x14ac:dyDescent="0.85">
      <c r="A844" s="20">
        <v>1</v>
      </c>
      <c r="B844" s="66">
        <f>SUBTOTAL(103,$A$558:A844)</f>
        <v>266</v>
      </c>
      <c r="C844" s="24" t="s">
        <v>705</v>
      </c>
      <c r="D844" s="31">
        <f>E844+F844+G844+H844+I844+J844+L844+N844+P844+R844+T844+U844+V844+W844+X844+Y844+Z844+AA844+AB844+AC844+AD844+AE844</f>
        <v>2537436</v>
      </c>
      <c r="E844" s="31">
        <v>0</v>
      </c>
      <c r="F844" s="31">
        <v>0</v>
      </c>
      <c r="G844" s="31">
        <v>0</v>
      </c>
      <c r="H844" s="31">
        <v>0</v>
      </c>
      <c r="I844" s="31">
        <v>0</v>
      </c>
      <c r="J844" s="31">
        <v>0</v>
      </c>
      <c r="K844" s="33">
        <v>0</v>
      </c>
      <c r="L844" s="31">
        <v>0</v>
      </c>
      <c r="M844" s="31">
        <v>600</v>
      </c>
      <c r="N844" s="31">
        <v>2371858.13</v>
      </c>
      <c r="O844" s="31">
        <v>0</v>
      </c>
      <c r="P844" s="31">
        <v>0</v>
      </c>
      <c r="Q844" s="31">
        <v>0</v>
      </c>
      <c r="R844" s="31">
        <v>0</v>
      </c>
      <c r="S844" s="31">
        <v>0</v>
      </c>
      <c r="T844" s="31">
        <v>0</v>
      </c>
      <c r="U844" s="31">
        <v>0</v>
      </c>
      <c r="V844" s="31">
        <v>0</v>
      </c>
      <c r="W844" s="31">
        <v>0</v>
      </c>
      <c r="X844" s="31">
        <v>0</v>
      </c>
      <c r="Y844" s="31">
        <v>0</v>
      </c>
      <c r="Z844" s="31">
        <v>0</v>
      </c>
      <c r="AA844" s="31">
        <v>0</v>
      </c>
      <c r="AB844" s="31">
        <v>0</v>
      </c>
      <c r="AC844" s="31">
        <f>ROUND(N844*1.5%,2)</f>
        <v>35577.870000000003</v>
      </c>
      <c r="AD844" s="31">
        <v>130000</v>
      </c>
      <c r="AE844" s="31">
        <v>0</v>
      </c>
      <c r="AF844" s="34">
        <v>2021</v>
      </c>
      <c r="AG844" s="34">
        <v>2021</v>
      </c>
      <c r="AH844" s="35">
        <v>2021</v>
      </c>
      <c r="AT844" s="20" t="e">
        <f t="shared" si="230"/>
        <v>#N/A</v>
      </c>
      <c r="BZ844" s="71"/>
      <c r="CD844" s="20" t="e">
        <f t="shared" si="224"/>
        <v>#N/A</v>
      </c>
    </row>
    <row r="845" spans="1:82" ht="61.5" x14ac:dyDescent="0.85">
      <c r="B845" s="24" t="s">
        <v>835</v>
      </c>
      <c r="C845" s="24"/>
      <c r="D845" s="195">
        <f t="shared" ref="D845:AE845" si="236">SUM(D846:D849)</f>
        <v>7263627.54</v>
      </c>
      <c r="E845" s="31">
        <f t="shared" si="236"/>
        <v>350000</v>
      </c>
      <c r="F845" s="31">
        <f t="shared" si="236"/>
        <v>0</v>
      </c>
      <c r="G845" s="31">
        <f t="shared" si="236"/>
        <v>0</v>
      </c>
      <c r="H845" s="31">
        <f t="shared" si="236"/>
        <v>0</v>
      </c>
      <c r="I845" s="31">
        <f t="shared" si="236"/>
        <v>0</v>
      </c>
      <c r="J845" s="31">
        <f t="shared" si="236"/>
        <v>0</v>
      </c>
      <c r="K845" s="33">
        <f t="shared" si="236"/>
        <v>0</v>
      </c>
      <c r="L845" s="31">
        <f t="shared" si="236"/>
        <v>0</v>
      </c>
      <c r="M845" s="31">
        <f t="shared" si="236"/>
        <v>1464.8</v>
      </c>
      <c r="N845" s="31">
        <f t="shared" si="236"/>
        <v>5792142.4199999999</v>
      </c>
      <c r="O845" s="31">
        <f t="shared" si="236"/>
        <v>0</v>
      </c>
      <c r="P845" s="31">
        <f t="shared" si="236"/>
        <v>0</v>
      </c>
      <c r="Q845" s="31">
        <f t="shared" si="236"/>
        <v>1040</v>
      </c>
      <c r="R845" s="31">
        <f t="shared" si="236"/>
        <v>629919.39</v>
      </c>
      <c r="S845" s="31">
        <f t="shared" si="236"/>
        <v>0</v>
      </c>
      <c r="T845" s="31">
        <f t="shared" si="236"/>
        <v>0</v>
      </c>
      <c r="U845" s="31">
        <f t="shared" si="236"/>
        <v>0</v>
      </c>
      <c r="V845" s="31">
        <f t="shared" si="236"/>
        <v>0</v>
      </c>
      <c r="W845" s="31">
        <f t="shared" si="236"/>
        <v>0</v>
      </c>
      <c r="X845" s="31">
        <f t="shared" si="236"/>
        <v>0</v>
      </c>
      <c r="Y845" s="31">
        <f t="shared" si="236"/>
        <v>0</v>
      </c>
      <c r="Z845" s="31">
        <f t="shared" si="236"/>
        <v>0</v>
      </c>
      <c r="AA845" s="31">
        <f t="shared" si="236"/>
        <v>0</v>
      </c>
      <c r="AB845" s="31">
        <f t="shared" si="236"/>
        <v>0</v>
      </c>
      <c r="AC845" s="31">
        <f t="shared" si="236"/>
        <v>101580.93</v>
      </c>
      <c r="AD845" s="31">
        <f t="shared" si="236"/>
        <v>389984.8</v>
      </c>
      <c r="AE845" s="31">
        <f t="shared" si="236"/>
        <v>0</v>
      </c>
      <c r="AF845" s="72" t="s">
        <v>757</v>
      </c>
      <c r="AG845" s="72" t="s">
        <v>757</v>
      </c>
      <c r="AH845" s="87" t="s">
        <v>757</v>
      </c>
      <c r="AT845" s="20" t="e">
        <f t="shared" si="230"/>
        <v>#N/A</v>
      </c>
      <c r="BZ845" s="71">
        <v>2622646.19</v>
      </c>
      <c r="CB845" s="71">
        <f>BZ845-D845</f>
        <v>-4640981.3499999996</v>
      </c>
      <c r="CD845" s="20" t="e">
        <f t="shared" si="224"/>
        <v>#N/A</v>
      </c>
    </row>
    <row r="846" spans="1:82" ht="61.5" x14ac:dyDescent="0.85">
      <c r="A846" s="20">
        <v>1</v>
      </c>
      <c r="B846" s="66">
        <f>SUBTOTAL(103,$A$558:A846)</f>
        <v>267</v>
      </c>
      <c r="C846" s="24" t="s">
        <v>702</v>
      </c>
      <c r="D846" s="31">
        <f>E846+F846+G846+H846+I846+J846+L846+N846+P846+R846+T846+U846+V846+W846+X846+Y846+Z846+AA846+AB846+AC846+AD846+AE846</f>
        <v>2968784.92</v>
      </c>
      <c r="E846" s="31">
        <v>0</v>
      </c>
      <c r="F846" s="31">
        <v>0</v>
      </c>
      <c r="G846" s="31">
        <v>0</v>
      </c>
      <c r="H846" s="31">
        <v>0</v>
      </c>
      <c r="I846" s="31">
        <v>0</v>
      </c>
      <c r="J846" s="31">
        <v>0</v>
      </c>
      <c r="K846" s="33">
        <v>0</v>
      </c>
      <c r="L846" s="31">
        <v>0</v>
      </c>
      <c r="M846" s="31">
        <v>702</v>
      </c>
      <c r="N846" s="31">
        <v>2796847.41</v>
      </c>
      <c r="O846" s="31">
        <v>0</v>
      </c>
      <c r="P846" s="31">
        <v>0</v>
      </c>
      <c r="Q846" s="31">
        <v>0</v>
      </c>
      <c r="R846" s="31">
        <v>0</v>
      </c>
      <c r="S846" s="31">
        <v>0</v>
      </c>
      <c r="T846" s="31">
        <v>0</v>
      </c>
      <c r="U846" s="31">
        <v>0</v>
      </c>
      <c r="V846" s="31">
        <v>0</v>
      </c>
      <c r="W846" s="31">
        <v>0</v>
      </c>
      <c r="X846" s="31">
        <v>0</v>
      </c>
      <c r="Y846" s="31">
        <v>0</v>
      </c>
      <c r="Z846" s="31">
        <v>0</v>
      </c>
      <c r="AA846" s="31">
        <v>0</v>
      </c>
      <c r="AB846" s="31">
        <v>0</v>
      </c>
      <c r="AC846" s="31">
        <f>ROUND(N846*1.5%,2)</f>
        <v>41952.71</v>
      </c>
      <c r="AD846" s="31">
        <f>130000.8-16</f>
        <v>129984.8</v>
      </c>
      <c r="AE846" s="31">
        <v>0</v>
      </c>
      <c r="AF846" s="34">
        <v>2021</v>
      </c>
      <c r="AG846" s="34">
        <v>2021</v>
      </c>
      <c r="AH846" s="35">
        <v>2021</v>
      </c>
      <c r="AT846" s="20" t="e">
        <f t="shared" si="230"/>
        <v>#N/A</v>
      </c>
      <c r="BZ846" s="71"/>
      <c r="CD846" s="20" t="e">
        <f t="shared" si="224"/>
        <v>#N/A</v>
      </c>
    </row>
    <row r="847" spans="1:82" ht="61.5" x14ac:dyDescent="0.85">
      <c r="A847" s="20">
        <v>1</v>
      </c>
      <c r="B847" s="66">
        <f>SUBTOTAL(103,$A$558:A847)</f>
        <v>268</v>
      </c>
      <c r="C847" s="24" t="s">
        <v>1564</v>
      </c>
      <c r="D847" s="31">
        <f>E847+F847+G847+H847+I847+J847+L847+N847+P847+R847+T847+U847+V847+W847+X847+Y847+Z847+AA847+AB847+AC847+AD847+AE847</f>
        <v>3040224.4400000004</v>
      </c>
      <c r="E847" s="31">
        <v>0</v>
      </c>
      <c r="F847" s="31">
        <v>0</v>
      </c>
      <c r="G847" s="31">
        <v>0</v>
      </c>
      <c r="H847" s="31">
        <v>0</v>
      </c>
      <c r="I847" s="31">
        <v>0</v>
      </c>
      <c r="J847" s="31">
        <v>0</v>
      </c>
      <c r="K847" s="33">
        <v>0</v>
      </c>
      <c r="L847" s="31">
        <v>0</v>
      </c>
      <c r="M847" s="31">
        <v>762.8</v>
      </c>
      <c r="N847" s="31">
        <f>3130467.24-135172.23</f>
        <v>2995295.0100000002</v>
      </c>
      <c r="O847" s="31">
        <v>0</v>
      </c>
      <c r="P847" s="31">
        <v>0</v>
      </c>
      <c r="Q847" s="31">
        <v>0</v>
      </c>
      <c r="R847" s="31">
        <v>0</v>
      </c>
      <c r="S847" s="31">
        <v>0</v>
      </c>
      <c r="T847" s="31">
        <v>0</v>
      </c>
      <c r="U847" s="31">
        <v>0</v>
      </c>
      <c r="V847" s="31">
        <v>0</v>
      </c>
      <c r="W847" s="31">
        <v>0</v>
      </c>
      <c r="X847" s="31">
        <v>0</v>
      </c>
      <c r="Y847" s="31">
        <v>0</v>
      </c>
      <c r="Z847" s="31">
        <v>0</v>
      </c>
      <c r="AA847" s="31">
        <v>0</v>
      </c>
      <c r="AB847" s="31">
        <v>0</v>
      </c>
      <c r="AC847" s="31">
        <f>ROUND(N847*1.5%,2)</f>
        <v>44929.43</v>
      </c>
      <c r="AD847" s="31">
        <v>0</v>
      </c>
      <c r="AE847" s="31">
        <v>0</v>
      </c>
      <c r="AF847" s="34" t="s">
        <v>270</v>
      </c>
      <c r="AG847" s="34">
        <v>2021</v>
      </c>
      <c r="AH847" s="35">
        <v>2021</v>
      </c>
      <c r="BZ847" s="71"/>
      <c r="CD847" s="20">
        <f t="shared" si="224"/>
        <v>762.8</v>
      </c>
    </row>
    <row r="848" spans="1:82" ht="61.5" x14ac:dyDescent="0.85">
      <c r="A848" s="20">
        <v>1</v>
      </c>
      <c r="B848" s="66">
        <f>SUBTOTAL(103,$A$558:A848)</f>
        <v>269</v>
      </c>
      <c r="C848" s="24" t="s">
        <v>1226</v>
      </c>
      <c r="D848" s="31">
        <f>E848+F848+G848+H848+I848+J848+L848+N848+P848+R848+T848+U848+V848+W848+X848+Y848+Z848+AA848+AB848+AC848+AD848+AE848</f>
        <v>485250</v>
      </c>
      <c r="E848" s="31">
        <v>350000</v>
      </c>
      <c r="F848" s="31">
        <v>0</v>
      </c>
      <c r="G848" s="31">
        <v>0</v>
      </c>
      <c r="H848" s="31">
        <v>0</v>
      </c>
      <c r="I848" s="31">
        <v>0</v>
      </c>
      <c r="J848" s="31">
        <v>0</v>
      </c>
      <c r="K848" s="33">
        <v>0</v>
      </c>
      <c r="L848" s="31">
        <v>0</v>
      </c>
      <c r="M848" s="31">
        <v>0</v>
      </c>
      <c r="N848" s="31">
        <v>0</v>
      </c>
      <c r="O848" s="31">
        <v>0</v>
      </c>
      <c r="P848" s="31">
        <v>0</v>
      </c>
      <c r="Q848" s="31">
        <v>0</v>
      </c>
      <c r="R848" s="31">
        <v>0</v>
      </c>
      <c r="S848" s="31">
        <v>0</v>
      </c>
      <c r="T848" s="31">
        <v>0</v>
      </c>
      <c r="U848" s="31">
        <v>0</v>
      </c>
      <c r="V848" s="31">
        <v>0</v>
      </c>
      <c r="W848" s="31">
        <v>0</v>
      </c>
      <c r="X848" s="31">
        <v>0</v>
      </c>
      <c r="Y848" s="31">
        <v>0</v>
      </c>
      <c r="Z848" s="31">
        <v>0</v>
      </c>
      <c r="AA848" s="31">
        <v>0</v>
      </c>
      <c r="AB848" s="31">
        <v>0</v>
      </c>
      <c r="AC848" s="31">
        <f>ROUND((E848+F848+G848+H848+I848+J848)*1.5%,2)</f>
        <v>5250</v>
      </c>
      <c r="AD848" s="31">
        <v>130000</v>
      </c>
      <c r="AE848" s="31">
        <v>0</v>
      </c>
      <c r="AF848" s="34">
        <v>2021</v>
      </c>
      <c r="AG848" s="34">
        <v>2021</v>
      </c>
      <c r="AH848" s="35">
        <v>2021</v>
      </c>
      <c r="BZ848" s="71"/>
      <c r="CD848" s="20" t="e">
        <f t="shared" si="224"/>
        <v>#N/A</v>
      </c>
    </row>
    <row r="849" spans="1:82" ht="61.5" x14ac:dyDescent="0.85">
      <c r="A849" s="20">
        <v>1</v>
      </c>
      <c r="B849" s="66">
        <f>SUBTOTAL(103,$A$558:A849)</f>
        <v>270</v>
      </c>
      <c r="C849" s="24" t="s">
        <v>1974</v>
      </c>
      <c r="D849" s="31">
        <f>E849+F849+G849+H849+I849+J849+L849+N849+P849+R849+T849+U849+V849+W849+X849+Y849+Z849+AA849+AB849+AC849+AD849+AE849</f>
        <v>769368.18</v>
      </c>
      <c r="E849" s="31">
        <v>0</v>
      </c>
      <c r="F849" s="31">
        <v>0</v>
      </c>
      <c r="G849" s="31">
        <v>0</v>
      </c>
      <c r="H849" s="31">
        <v>0</v>
      </c>
      <c r="I849" s="31">
        <v>0</v>
      </c>
      <c r="J849" s="31">
        <v>0</v>
      </c>
      <c r="K849" s="33">
        <v>0</v>
      </c>
      <c r="L849" s="31">
        <v>0</v>
      </c>
      <c r="M849" s="31">
        <v>0</v>
      </c>
      <c r="N849" s="31">
        <v>0</v>
      </c>
      <c r="O849" s="31">
        <v>0</v>
      </c>
      <c r="P849" s="31">
        <v>0</v>
      </c>
      <c r="Q849" s="31">
        <v>1040</v>
      </c>
      <c r="R849" s="31">
        <v>629919.39</v>
      </c>
      <c r="S849" s="31">
        <v>0</v>
      </c>
      <c r="T849" s="31">
        <v>0</v>
      </c>
      <c r="U849" s="31">
        <v>0</v>
      </c>
      <c r="V849" s="31">
        <v>0</v>
      </c>
      <c r="W849" s="31">
        <v>0</v>
      </c>
      <c r="X849" s="31">
        <v>0</v>
      </c>
      <c r="Y849" s="31">
        <v>0</v>
      </c>
      <c r="Z849" s="31">
        <v>0</v>
      </c>
      <c r="AA849" s="31">
        <v>0</v>
      </c>
      <c r="AB849" s="31">
        <v>0</v>
      </c>
      <c r="AC849" s="31">
        <f>ROUND(R849*1.5%,2)</f>
        <v>9448.7900000000009</v>
      </c>
      <c r="AD849" s="31">
        <v>130000</v>
      </c>
      <c r="AE849" s="31">
        <v>0</v>
      </c>
      <c r="AF849" s="34">
        <v>2021</v>
      </c>
      <c r="AG849" s="34">
        <v>2021</v>
      </c>
      <c r="AH849" s="35">
        <v>2021</v>
      </c>
      <c r="BZ849" s="71"/>
      <c r="CD849" s="20" t="e">
        <f t="shared" ref="CD849:CD880" si="237">VLOOKUP(C849,CE:CF,2,FALSE)</f>
        <v>#N/A</v>
      </c>
    </row>
    <row r="850" spans="1:82" ht="61.5" x14ac:dyDescent="0.85">
      <c r="B850" s="24" t="s">
        <v>836</v>
      </c>
      <c r="C850" s="24"/>
      <c r="D850" s="195">
        <f t="shared" ref="D850:AE850" si="238">D851</f>
        <v>4024889.9</v>
      </c>
      <c r="E850" s="31">
        <f t="shared" si="238"/>
        <v>0</v>
      </c>
      <c r="F850" s="31">
        <f t="shared" si="238"/>
        <v>0</v>
      </c>
      <c r="G850" s="31">
        <f t="shared" si="238"/>
        <v>0</v>
      </c>
      <c r="H850" s="31">
        <f t="shared" si="238"/>
        <v>0</v>
      </c>
      <c r="I850" s="31">
        <f t="shared" si="238"/>
        <v>0</v>
      </c>
      <c r="J850" s="31">
        <f t="shared" si="238"/>
        <v>0</v>
      </c>
      <c r="K850" s="33">
        <f t="shared" si="238"/>
        <v>0</v>
      </c>
      <c r="L850" s="31">
        <f t="shared" si="238"/>
        <v>0</v>
      </c>
      <c r="M850" s="31">
        <f t="shared" si="238"/>
        <v>0</v>
      </c>
      <c r="N850" s="31">
        <f t="shared" si="238"/>
        <v>0</v>
      </c>
      <c r="O850" s="31">
        <f t="shared" si="238"/>
        <v>0</v>
      </c>
      <c r="P850" s="31">
        <f t="shared" si="238"/>
        <v>0</v>
      </c>
      <c r="Q850" s="31">
        <f t="shared" si="238"/>
        <v>716.49</v>
      </c>
      <c r="R850" s="31">
        <f t="shared" si="238"/>
        <v>3965408.77</v>
      </c>
      <c r="S850" s="31">
        <f t="shared" si="238"/>
        <v>0</v>
      </c>
      <c r="T850" s="31">
        <f t="shared" si="238"/>
        <v>0</v>
      </c>
      <c r="U850" s="31">
        <f t="shared" si="238"/>
        <v>0</v>
      </c>
      <c r="V850" s="31">
        <f t="shared" si="238"/>
        <v>0</v>
      </c>
      <c r="W850" s="31">
        <f t="shared" si="238"/>
        <v>0</v>
      </c>
      <c r="X850" s="31">
        <f t="shared" si="238"/>
        <v>0</v>
      </c>
      <c r="Y850" s="31">
        <f t="shared" si="238"/>
        <v>0</v>
      </c>
      <c r="Z850" s="31">
        <f t="shared" si="238"/>
        <v>0</v>
      </c>
      <c r="AA850" s="31">
        <f t="shared" si="238"/>
        <v>0</v>
      </c>
      <c r="AB850" s="31">
        <f t="shared" si="238"/>
        <v>0</v>
      </c>
      <c r="AC850" s="31">
        <f t="shared" si="238"/>
        <v>59481.13</v>
      </c>
      <c r="AD850" s="31">
        <f t="shared" si="238"/>
        <v>0</v>
      </c>
      <c r="AE850" s="31">
        <f t="shared" si="238"/>
        <v>0</v>
      </c>
      <c r="AF850" s="72" t="s">
        <v>757</v>
      </c>
      <c r="AG850" s="72" t="s">
        <v>757</v>
      </c>
      <c r="AH850" s="87" t="s">
        <v>757</v>
      </c>
      <c r="AT850" s="20" t="e">
        <f t="shared" ref="AT850:AT861" si="239">VLOOKUP(C850,AW:AX,2,FALSE)</f>
        <v>#N/A</v>
      </c>
      <c r="BZ850" s="71">
        <v>2473090.71</v>
      </c>
      <c r="CB850" s="71">
        <f>BZ850-D850</f>
        <v>-1551799.19</v>
      </c>
      <c r="CD850" s="20" t="e">
        <f t="shared" si="237"/>
        <v>#N/A</v>
      </c>
    </row>
    <row r="851" spans="1:82" ht="61.5" x14ac:dyDescent="0.85">
      <c r="A851" s="20">
        <v>1</v>
      </c>
      <c r="B851" s="66">
        <f>SUBTOTAL(103,$A$558:A851)</f>
        <v>271</v>
      </c>
      <c r="C851" s="24" t="s">
        <v>801</v>
      </c>
      <c r="D851" s="31">
        <f>E851+F851+G851+H851+I851+J851+L851+N851+P851+R851+T851+U851+V851+W851+X851+Y851+Z851+AA851+AB851+AC851+AD851+AE851</f>
        <v>4024889.9</v>
      </c>
      <c r="E851" s="31">
        <v>0</v>
      </c>
      <c r="F851" s="31">
        <v>0</v>
      </c>
      <c r="G851" s="31">
        <v>0</v>
      </c>
      <c r="H851" s="31">
        <v>0</v>
      </c>
      <c r="I851" s="31">
        <v>0</v>
      </c>
      <c r="J851" s="31">
        <v>0</v>
      </c>
      <c r="K851" s="74">
        <v>0</v>
      </c>
      <c r="L851" s="31">
        <v>0</v>
      </c>
      <c r="M851" s="31">
        <v>0</v>
      </c>
      <c r="N851" s="31">
        <v>0</v>
      </c>
      <c r="O851" s="31">
        <v>0</v>
      </c>
      <c r="P851" s="31">
        <v>0</v>
      </c>
      <c r="Q851" s="39">
        <v>716.49</v>
      </c>
      <c r="R851" s="39">
        <v>3965408.77</v>
      </c>
      <c r="S851" s="31">
        <v>0</v>
      </c>
      <c r="T851" s="31">
        <v>0</v>
      </c>
      <c r="U851" s="31">
        <v>0</v>
      </c>
      <c r="V851" s="31">
        <v>0</v>
      </c>
      <c r="W851" s="31">
        <v>0</v>
      </c>
      <c r="X851" s="31">
        <v>0</v>
      </c>
      <c r="Y851" s="31">
        <v>0</v>
      </c>
      <c r="Z851" s="31">
        <v>0</v>
      </c>
      <c r="AA851" s="31">
        <v>0</v>
      </c>
      <c r="AB851" s="31">
        <v>0</v>
      </c>
      <c r="AC851" s="31">
        <f>ROUND((N851+R851)*1.5%,2)</f>
        <v>59481.13</v>
      </c>
      <c r="AD851" s="31">
        <v>0</v>
      </c>
      <c r="AE851" s="31">
        <v>0</v>
      </c>
      <c r="AF851" s="34" t="s">
        <v>270</v>
      </c>
      <c r="AG851" s="34">
        <v>2021</v>
      </c>
      <c r="AH851" s="35">
        <v>2021</v>
      </c>
      <c r="AT851" s="20" t="e">
        <f t="shared" si="239"/>
        <v>#N/A</v>
      </c>
      <c r="BZ851" s="71"/>
      <c r="CD851" s="20" t="e">
        <f t="shared" si="237"/>
        <v>#N/A</v>
      </c>
    </row>
    <row r="852" spans="1:82" ht="61.5" x14ac:dyDescent="0.85">
      <c r="B852" s="24" t="s">
        <v>837</v>
      </c>
      <c r="C852" s="108"/>
      <c r="D852" s="195">
        <f t="shared" ref="D852:AE852" si="240">SUM(D853:D863)</f>
        <v>40418787.889999993</v>
      </c>
      <c r="E852" s="31">
        <f t="shared" si="240"/>
        <v>427797.72</v>
      </c>
      <c r="F852" s="31">
        <f t="shared" si="240"/>
        <v>0</v>
      </c>
      <c r="G852" s="31">
        <f t="shared" si="240"/>
        <v>2312364.87</v>
      </c>
      <c r="H852" s="31">
        <f t="shared" si="240"/>
        <v>629225.18000000005</v>
      </c>
      <c r="I852" s="31">
        <f t="shared" si="240"/>
        <v>0</v>
      </c>
      <c r="J852" s="31">
        <f t="shared" si="240"/>
        <v>0</v>
      </c>
      <c r="K852" s="33">
        <f t="shared" si="240"/>
        <v>0</v>
      </c>
      <c r="L852" s="31">
        <f t="shared" si="240"/>
        <v>0</v>
      </c>
      <c r="M852" s="31">
        <f t="shared" si="240"/>
        <v>5920.2199999999993</v>
      </c>
      <c r="N852" s="31">
        <f t="shared" si="240"/>
        <v>27518880.359999999</v>
      </c>
      <c r="O852" s="31">
        <f t="shared" si="240"/>
        <v>0</v>
      </c>
      <c r="P852" s="31">
        <f t="shared" si="240"/>
        <v>0</v>
      </c>
      <c r="Q852" s="31">
        <f t="shared" si="240"/>
        <v>1218.8599999999999</v>
      </c>
      <c r="R852" s="31">
        <f t="shared" si="240"/>
        <v>3020176.4</v>
      </c>
      <c r="S852" s="31">
        <f t="shared" si="240"/>
        <v>0</v>
      </c>
      <c r="T852" s="31">
        <f t="shared" si="240"/>
        <v>0</v>
      </c>
      <c r="U852" s="31">
        <f t="shared" si="240"/>
        <v>4930927.92</v>
      </c>
      <c r="V852" s="31">
        <f t="shared" si="240"/>
        <v>0</v>
      </c>
      <c r="W852" s="31">
        <f t="shared" si="240"/>
        <v>0</v>
      </c>
      <c r="X852" s="31">
        <f t="shared" si="240"/>
        <v>0</v>
      </c>
      <c r="Y852" s="31">
        <f t="shared" si="240"/>
        <v>0</v>
      </c>
      <c r="Z852" s="31">
        <f t="shared" si="240"/>
        <v>0</v>
      </c>
      <c r="AA852" s="31">
        <f t="shared" si="240"/>
        <v>0</v>
      </c>
      <c r="AB852" s="31">
        <f t="shared" si="240"/>
        <v>0</v>
      </c>
      <c r="AC852" s="31">
        <f t="shared" si="240"/>
        <v>582590.59</v>
      </c>
      <c r="AD852" s="31">
        <f t="shared" si="240"/>
        <v>996824.85</v>
      </c>
      <c r="AE852" s="31">
        <f t="shared" si="240"/>
        <v>0</v>
      </c>
      <c r="AF852" s="72" t="s">
        <v>757</v>
      </c>
      <c r="AG852" s="72" t="s">
        <v>757</v>
      </c>
      <c r="AH852" s="87" t="s">
        <v>757</v>
      </c>
      <c r="AT852" s="20" t="e">
        <f t="shared" si="239"/>
        <v>#N/A</v>
      </c>
      <c r="BZ852" s="71">
        <v>29283340</v>
      </c>
      <c r="CD852" s="20" t="e">
        <f t="shared" si="237"/>
        <v>#N/A</v>
      </c>
    </row>
    <row r="853" spans="1:82" ht="61.5" x14ac:dyDescent="0.85">
      <c r="A853" s="20">
        <v>1</v>
      </c>
      <c r="B853" s="66">
        <f>SUBTOTAL(103,$A$558:A853)</f>
        <v>272</v>
      </c>
      <c r="C853" s="24" t="s">
        <v>123</v>
      </c>
      <c r="D853" s="31">
        <f t="shared" ref="D853:D859" si="241">E853+F853+G853+H853+I853+J853+L853+N853+P853+R853+T853+U853+V853+W853+X853+Y853+Z853+AA853+AB853+AC853+AD853+AE853</f>
        <v>3282441.93</v>
      </c>
      <c r="E853" s="31">
        <v>0</v>
      </c>
      <c r="F853" s="31">
        <v>0</v>
      </c>
      <c r="G853" s="31">
        <v>0</v>
      </c>
      <c r="H853" s="31">
        <v>0</v>
      </c>
      <c r="I853" s="31">
        <v>0</v>
      </c>
      <c r="J853" s="31">
        <v>0</v>
      </c>
      <c r="K853" s="33">
        <v>0</v>
      </c>
      <c r="L853" s="31">
        <v>0</v>
      </c>
      <c r="M853" s="31">
        <v>662.5</v>
      </c>
      <c r="N853" s="31">
        <v>3115763.55</v>
      </c>
      <c r="O853" s="31">
        <v>0</v>
      </c>
      <c r="P853" s="31">
        <v>0</v>
      </c>
      <c r="Q853" s="31">
        <v>0</v>
      </c>
      <c r="R853" s="31">
        <v>0</v>
      </c>
      <c r="S853" s="31">
        <v>0</v>
      </c>
      <c r="T853" s="31">
        <v>0</v>
      </c>
      <c r="U853" s="31">
        <v>0</v>
      </c>
      <c r="V853" s="31">
        <v>0</v>
      </c>
      <c r="W853" s="31">
        <v>0</v>
      </c>
      <c r="X853" s="31">
        <v>0</v>
      </c>
      <c r="Y853" s="31">
        <v>0</v>
      </c>
      <c r="Z853" s="31">
        <v>0</v>
      </c>
      <c r="AA853" s="31">
        <v>0</v>
      </c>
      <c r="AB853" s="31">
        <v>0</v>
      </c>
      <c r="AC853" s="31">
        <f t="shared" ref="AC853:AC859" si="242">ROUND(N853*1.5%,2)</f>
        <v>46736.45</v>
      </c>
      <c r="AD853" s="31">
        <v>119941.93</v>
      </c>
      <c r="AE853" s="31">
        <v>0</v>
      </c>
      <c r="AF853" s="34">
        <v>2021</v>
      </c>
      <c r="AG853" s="34">
        <v>2021</v>
      </c>
      <c r="AH853" s="35">
        <v>2021</v>
      </c>
      <c r="AT853" s="20" t="e">
        <f t="shared" si="239"/>
        <v>#N/A</v>
      </c>
      <c r="BZ853" s="71"/>
      <c r="CD853" s="20" t="e">
        <f t="shared" si="237"/>
        <v>#N/A</v>
      </c>
    </row>
    <row r="854" spans="1:82" ht="61.5" x14ac:dyDescent="0.85">
      <c r="A854" s="20">
        <v>1</v>
      </c>
      <c r="B854" s="66">
        <f>SUBTOTAL(103,$A$558:A854)</f>
        <v>273</v>
      </c>
      <c r="C854" s="24" t="s">
        <v>128</v>
      </c>
      <c r="D854" s="31">
        <f t="shared" si="241"/>
        <v>5113507.6399999997</v>
      </c>
      <c r="E854" s="31">
        <v>0</v>
      </c>
      <c r="F854" s="31">
        <v>0</v>
      </c>
      <c r="G854" s="31">
        <v>0</v>
      </c>
      <c r="H854" s="31">
        <v>0</v>
      </c>
      <c r="I854" s="31">
        <v>0</v>
      </c>
      <c r="J854" s="31">
        <v>0</v>
      </c>
      <c r="K854" s="33">
        <v>0</v>
      </c>
      <c r="L854" s="31">
        <v>0</v>
      </c>
      <c r="M854" s="31">
        <v>0</v>
      </c>
      <c r="N854" s="31">
        <v>0</v>
      </c>
      <c r="O854" s="31">
        <v>0</v>
      </c>
      <c r="P854" s="31">
        <v>0</v>
      </c>
      <c r="Q854" s="31">
        <v>0</v>
      </c>
      <c r="R854" s="31">
        <v>0</v>
      </c>
      <c r="S854" s="31">
        <v>0</v>
      </c>
      <c r="T854" s="31">
        <v>0</v>
      </c>
      <c r="U854" s="31">
        <v>4930927.92</v>
      </c>
      <c r="V854" s="31">
        <v>0</v>
      </c>
      <c r="W854" s="31">
        <v>0</v>
      </c>
      <c r="X854" s="31">
        <v>0</v>
      </c>
      <c r="Y854" s="31">
        <v>0</v>
      </c>
      <c r="Z854" s="31">
        <v>0</v>
      </c>
      <c r="AA854" s="31">
        <v>0</v>
      </c>
      <c r="AB854" s="31">
        <v>0</v>
      </c>
      <c r="AC854" s="31">
        <f>ROUND(U854*1.5%,2)</f>
        <v>73963.92</v>
      </c>
      <c r="AD854" s="31">
        <v>108615.8</v>
      </c>
      <c r="AE854" s="31">
        <v>0</v>
      </c>
      <c r="AF854" s="34">
        <v>2021</v>
      </c>
      <c r="AG854" s="34">
        <v>2021</v>
      </c>
      <c r="AH854" s="35">
        <v>2021</v>
      </c>
      <c r="AT854" s="20" t="e">
        <f t="shared" si="239"/>
        <v>#N/A</v>
      </c>
      <c r="BZ854" s="71"/>
      <c r="CD854" s="20" t="e">
        <f t="shared" si="237"/>
        <v>#N/A</v>
      </c>
    </row>
    <row r="855" spans="1:82" ht="61.5" x14ac:dyDescent="0.85">
      <c r="A855" s="20">
        <v>1</v>
      </c>
      <c r="B855" s="66">
        <f>SUBTOTAL(103,$A$558:A855)</f>
        <v>274</v>
      </c>
      <c r="C855" s="24" t="s">
        <v>126</v>
      </c>
      <c r="D855" s="31">
        <f t="shared" si="241"/>
        <v>4388130.57</v>
      </c>
      <c r="E855" s="31">
        <v>0</v>
      </c>
      <c r="F855" s="31">
        <v>0</v>
      </c>
      <c r="G855" s="31">
        <v>0</v>
      </c>
      <c r="H855" s="31">
        <v>0</v>
      </c>
      <c r="I855" s="31">
        <v>0</v>
      </c>
      <c r="J855" s="31">
        <v>0</v>
      </c>
      <c r="K855" s="33">
        <v>0</v>
      </c>
      <c r="L855" s="31">
        <v>0</v>
      </c>
      <c r="M855" s="31">
        <v>886</v>
      </c>
      <c r="N855" s="31">
        <v>4216748.7699999996</v>
      </c>
      <c r="O855" s="31">
        <v>0</v>
      </c>
      <c r="P855" s="31">
        <v>0</v>
      </c>
      <c r="Q855" s="31">
        <v>0</v>
      </c>
      <c r="R855" s="31">
        <v>0</v>
      </c>
      <c r="S855" s="31">
        <v>0</v>
      </c>
      <c r="T855" s="31">
        <v>0</v>
      </c>
      <c r="U855" s="31">
        <v>0</v>
      </c>
      <c r="V855" s="31">
        <v>0</v>
      </c>
      <c r="W855" s="31">
        <v>0</v>
      </c>
      <c r="X855" s="31">
        <v>0</v>
      </c>
      <c r="Y855" s="31">
        <v>0</v>
      </c>
      <c r="Z855" s="31">
        <v>0</v>
      </c>
      <c r="AA855" s="31">
        <v>0</v>
      </c>
      <c r="AB855" s="31">
        <v>0</v>
      </c>
      <c r="AC855" s="31">
        <f t="shared" si="242"/>
        <v>63251.23</v>
      </c>
      <c r="AD855" s="31">
        <v>108130.57</v>
      </c>
      <c r="AE855" s="31">
        <v>0</v>
      </c>
      <c r="AF855" s="34">
        <v>2021</v>
      </c>
      <c r="AG855" s="34">
        <v>2021</v>
      </c>
      <c r="AH855" s="35">
        <v>2021</v>
      </c>
      <c r="AT855" s="20" t="e">
        <f t="shared" si="239"/>
        <v>#N/A</v>
      </c>
      <c r="BZ855" s="71"/>
      <c r="CD855" s="20" t="e">
        <f t="shared" si="237"/>
        <v>#N/A</v>
      </c>
    </row>
    <row r="856" spans="1:82" ht="61.5" x14ac:dyDescent="0.85">
      <c r="A856" s="20">
        <v>1</v>
      </c>
      <c r="B856" s="66">
        <f>SUBTOTAL(103,$A$558:A856)</f>
        <v>275</v>
      </c>
      <c r="C856" s="24" t="s">
        <v>129</v>
      </c>
      <c r="D856" s="31">
        <f t="shared" si="241"/>
        <v>3583491.44</v>
      </c>
      <c r="E856" s="31">
        <v>0</v>
      </c>
      <c r="F856" s="31">
        <v>0</v>
      </c>
      <c r="G856" s="31">
        <v>0</v>
      </c>
      <c r="H856" s="31">
        <v>0</v>
      </c>
      <c r="I856" s="31">
        <v>0</v>
      </c>
      <c r="J856" s="31">
        <v>0</v>
      </c>
      <c r="K856" s="33">
        <v>0</v>
      </c>
      <c r="L856" s="31">
        <v>0</v>
      </c>
      <c r="M856" s="31">
        <v>670</v>
      </c>
      <c r="N856" s="31">
        <f>3152709.36+289973.95</f>
        <v>3442683.31</v>
      </c>
      <c r="O856" s="31">
        <v>0</v>
      </c>
      <c r="P856" s="31">
        <v>0</v>
      </c>
      <c r="Q856" s="31">
        <v>0</v>
      </c>
      <c r="R856" s="31">
        <v>0</v>
      </c>
      <c r="S856" s="31">
        <v>0</v>
      </c>
      <c r="T856" s="31">
        <v>0</v>
      </c>
      <c r="U856" s="31">
        <v>0</v>
      </c>
      <c r="V856" s="31">
        <v>0</v>
      </c>
      <c r="W856" s="31">
        <v>0</v>
      </c>
      <c r="X856" s="31">
        <v>0</v>
      </c>
      <c r="Y856" s="31">
        <v>0</v>
      </c>
      <c r="Z856" s="31">
        <v>0</v>
      </c>
      <c r="AA856" s="31">
        <v>0</v>
      </c>
      <c r="AB856" s="31">
        <v>0</v>
      </c>
      <c r="AC856" s="31">
        <f t="shared" si="242"/>
        <v>51640.25</v>
      </c>
      <c r="AD856" s="31">
        <v>89167.88</v>
      </c>
      <c r="AE856" s="31">
        <v>0</v>
      </c>
      <c r="AF856" s="34">
        <v>2021</v>
      </c>
      <c r="AG856" s="34">
        <v>2021</v>
      </c>
      <c r="AH856" s="35">
        <v>2021</v>
      </c>
      <c r="AT856" s="20">
        <f t="shared" si="239"/>
        <v>1</v>
      </c>
      <c r="BZ856" s="71"/>
      <c r="CD856" s="20" t="e">
        <f t="shared" si="237"/>
        <v>#N/A</v>
      </c>
    </row>
    <row r="857" spans="1:82" ht="61.5" x14ac:dyDescent="0.85">
      <c r="A857" s="20">
        <v>1</v>
      </c>
      <c r="B857" s="66">
        <f>SUBTOTAL(103,$A$558:A857)</f>
        <v>276</v>
      </c>
      <c r="C857" s="24" t="s">
        <v>127</v>
      </c>
      <c r="D857" s="31">
        <f t="shared" si="241"/>
        <v>3011574.49</v>
      </c>
      <c r="E857" s="31">
        <v>0</v>
      </c>
      <c r="F857" s="31">
        <v>0</v>
      </c>
      <c r="G857" s="31">
        <v>0</v>
      </c>
      <c r="H857" s="31">
        <v>0</v>
      </c>
      <c r="I857" s="31">
        <v>0</v>
      </c>
      <c r="J857" s="31">
        <v>0</v>
      </c>
      <c r="K857" s="33">
        <v>0</v>
      </c>
      <c r="L857" s="31">
        <v>0</v>
      </c>
      <c r="M857" s="31">
        <v>616.12</v>
      </c>
      <c r="N857" s="31">
        <v>2887290.64</v>
      </c>
      <c r="O857" s="31">
        <v>0</v>
      </c>
      <c r="P857" s="31">
        <v>0</v>
      </c>
      <c r="Q857" s="31">
        <v>0</v>
      </c>
      <c r="R857" s="31">
        <v>0</v>
      </c>
      <c r="S857" s="31">
        <v>0</v>
      </c>
      <c r="T857" s="31">
        <v>0</v>
      </c>
      <c r="U857" s="31">
        <v>0</v>
      </c>
      <c r="V857" s="31">
        <v>0</v>
      </c>
      <c r="W857" s="31">
        <v>0</v>
      </c>
      <c r="X857" s="31">
        <v>0</v>
      </c>
      <c r="Y857" s="31">
        <v>0</v>
      </c>
      <c r="Z857" s="31">
        <v>0</v>
      </c>
      <c r="AA857" s="31">
        <v>0</v>
      </c>
      <c r="AB857" s="31">
        <v>0</v>
      </c>
      <c r="AC857" s="31">
        <f t="shared" si="242"/>
        <v>43309.36</v>
      </c>
      <c r="AD857" s="31">
        <v>80974.490000000005</v>
      </c>
      <c r="AE857" s="31">
        <v>0</v>
      </c>
      <c r="AF857" s="34">
        <v>2021</v>
      </c>
      <c r="AG857" s="34">
        <v>2021</v>
      </c>
      <c r="AH857" s="35">
        <v>2021</v>
      </c>
      <c r="AT857" s="20" t="e">
        <f t="shared" si="239"/>
        <v>#N/A</v>
      </c>
      <c r="BZ857" s="71"/>
      <c r="CD857" s="20" t="e">
        <f t="shared" si="237"/>
        <v>#N/A</v>
      </c>
    </row>
    <row r="858" spans="1:82" ht="61.5" x14ac:dyDescent="0.85">
      <c r="A858" s="20">
        <v>1</v>
      </c>
      <c r="B858" s="66">
        <f>SUBTOTAL(103,$A$558:A858)</f>
        <v>277</v>
      </c>
      <c r="C858" s="24" t="s">
        <v>124</v>
      </c>
      <c r="D858" s="31">
        <f t="shared" si="241"/>
        <v>3374348.08</v>
      </c>
      <c r="E858" s="31">
        <v>0</v>
      </c>
      <c r="F858" s="31">
        <v>0</v>
      </c>
      <c r="G858" s="31">
        <v>0</v>
      </c>
      <c r="H858" s="31">
        <v>0</v>
      </c>
      <c r="I858" s="31">
        <v>0</v>
      </c>
      <c r="J858" s="31">
        <v>0</v>
      </c>
      <c r="K858" s="33">
        <v>0</v>
      </c>
      <c r="L858" s="31">
        <v>0</v>
      </c>
      <c r="M858" s="31">
        <v>773.7</v>
      </c>
      <c r="N858" s="31">
        <v>3206187.19</v>
      </c>
      <c r="O858" s="31">
        <v>0</v>
      </c>
      <c r="P858" s="31">
        <v>0</v>
      </c>
      <c r="Q858" s="31">
        <v>0</v>
      </c>
      <c r="R858" s="31">
        <v>0</v>
      </c>
      <c r="S858" s="31">
        <v>0</v>
      </c>
      <c r="T858" s="31">
        <v>0</v>
      </c>
      <c r="U858" s="31">
        <v>0</v>
      </c>
      <c r="V858" s="31">
        <v>0</v>
      </c>
      <c r="W858" s="31">
        <v>0</v>
      </c>
      <c r="X858" s="31">
        <v>0</v>
      </c>
      <c r="Y858" s="31">
        <v>0</v>
      </c>
      <c r="Z858" s="31">
        <v>0</v>
      </c>
      <c r="AA858" s="31">
        <v>0</v>
      </c>
      <c r="AB858" s="31">
        <v>0</v>
      </c>
      <c r="AC858" s="31">
        <f t="shared" si="242"/>
        <v>48092.81</v>
      </c>
      <c r="AD858" s="31">
        <v>120068.08</v>
      </c>
      <c r="AE858" s="31">
        <v>0</v>
      </c>
      <c r="AF858" s="34">
        <v>2021</v>
      </c>
      <c r="AG858" s="34">
        <v>2021</v>
      </c>
      <c r="AH858" s="35">
        <v>2021</v>
      </c>
      <c r="AT858" s="20" t="e">
        <f t="shared" si="239"/>
        <v>#N/A</v>
      </c>
      <c r="BZ858" s="71"/>
      <c r="CD858" s="20" t="e">
        <f t="shared" si="237"/>
        <v>#N/A</v>
      </c>
    </row>
    <row r="859" spans="1:82" ht="61.5" x14ac:dyDescent="0.85">
      <c r="A859" s="20">
        <v>1</v>
      </c>
      <c r="B859" s="66">
        <f>SUBTOTAL(103,$A$558:A859)</f>
        <v>278</v>
      </c>
      <c r="C859" s="24" t="s">
        <v>125</v>
      </c>
      <c r="D859" s="31">
        <f t="shared" si="241"/>
        <v>4644926.0999999996</v>
      </c>
      <c r="E859" s="31">
        <v>0</v>
      </c>
      <c r="F859" s="31">
        <v>0</v>
      </c>
      <c r="G859" s="31">
        <v>0</v>
      </c>
      <c r="H859" s="31">
        <v>0</v>
      </c>
      <c r="I859" s="31">
        <v>0</v>
      </c>
      <c r="J859" s="31">
        <v>0</v>
      </c>
      <c r="K859" s="33">
        <v>0</v>
      </c>
      <c r="L859" s="31">
        <v>0</v>
      </c>
      <c r="M859" s="31">
        <v>935</v>
      </c>
      <c r="N859" s="31">
        <v>4458128.08</v>
      </c>
      <c r="O859" s="31">
        <v>0</v>
      </c>
      <c r="P859" s="31">
        <v>0</v>
      </c>
      <c r="Q859" s="31">
        <v>0</v>
      </c>
      <c r="R859" s="31">
        <v>0</v>
      </c>
      <c r="S859" s="31">
        <v>0</v>
      </c>
      <c r="T859" s="31">
        <v>0</v>
      </c>
      <c r="U859" s="31">
        <v>0</v>
      </c>
      <c r="V859" s="31">
        <v>0</v>
      </c>
      <c r="W859" s="31">
        <v>0</v>
      </c>
      <c r="X859" s="31">
        <v>0</v>
      </c>
      <c r="Y859" s="31">
        <v>0</v>
      </c>
      <c r="Z859" s="31">
        <v>0</v>
      </c>
      <c r="AA859" s="31">
        <v>0</v>
      </c>
      <c r="AB859" s="31">
        <v>0</v>
      </c>
      <c r="AC859" s="31">
        <f t="shared" si="242"/>
        <v>66871.92</v>
      </c>
      <c r="AD859" s="31">
        <v>119926.1</v>
      </c>
      <c r="AE859" s="31">
        <v>0</v>
      </c>
      <c r="AF859" s="34">
        <v>2021</v>
      </c>
      <c r="AG859" s="34">
        <v>2021</v>
      </c>
      <c r="AH859" s="35">
        <v>2021</v>
      </c>
      <c r="AT859" s="20" t="e">
        <f t="shared" si="239"/>
        <v>#N/A</v>
      </c>
      <c r="BZ859" s="71"/>
      <c r="CD859" s="20" t="e">
        <f t="shared" si="237"/>
        <v>#N/A</v>
      </c>
    </row>
    <row r="860" spans="1:82" ht="61.5" x14ac:dyDescent="0.85">
      <c r="A860" s="20">
        <v>1</v>
      </c>
      <c r="B860" s="66">
        <f>SUBTOTAL(103,$A$558:A860)</f>
        <v>279</v>
      </c>
      <c r="C860" s="24" t="s">
        <v>130</v>
      </c>
      <c r="D860" s="31">
        <f t="shared" ref="D860:D863" si="243">E860+F860+G860+H860+I860+J860+L860+N860+P860+R860+T860+U860+V860+W860+X860+Y860+Z860+AA860+AB860+AC860+AD860+AE860</f>
        <v>6425439.0500000007</v>
      </c>
      <c r="E860" s="31">
        <v>0</v>
      </c>
      <c r="F860" s="31">
        <v>0</v>
      </c>
      <c r="G860" s="31">
        <v>0</v>
      </c>
      <c r="H860" s="31">
        <v>0</v>
      </c>
      <c r="I860" s="31">
        <v>0</v>
      </c>
      <c r="J860" s="31">
        <v>0</v>
      </c>
      <c r="K860" s="33">
        <v>0</v>
      </c>
      <c r="L860" s="31">
        <v>0</v>
      </c>
      <c r="M860" s="31">
        <v>740.9</v>
      </c>
      <c r="N860" s="31">
        <v>3064000</v>
      </c>
      <c r="O860" s="31">
        <v>0</v>
      </c>
      <c r="P860" s="31">
        <v>0</v>
      </c>
      <c r="Q860" s="31">
        <v>1218.8599999999999</v>
      </c>
      <c r="R860" s="31">
        <v>3020176.4</v>
      </c>
      <c r="S860" s="31">
        <v>0</v>
      </c>
      <c r="T860" s="31">
        <v>0</v>
      </c>
      <c r="U860" s="31">
        <v>0</v>
      </c>
      <c r="V860" s="31">
        <v>0</v>
      </c>
      <c r="W860" s="31">
        <v>0</v>
      </c>
      <c r="X860" s="31">
        <v>0</v>
      </c>
      <c r="Y860" s="31">
        <v>0</v>
      </c>
      <c r="Z860" s="31">
        <v>0</v>
      </c>
      <c r="AA860" s="31">
        <v>0</v>
      </c>
      <c r="AB860" s="31">
        <v>0</v>
      </c>
      <c r="AC860" s="31">
        <f>ROUND((N860+R860)*1.5%,2)</f>
        <v>91262.65</v>
      </c>
      <c r="AD860" s="31">
        <v>250000</v>
      </c>
      <c r="AE860" s="31">
        <v>0</v>
      </c>
      <c r="AF860" s="34">
        <v>2021</v>
      </c>
      <c r="AG860" s="34">
        <v>2021</v>
      </c>
      <c r="AH860" s="35">
        <v>2021</v>
      </c>
      <c r="AT860" s="20" t="e">
        <f t="shared" si="239"/>
        <v>#N/A</v>
      </c>
      <c r="BZ860" s="71"/>
      <c r="CD860" s="20" t="e">
        <f t="shared" si="237"/>
        <v>#N/A</v>
      </c>
    </row>
    <row r="861" spans="1:82" ht="61.5" x14ac:dyDescent="0.85">
      <c r="A861" s="20">
        <v>1</v>
      </c>
      <c r="B861" s="66">
        <f>SUBTOTAL(103,$A$558:A861)</f>
        <v>280</v>
      </c>
      <c r="C861" s="24" t="s">
        <v>114</v>
      </c>
      <c r="D861" s="31">
        <f t="shared" si="243"/>
        <v>3175000</v>
      </c>
      <c r="E861" s="31">
        <v>0</v>
      </c>
      <c r="F861" s="31">
        <v>0</v>
      </c>
      <c r="G861" s="31">
        <v>0</v>
      </c>
      <c r="H861" s="31">
        <v>0</v>
      </c>
      <c r="I861" s="31">
        <v>0</v>
      </c>
      <c r="J861" s="31">
        <v>0</v>
      </c>
      <c r="K861" s="33">
        <v>0</v>
      </c>
      <c r="L861" s="31">
        <v>0</v>
      </c>
      <c r="M861" s="31">
        <v>636</v>
      </c>
      <c r="N861" s="31">
        <v>3128078.82</v>
      </c>
      <c r="O861" s="31">
        <v>0</v>
      </c>
      <c r="P861" s="31">
        <v>0</v>
      </c>
      <c r="Q861" s="31">
        <v>0</v>
      </c>
      <c r="R861" s="31">
        <v>0</v>
      </c>
      <c r="S861" s="31">
        <v>0</v>
      </c>
      <c r="T861" s="31">
        <v>0</v>
      </c>
      <c r="U861" s="31">
        <v>0</v>
      </c>
      <c r="V861" s="31">
        <v>0</v>
      </c>
      <c r="W861" s="31">
        <v>0</v>
      </c>
      <c r="X861" s="31">
        <v>0</v>
      </c>
      <c r="Y861" s="31">
        <v>0</v>
      </c>
      <c r="Z861" s="31">
        <v>0</v>
      </c>
      <c r="AA861" s="31">
        <v>0</v>
      </c>
      <c r="AB861" s="31">
        <v>0</v>
      </c>
      <c r="AC861" s="31">
        <f t="shared" ref="AC861" si="244">ROUND(N861*1.5%,2)</f>
        <v>46921.18</v>
      </c>
      <c r="AD861" s="31">
        <v>0</v>
      </c>
      <c r="AE861" s="31">
        <v>0</v>
      </c>
      <c r="AF861" s="34" t="s">
        <v>270</v>
      </c>
      <c r="AG861" s="34">
        <v>2021</v>
      </c>
      <c r="AH861" s="35">
        <v>2021</v>
      </c>
      <c r="AT861" s="20" t="e">
        <f t="shared" si="239"/>
        <v>#N/A</v>
      </c>
      <c r="BZ861" s="71"/>
      <c r="CD861" s="20" t="e">
        <f t="shared" si="237"/>
        <v>#N/A</v>
      </c>
    </row>
    <row r="862" spans="1:82" ht="61.5" x14ac:dyDescent="0.85">
      <c r="A862" s="20">
        <v>1</v>
      </c>
      <c r="B862" s="66">
        <f>SUBTOTAL(103,$A$558:A862)</f>
        <v>281</v>
      </c>
      <c r="C862" s="24" t="s">
        <v>1231</v>
      </c>
      <c r="D862" s="31">
        <f t="shared" si="243"/>
        <v>1221946.1500000001</v>
      </c>
      <c r="E862" s="31">
        <v>0</v>
      </c>
      <c r="F862" s="31">
        <v>0</v>
      </c>
      <c r="G862" s="31">
        <v>990961.93</v>
      </c>
      <c r="H862" s="31">
        <v>212925.9</v>
      </c>
      <c r="I862" s="31">
        <v>0</v>
      </c>
      <c r="J862" s="31">
        <v>0</v>
      </c>
      <c r="K862" s="74">
        <v>0</v>
      </c>
      <c r="L862" s="31">
        <v>0</v>
      </c>
      <c r="M862" s="31">
        <v>0</v>
      </c>
      <c r="N862" s="31">
        <v>0</v>
      </c>
      <c r="O862" s="31">
        <v>0</v>
      </c>
      <c r="P862" s="31">
        <v>0</v>
      </c>
      <c r="Q862" s="31">
        <v>0</v>
      </c>
      <c r="R862" s="31">
        <v>0</v>
      </c>
      <c r="S862" s="31">
        <v>0</v>
      </c>
      <c r="T862" s="31">
        <v>0</v>
      </c>
      <c r="U862" s="31">
        <v>0</v>
      </c>
      <c r="V862" s="31">
        <v>0</v>
      </c>
      <c r="W862" s="31">
        <v>0</v>
      </c>
      <c r="X862" s="31">
        <v>0</v>
      </c>
      <c r="Y862" s="31">
        <v>0</v>
      </c>
      <c r="Z862" s="31">
        <v>0</v>
      </c>
      <c r="AA862" s="31">
        <v>0</v>
      </c>
      <c r="AB862" s="31">
        <v>0</v>
      </c>
      <c r="AC862" s="31">
        <f>ROUND((E862+F862+G862+H862+I862+J862)*1.5%,2)</f>
        <v>18058.32</v>
      </c>
      <c r="AD862" s="31">
        <v>0</v>
      </c>
      <c r="AE862" s="31">
        <v>0</v>
      </c>
      <c r="AF862" s="34" t="s">
        <v>270</v>
      </c>
      <c r="AG862" s="34">
        <v>2021</v>
      </c>
      <c r="AH862" s="35">
        <v>2021</v>
      </c>
      <c r="BZ862" s="71"/>
      <c r="CD862" s="20" t="e">
        <f t="shared" si="237"/>
        <v>#N/A</v>
      </c>
    </row>
    <row r="863" spans="1:82" ht="61.5" x14ac:dyDescent="0.85">
      <c r="A863" s="20">
        <v>1</v>
      </c>
      <c r="B863" s="66">
        <f>SUBTOTAL(103,$A$558:A863)</f>
        <v>282</v>
      </c>
      <c r="C863" s="24" t="s">
        <v>119</v>
      </c>
      <c r="D863" s="31">
        <f t="shared" si="243"/>
        <v>2197982.44</v>
      </c>
      <c r="E863" s="31">
        <v>427797.72</v>
      </c>
      <c r="F863" s="31">
        <v>0</v>
      </c>
      <c r="G863" s="31">
        <v>1321402.94</v>
      </c>
      <c r="H863" s="31">
        <v>416299.28</v>
      </c>
      <c r="I863" s="31">
        <v>0</v>
      </c>
      <c r="J863" s="31">
        <v>0</v>
      </c>
      <c r="K863" s="74">
        <v>0</v>
      </c>
      <c r="L863" s="31">
        <v>0</v>
      </c>
      <c r="M863" s="31">
        <v>0</v>
      </c>
      <c r="N863" s="31">
        <v>0</v>
      </c>
      <c r="O863" s="31">
        <v>0</v>
      </c>
      <c r="P863" s="31">
        <v>0</v>
      </c>
      <c r="Q863" s="31">
        <v>0</v>
      </c>
      <c r="R863" s="31">
        <v>0</v>
      </c>
      <c r="S863" s="31">
        <v>0</v>
      </c>
      <c r="T863" s="31">
        <v>0</v>
      </c>
      <c r="U863" s="31">
        <v>0</v>
      </c>
      <c r="V863" s="31">
        <v>0</v>
      </c>
      <c r="W863" s="31">
        <v>0</v>
      </c>
      <c r="X863" s="31">
        <v>0</v>
      </c>
      <c r="Y863" s="31">
        <v>0</v>
      </c>
      <c r="Z863" s="31">
        <v>0</v>
      </c>
      <c r="AA863" s="31">
        <v>0</v>
      </c>
      <c r="AB863" s="31">
        <v>0</v>
      </c>
      <c r="AC863" s="31">
        <f>ROUND((E863+F863+G863+H863+I863+J863)*1.5%,2)</f>
        <v>32482.5</v>
      </c>
      <c r="AD863" s="31">
        <v>0</v>
      </c>
      <c r="AE863" s="31">
        <v>0</v>
      </c>
      <c r="AF863" s="34" t="s">
        <v>270</v>
      </c>
      <c r="AG863" s="34">
        <v>2021</v>
      </c>
      <c r="AH863" s="35">
        <v>2021</v>
      </c>
      <c r="AT863" s="20" t="e">
        <f>VLOOKUP(C863,AW:AX,2,FALSE)</f>
        <v>#N/A</v>
      </c>
      <c r="BZ863" s="71"/>
      <c r="CD863" s="20" t="e">
        <f t="shared" si="237"/>
        <v>#N/A</v>
      </c>
    </row>
    <row r="864" spans="1:82" ht="61.5" x14ac:dyDescent="0.85">
      <c r="B864" s="24" t="s">
        <v>840</v>
      </c>
      <c r="C864" s="108"/>
      <c r="D864" s="195">
        <f t="shared" ref="D864:AE864" si="245">SUM(D865:D866)</f>
        <v>6003691.8100000005</v>
      </c>
      <c r="E864" s="31">
        <f t="shared" si="245"/>
        <v>0</v>
      </c>
      <c r="F864" s="31">
        <f t="shared" si="245"/>
        <v>0</v>
      </c>
      <c r="G864" s="31">
        <f t="shared" si="245"/>
        <v>0</v>
      </c>
      <c r="H864" s="31">
        <f t="shared" si="245"/>
        <v>0</v>
      </c>
      <c r="I864" s="31">
        <f t="shared" si="245"/>
        <v>0</v>
      </c>
      <c r="J864" s="31">
        <f t="shared" si="245"/>
        <v>0</v>
      </c>
      <c r="K864" s="33">
        <f t="shared" si="245"/>
        <v>0</v>
      </c>
      <c r="L864" s="31">
        <f t="shared" si="245"/>
        <v>0</v>
      </c>
      <c r="M864" s="31">
        <f t="shared" si="245"/>
        <v>172</v>
      </c>
      <c r="N864" s="31">
        <f t="shared" si="245"/>
        <v>1221695.96</v>
      </c>
      <c r="O864" s="31">
        <f t="shared" si="245"/>
        <v>0</v>
      </c>
      <c r="P864" s="31">
        <f t="shared" si="245"/>
        <v>0</v>
      </c>
      <c r="Q864" s="31">
        <f t="shared" si="245"/>
        <v>0</v>
      </c>
      <c r="R864" s="31">
        <f t="shared" si="245"/>
        <v>0</v>
      </c>
      <c r="S864" s="31">
        <f t="shared" si="245"/>
        <v>0</v>
      </c>
      <c r="T864" s="31">
        <f t="shared" si="245"/>
        <v>0</v>
      </c>
      <c r="U864" s="31">
        <f t="shared" si="245"/>
        <v>4693271.34</v>
      </c>
      <c r="V864" s="31">
        <f t="shared" si="245"/>
        <v>0</v>
      </c>
      <c r="W864" s="31">
        <f t="shared" si="245"/>
        <v>0</v>
      </c>
      <c r="X864" s="31">
        <f t="shared" si="245"/>
        <v>0</v>
      </c>
      <c r="Y864" s="31">
        <f t="shared" si="245"/>
        <v>0</v>
      </c>
      <c r="Z864" s="31">
        <f t="shared" si="245"/>
        <v>0</v>
      </c>
      <c r="AA864" s="31">
        <f t="shared" si="245"/>
        <v>0</v>
      </c>
      <c r="AB864" s="31">
        <f t="shared" si="245"/>
        <v>0</v>
      </c>
      <c r="AC864" s="31">
        <f t="shared" si="245"/>
        <v>88724.510000000009</v>
      </c>
      <c r="AD864" s="31">
        <f t="shared" si="245"/>
        <v>0</v>
      </c>
      <c r="AE864" s="31">
        <f t="shared" si="245"/>
        <v>0</v>
      </c>
      <c r="AF864" s="72" t="s">
        <v>757</v>
      </c>
      <c r="AG864" s="72" t="s">
        <v>757</v>
      </c>
      <c r="AH864" s="87" t="s">
        <v>757</v>
      </c>
      <c r="AT864" s="20" t="e">
        <f>VLOOKUP(C864,AW:AX,2,FALSE)</f>
        <v>#N/A</v>
      </c>
      <c r="BZ864" s="71">
        <v>3328825.5</v>
      </c>
      <c r="CD864" s="20" t="e">
        <f t="shared" si="237"/>
        <v>#N/A</v>
      </c>
    </row>
    <row r="865" spans="1:82" ht="61.5" x14ac:dyDescent="0.85">
      <c r="A865" s="20">
        <v>1</v>
      </c>
      <c r="B865" s="66">
        <f>SUBTOTAL(103,$A$558:A865)</f>
        <v>283</v>
      </c>
      <c r="C865" s="24" t="s">
        <v>170</v>
      </c>
      <c r="D865" s="31">
        <f>E865+F865+G865+H865+I865+J865+L865+N865+P865+R865+T865+U865+V865+W865+X865+Y865+Z865+AA865+AB865+AC865+AD865+AE865</f>
        <v>4763670.41</v>
      </c>
      <c r="E865" s="31">
        <v>0</v>
      </c>
      <c r="F865" s="31">
        <v>0</v>
      </c>
      <c r="G865" s="31">
        <v>0</v>
      </c>
      <c r="H865" s="31">
        <v>0</v>
      </c>
      <c r="I865" s="31">
        <v>0</v>
      </c>
      <c r="J865" s="31">
        <v>0</v>
      </c>
      <c r="K865" s="74">
        <v>0</v>
      </c>
      <c r="L865" s="31">
        <v>0</v>
      </c>
      <c r="M865" s="31">
        <v>0</v>
      </c>
      <c r="N865" s="31">
        <v>0</v>
      </c>
      <c r="O865" s="31">
        <v>0</v>
      </c>
      <c r="P865" s="31">
        <v>0</v>
      </c>
      <c r="Q865" s="31">
        <v>0</v>
      </c>
      <c r="R865" s="31">
        <v>0</v>
      </c>
      <c r="S865" s="31">
        <v>0</v>
      </c>
      <c r="T865" s="31">
        <v>0</v>
      </c>
      <c r="U865" s="31">
        <f>4178507.88-47969.83+550395.9+12337.39</f>
        <v>4693271.34</v>
      </c>
      <c r="V865" s="31">
        <v>0</v>
      </c>
      <c r="W865" s="31">
        <v>0</v>
      </c>
      <c r="X865" s="31">
        <v>0</v>
      </c>
      <c r="Y865" s="31">
        <v>0</v>
      </c>
      <c r="Z865" s="31">
        <v>0</v>
      </c>
      <c r="AA865" s="31">
        <v>0</v>
      </c>
      <c r="AB865" s="31">
        <v>0</v>
      </c>
      <c r="AC865" s="31">
        <f>ROUND(U865*1.5%,2)</f>
        <v>70399.070000000007</v>
      </c>
      <c r="AD865" s="31">
        <v>0</v>
      </c>
      <c r="AE865" s="31">
        <v>0</v>
      </c>
      <c r="AF865" s="34" t="s">
        <v>270</v>
      </c>
      <c r="AG865" s="34">
        <v>2021</v>
      </c>
      <c r="AH865" s="35">
        <v>2021</v>
      </c>
      <c r="AT865" s="20" t="e">
        <f>VLOOKUP(C865,AW:AX,2,FALSE)</f>
        <v>#N/A</v>
      </c>
      <c r="BZ865" s="71"/>
      <c r="CD865" s="20" t="e">
        <f t="shared" si="237"/>
        <v>#N/A</v>
      </c>
    </row>
    <row r="866" spans="1:82" ht="61.5" x14ac:dyDescent="0.85">
      <c r="A866" s="20">
        <v>1</v>
      </c>
      <c r="B866" s="66">
        <f>SUBTOTAL(103,$A$558:A866)</f>
        <v>284</v>
      </c>
      <c r="C866" s="24" t="s">
        <v>1583</v>
      </c>
      <c r="D866" s="31">
        <f>E866+F866+G866+H866+I866+J866+L866+N866+P866+R866+T866+U866+V866+W866+X866+Y866+Z866+AA866+AB866+AC866+AD866+AE866</f>
        <v>1240021.3999999999</v>
      </c>
      <c r="E866" s="31">
        <v>0</v>
      </c>
      <c r="F866" s="31">
        <v>0</v>
      </c>
      <c r="G866" s="31">
        <v>0</v>
      </c>
      <c r="H866" s="31">
        <v>0</v>
      </c>
      <c r="I866" s="31">
        <v>0</v>
      </c>
      <c r="J866" s="31">
        <v>0</v>
      </c>
      <c r="K866" s="74">
        <v>0</v>
      </c>
      <c r="L866" s="31">
        <v>0</v>
      </c>
      <c r="M866" s="31">
        <v>172</v>
      </c>
      <c r="N866" s="31">
        <f>898149.6+144032.15+138871.15+34310.83+6332.23</f>
        <v>1221695.96</v>
      </c>
      <c r="O866" s="31">
        <v>0</v>
      </c>
      <c r="P866" s="31">
        <v>0</v>
      </c>
      <c r="Q866" s="31">
        <v>0</v>
      </c>
      <c r="R866" s="31">
        <v>0</v>
      </c>
      <c r="S866" s="31">
        <v>0</v>
      </c>
      <c r="T866" s="31">
        <v>0</v>
      </c>
      <c r="U866" s="31">
        <v>0</v>
      </c>
      <c r="V866" s="31">
        <v>0</v>
      </c>
      <c r="W866" s="31">
        <v>0</v>
      </c>
      <c r="X866" s="31">
        <v>0</v>
      </c>
      <c r="Y866" s="31">
        <v>0</v>
      </c>
      <c r="Z866" s="31">
        <v>0</v>
      </c>
      <c r="AA866" s="31">
        <v>0</v>
      </c>
      <c r="AB866" s="31">
        <v>0</v>
      </c>
      <c r="AC866" s="31">
        <f>ROUND(N866*1.5%,2)</f>
        <v>18325.439999999999</v>
      </c>
      <c r="AD866" s="31">
        <v>0</v>
      </c>
      <c r="AE866" s="31">
        <v>0</v>
      </c>
      <c r="AF866" s="34" t="s">
        <v>270</v>
      </c>
      <c r="AG866" s="34">
        <v>2021</v>
      </c>
      <c r="AH866" s="35">
        <v>2021</v>
      </c>
      <c r="BZ866" s="71"/>
      <c r="CD866" s="20" t="e">
        <f t="shared" si="237"/>
        <v>#N/A</v>
      </c>
    </row>
    <row r="867" spans="1:82" ht="61.5" x14ac:dyDescent="0.85">
      <c r="B867" s="24" t="s">
        <v>842</v>
      </c>
      <c r="C867" s="108"/>
      <c r="D867" s="195">
        <f>SUM(D868:D870)</f>
        <v>6409465.3600000003</v>
      </c>
      <c r="E867" s="31">
        <f t="shared" ref="E867:AE867" si="246">SUM(E868:E870)</f>
        <v>0</v>
      </c>
      <c r="F867" s="31">
        <f t="shared" si="246"/>
        <v>0</v>
      </c>
      <c r="G867" s="31">
        <f t="shared" si="246"/>
        <v>0</v>
      </c>
      <c r="H867" s="31">
        <f t="shared" si="246"/>
        <v>0</v>
      </c>
      <c r="I867" s="31">
        <f t="shared" si="246"/>
        <v>0</v>
      </c>
      <c r="J867" s="31">
        <f t="shared" si="246"/>
        <v>0</v>
      </c>
      <c r="K867" s="33">
        <f t="shared" si="246"/>
        <v>0</v>
      </c>
      <c r="L867" s="31">
        <f t="shared" si="246"/>
        <v>0</v>
      </c>
      <c r="M867" s="31">
        <f t="shared" si="246"/>
        <v>650</v>
      </c>
      <c r="N867" s="31">
        <f t="shared" si="246"/>
        <v>3131847.78</v>
      </c>
      <c r="O867" s="31">
        <f t="shared" si="246"/>
        <v>0</v>
      </c>
      <c r="P867" s="31">
        <f t="shared" si="246"/>
        <v>0</v>
      </c>
      <c r="Q867" s="31">
        <f t="shared" si="246"/>
        <v>403.2</v>
      </c>
      <c r="R867" s="31">
        <f t="shared" si="246"/>
        <v>1634230.1300000001</v>
      </c>
      <c r="S867" s="31">
        <f t="shared" si="246"/>
        <v>0</v>
      </c>
      <c r="T867" s="31">
        <f t="shared" si="246"/>
        <v>0</v>
      </c>
      <c r="U867" s="31">
        <f t="shared" si="246"/>
        <v>1400883.03</v>
      </c>
      <c r="V867" s="31">
        <f t="shared" si="246"/>
        <v>0</v>
      </c>
      <c r="W867" s="31">
        <f t="shared" si="246"/>
        <v>0</v>
      </c>
      <c r="X867" s="31">
        <f t="shared" si="246"/>
        <v>0</v>
      </c>
      <c r="Y867" s="31">
        <f t="shared" si="246"/>
        <v>0</v>
      </c>
      <c r="Z867" s="31">
        <f t="shared" si="246"/>
        <v>0</v>
      </c>
      <c r="AA867" s="31">
        <f t="shared" si="246"/>
        <v>0</v>
      </c>
      <c r="AB867" s="31">
        <f t="shared" si="246"/>
        <v>0</v>
      </c>
      <c r="AC867" s="31">
        <f t="shared" si="246"/>
        <v>92504.42</v>
      </c>
      <c r="AD867" s="31">
        <f t="shared" si="246"/>
        <v>150000</v>
      </c>
      <c r="AE867" s="31">
        <f t="shared" si="246"/>
        <v>0</v>
      </c>
      <c r="AF867" s="72" t="s">
        <v>757</v>
      </c>
      <c r="AG867" s="72" t="s">
        <v>757</v>
      </c>
      <c r="AH867" s="87" t="s">
        <v>757</v>
      </c>
      <c r="AT867" s="20" t="e">
        <f>VLOOKUP(C867,AW:AX,2,FALSE)</f>
        <v>#N/A</v>
      </c>
      <c r="BZ867" s="71">
        <v>3328825.5</v>
      </c>
      <c r="CD867" s="20" t="e">
        <f t="shared" si="237"/>
        <v>#N/A</v>
      </c>
    </row>
    <row r="868" spans="1:82" ht="61.5" x14ac:dyDescent="0.85">
      <c r="A868" s="20">
        <v>1</v>
      </c>
      <c r="B868" s="66">
        <f>SUBTOTAL(103,$A$558:A868)</f>
        <v>285</v>
      </c>
      <c r="C868" s="24" t="s">
        <v>177</v>
      </c>
      <c r="D868" s="31">
        <f>E868+F868+G868+H868+I868+J868+L868+N868+P868+R868+T868+U868+V868+W868+X868+Y868+Z868+AA868+AB868+AC868+AD868+AE868</f>
        <v>3328825.5</v>
      </c>
      <c r="E868" s="31">
        <v>0</v>
      </c>
      <c r="F868" s="31">
        <v>0</v>
      </c>
      <c r="G868" s="31">
        <v>0</v>
      </c>
      <c r="H868" s="31">
        <v>0</v>
      </c>
      <c r="I868" s="31">
        <v>0</v>
      </c>
      <c r="J868" s="31">
        <v>0</v>
      </c>
      <c r="K868" s="33">
        <v>0</v>
      </c>
      <c r="L868" s="31">
        <v>0</v>
      </c>
      <c r="M868" s="31">
        <v>650</v>
      </c>
      <c r="N868" s="31">
        <v>3131847.78</v>
      </c>
      <c r="O868" s="31">
        <v>0</v>
      </c>
      <c r="P868" s="31">
        <v>0</v>
      </c>
      <c r="Q868" s="31">
        <v>0</v>
      </c>
      <c r="R868" s="31">
        <v>0</v>
      </c>
      <c r="S868" s="31">
        <v>0</v>
      </c>
      <c r="T868" s="31">
        <v>0</v>
      </c>
      <c r="U868" s="31">
        <v>0</v>
      </c>
      <c r="V868" s="31">
        <v>0</v>
      </c>
      <c r="W868" s="31">
        <v>0</v>
      </c>
      <c r="X868" s="31">
        <v>0</v>
      </c>
      <c r="Y868" s="31">
        <v>0</v>
      </c>
      <c r="Z868" s="31">
        <v>0</v>
      </c>
      <c r="AA868" s="31">
        <v>0</v>
      </c>
      <c r="AB868" s="31">
        <v>0</v>
      </c>
      <c r="AC868" s="31">
        <f>ROUND(N868*1.5%,2)</f>
        <v>46977.72</v>
      </c>
      <c r="AD868" s="31">
        <v>150000</v>
      </c>
      <c r="AE868" s="31">
        <v>0</v>
      </c>
      <c r="AF868" s="34">
        <v>2021</v>
      </c>
      <c r="AG868" s="34">
        <v>2021</v>
      </c>
      <c r="AH868" s="35">
        <v>2021</v>
      </c>
      <c r="AT868" s="20" t="e">
        <f>VLOOKUP(C868,AW:AX,2,FALSE)</f>
        <v>#N/A</v>
      </c>
      <c r="BZ868" s="71"/>
      <c r="CD868" s="20" t="e">
        <f t="shared" si="237"/>
        <v>#N/A</v>
      </c>
    </row>
    <row r="869" spans="1:82" ht="61.5" x14ac:dyDescent="0.85">
      <c r="A869" s="20">
        <v>1</v>
      </c>
      <c r="B869" s="66">
        <f>SUBTOTAL(103,$A$558:A869)</f>
        <v>286</v>
      </c>
      <c r="C869" s="24" t="s">
        <v>182</v>
      </c>
      <c r="D869" s="31">
        <f>E869+F869+G869+H869+I869+J869+L869+N869+P869+R869+T869+U869+V869+W869+X869+Y869+Z869+AA869+AB869+AC869+AD869+AE869</f>
        <v>1658743.58</v>
      </c>
      <c r="E869" s="31">
        <v>0</v>
      </c>
      <c r="F869" s="31">
        <v>0</v>
      </c>
      <c r="G869" s="31">
        <v>0</v>
      </c>
      <c r="H869" s="31">
        <v>0</v>
      </c>
      <c r="I869" s="31">
        <v>0</v>
      </c>
      <c r="J869" s="31">
        <v>0</v>
      </c>
      <c r="K869" s="74">
        <v>0</v>
      </c>
      <c r="L869" s="31">
        <v>0</v>
      </c>
      <c r="M869" s="31">
        <v>0</v>
      </c>
      <c r="N869" s="31">
        <v>0</v>
      </c>
      <c r="O869" s="31">
        <v>0</v>
      </c>
      <c r="P869" s="31">
        <v>0</v>
      </c>
      <c r="Q869" s="31">
        <v>403.2</v>
      </c>
      <c r="R869" s="31">
        <f>1546816.85+78057.02+9356.26</f>
        <v>1634230.1300000001</v>
      </c>
      <c r="S869" s="31">
        <v>0</v>
      </c>
      <c r="T869" s="31">
        <v>0</v>
      </c>
      <c r="U869" s="31">
        <v>0</v>
      </c>
      <c r="V869" s="31">
        <v>0</v>
      </c>
      <c r="W869" s="31">
        <v>0</v>
      </c>
      <c r="X869" s="31">
        <v>0</v>
      </c>
      <c r="Y869" s="31">
        <v>0</v>
      </c>
      <c r="Z869" s="31">
        <v>0</v>
      </c>
      <c r="AA869" s="31">
        <v>0</v>
      </c>
      <c r="AB869" s="31">
        <v>0</v>
      </c>
      <c r="AC869" s="31">
        <f>ROUND(R869*1.5%,2)</f>
        <v>24513.45</v>
      </c>
      <c r="AD869" s="31">
        <v>0</v>
      </c>
      <c r="AE869" s="31">
        <v>0</v>
      </c>
      <c r="AF869" s="34" t="s">
        <v>270</v>
      </c>
      <c r="AG869" s="34">
        <v>2021</v>
      </c>
      <c r="AH869" s="35">
        <v>2021</v>
      </c>
      <c r="AT869" s="20" t="e">
        <f>VLOOKUP(C869,AW:AX,2,FALSE)</f>
        <v>#N/A</v>
      </c>
      <c r="BZ869" s="71"/>
      <c r="CD869" s="20" t="e">
        <f t="shared" si="237"/>
        <v>#N/A</v>
      </c>
    </row>
    <row r="870" spans="1:82" ht="61.5" x14ac:dyDescent="0.85">
      <c r="A870" s="20">
        <v>1</v>
      </c>
      <c r="B870" s="66">
        <f>SUBTOTAL(103,$A$558:A870)</f>
        <v>287</v>
      </c>
      <c r="C870" s="24" t="s">
        <v>1582</v>
      </c>
      <c r="D870" s="31">
        <f>E870+F870+G870+H870+I870+J870+L870+N870+P870+R870+T870+U870+V870+W870+X870+Y870+Z870+AA870+AB870+AC870+AD870+AE870</f>
        <v>1421896.28</v>
      </c>
      <c r="E870" s="31">
        <v>0</v>
      </c>
      <c r="F870" s="31">
        <v>0</v>
      </c>
      <c r="G870" s="31">
        <v>0</v>
      </c>
      <c r="H870" s="31">
        <v>0</v>
      </c>
      <c r="I870" s="31">
        <v>0</v>
      </c>
      <c r="J870" s="31">
        <v>0</v>
      </c>
      <c r="K870" s="74">
        <v>0</v>
      </c>
      <c r="L870" s="31">
        <v>0</v>
      </c>
      <c r="M870" s="31">
        <v>0</v>
      </c>
      <c r="N870" s="31">
        <v>0</v>
      </c>
      <c r="O870" s="31">
        <v>0</v>
      </c>
      <c r="P870" s="31">
        <v>0</v>
      </c>
      <c r="Q870" s="31">
        <v>0</v>
      </c>
      <c r="R870" s="31">
        <v>0</v>
      </c>
      <c r="S870" s="31">
        <v>0</v>
      </c>
      <c r="T870" s="31">
        <v>0</v>
      </c>
      <c r="U870" s="31">
        <f>1266000+134883.03</f>
        <v>1400883.03</v>
      </c>
      <c r="V870" s="31">
        <v>0</v>
      </c>
      <c r="W870" s="31">
        <v>0</v>
      </c>
      <c r="X870" s="31">
        <v>0</v>
      </c>
      <c r="Y870" s="31">
        <v>0</v>
      </c>
      <c r="Z870" s="31">
        <v>0</v>
      </c>
      <c r="AA870" s="31">
        <v>0</v>
      </c>
      <c r="AB870" s="31">
        <v>0</v>
      </c>
      <c r="AC870" s="31">
        <f>ROUND(U870*1.5%,2)</f>
        <v>21013.25</v>
      </c>
      <c r="AD870" s="31">
        <v>0</v>
      </c>
      <c r="AE870" s="31">
        <v>0</v>
      </c>
      <c r="AF870" s="34" t="s">
        <v>270</v>
      </c>
      <c r="AG870" s="34">
        <v>2021</v>
      </c>
      <c r="AH870" s="35">
        <v>2021</v>
      </c>
      <c r="BZ870" s="71"/>
      <c r="CD870" s="20" t="e">
        <f t="shared" si="237"/>
        <v>#N/A</v>
      </c>
    </row>
    <row r="871" spans="1:82" ht="61.5" x14ac:dyDescent="0.85">
      <c r="B871" s="24" t="s">
        <v>841</v>
      </c>
      <c r="C871" s="24"/>
      <c r="D871" s="195">
        <f t="shared" ref="D871:AE871" si="247">D872+D873</f>
        <v>5279138.41</v>
      </c>
      <c r="E871" s="31">
        <f t="shared" si="247"/>
        <v>0</v>
      </c>
      <c r="F871" s="31">
        <f t="shared" si="247"/>
        <v>0</v>
      </c>
      <c r="G871" s="31">
        <f t="shared" si="247"/>
        <v>0</v>
      </c>
      <c r="H871" s="31">
        <f t="shared" si="247"/>
        <v>0</v>
      </c>
      <c r="I871" s="31">
        <f t="shared" si="247"/>
        <v>0</v>
      </c>
      <c r="J871" s="31">
        <f t="shared" si="247"/>
        <v>0</v>
      </c>
      <c r="K871" s="33">
        <f t="shared" si="247"/>
        <v>0</v>
      </c>
      <c r="L871" s="31">
        <f t="shared" si="247"/>
        <v>0</v>
      </c>
      <c r="M871" s="31">
        <f t="shared" si="247"/>
        <v>0</v>
      </c>
      <c r="N871" s="31">
        <f t="shared" si="247"/>
        <v>0</v>
      </c>
      <c r="O871" s="31">
        <f t="shared" si="247"/>
        <v>0</v>
      </c>
      <c r="P871" s="31">
        <f t="shared" si="247"/>
        <v>0</v>
      </c>
      <c r="Q871" s="31">
        <f t="shared" si="247"/>
        <v>884.5</v>
      </c>
      <c r="R871" s="31">
        <f t="shared" si="247"/>
        <v>4944963.95</v>
      </c>
      <c r="S871" s="31">
        <f t="shared" si="247"/>
        <v>0</v>
      </c>
      <c r="T871" s="31">
        <f t="shared" si="247"/>
        <v>0</v>
      </c>
      <c r="U871" s="31">
        <f t="shared" si="247"/>
        <v>0</v>
      </c>
      <c r="V871" s="31">
        <f t="shared" si="247"/>
        <v>0</v>
      </c>
      <c r="W871" s="31">
        <f t="shared" si="247"/>
        <v>0</v>
      </c>
      <c r="X871" s="31">
        <f t="shared" si="247"/>
        <v>0</v>
      </c>
      <c r="Y871" s="31">
        <f t="shared" si="247"/>
        <v>0</v>
      </c>
      <c r="Z871" s="31">
        <f t="shared" si="247"/>
        <v>0</v>
      </c>
      <c r="AA871" s="31">
        <f t="shared" si="247"/>
        <v>0</v>
      </c>
      <c r="AB871" s="31">
        <f t="shared" si="247"/>
        <v>0</v>
      </c>
      <c r="AC871" s="31">
        <f t="shared" si="247"/>
        <v>74174.459999999992</v>
      </c>
      <c r="AD871" s="31">
        <f t="shared" si="247"/>
        <v>260000</v>
      </c>
      <c r="AE871" s="31">
        <f t="shared" si="247"/>
        <v>0</v>
      </c>
      <c r="AF871" s="72" t="s">
        <v>757</v>
      </c>
      <c r="AG871" s="72" t="s">
        <v>757</v>
      </c>
      <c r="AH871" s="87" t="s">
        <v>757</v>
      </c>
      <c r="AT871" s="20" t="e">
        <f t="shared" ref="AT871:AT884" si="248">VLOOKUP(C871,AW:AX,2,FALSE)</f>
        <v>#N/A</v>
      </c>
      <c r="BZ871" s="71">
        <v>5279138.41</v>
      </c>
      <c r="CD871" s="20" t="e">
        <f t="shared" si="237"/>
        <v>#N/A</v>
      </c>
    </row>
    <row r="872" spans="1:82" ht="61.5" x14ac:dyDescent="0.85">
      <c r="A872" s="20">
        <v>1</v>
      </c>
      <c r="B872" s="66">
        <f>SUBTOTAL(103,$A$558:A872)</f>
        <v>288</v>
      </c>
      <c r="C872" s="24" t="s">
        <v>175</v>
      </c>
      <c r="D872" s="31">
        <f>E872+F872+G872+H872+I872+J872+L872+N872+P872+R872+T872+U872+V872+W872+X872+Y872+Z872+AA872+AB872+AC872+AD872+AE872</f>
        <v>2721526.66</v>
      </c>
      <c r="E872" s="31">
        <v>0</v>
      </c>
      <c r="F872" s="31">
        <v>0</v>
      </c>
      <c r="G872" s="31">
        <v>0</v>
      </c>
      <c r="H872" s="31">
        <v>0</v>
      </c>
      <c r="I872" s="31">
        <v>0</v>
      </c>
      <c r="J872" s="31">
        <v>0</v>
      </c>
      <c r="K872" s="33">
        <v>0</v>
      </c>
      <c r="L872" s="31">
        <v>0</v>
      </c>
      <c r="M872" s="31">
        <v>0</v>
      </c>
      <c r="N872" s="31">
        <v>0</v>
      </c>
      <c r="O872" s="31">
        <v>0</v>
      </c>
      <c r="P872" s="31">
        <v>0</v>
      </c>
      <c r="Q872" s="31">
        <v>459</v>
      </c>
      <c r="R872" s="31">
        <v>2553228.2400000002</v>
      </c>
      <c r="S872" s="31">
        <v>0</v>
      </c>
      <c r="T872" s="31">
        <v>0</v>
      </c>
      <c r="U872" s="31">
        <v>0</v>
      </c>
      <c r="V872" s="31">
        <v>0</v>
      </c>
      <c r="W872" s="31">
        <v>0</v>
      </c>
      <c r="X872" s="31">
        <v>0</v>
      </c>
      <c r="Y872" s="31">
        <v>0</v>
      </c>
      <c r="Z872" s="31">
        <v>0</v>
      </c>
      <c r="AA872" s="31">
        <v>0</v>
      </c>
      <c r="AB872" s="31">
        <v>0</v>
      </c>
      <c r="AC872" s="31">
        <f>ROUND(R872*1.5%,2)</f>
        <v>38298.42</v>
      </c>
      <c r="AD872" s="31">
        <v>130000</v>
      </c>
      <c r="AE872" s="31">
        <v>0</v>
      </c>
      <c r="AF872" s="34">
        <v>2021</v>
      </c>
      <c r="AG872" s="34">
        <v>2021</v>
      </c>
      <c r="AH872" s="35">
        <v>2021</v>
      </c>
      <c r="AT872" s="20" t="e">
        <f t="shared" si="248"/>
        <v>#N/A</v>
      </c>
      <c r="BZ872" s="71"/>
      <c r="CD872" s="20" t="e">
        <f t="shared" si="237"/>
        <v>#N/A</v>
      </c>
    </row>
    <row r="873" spans="1:82" ht="61.5" x14ac:dyDescent="0.85">
      <c r="A873" s="20">
        <v>1</v>
      </c>
      <c r="B873" s="66">
        <f>SUBTOTAL(103,$A$558:A873)</f>
        <v>289</v>
      </c>
      <c r="C873" s="24" t="s">
        <v>176</v>
      </c>
      <c r="D873" s="31">
        <f>E873+F873+G873+H873+I873+J873+L873+N873+P873+R873+T873+U873+V873+W873+X873+Y873+Z873+AA873+AB873+AC873+AD873+AE873</f>
        <v>2557611.75</v>
      </c>
      <c r="E873" s="31">
        <v>0</v>
      </c>
      <c r="F873" s="31">
        <v>0</v>
      </c>
      <c r="G873" s="31">
        <v>0</v>
      </c>
      <c r="H873" s="31">
        <v>0</v>
      </c>
      <c r="I873" s="31">
        <v>0</v>
      </c>
      <c r="J873" s="31">
        <v>0</v>
      </c>
      <c r="K873" s="33">
        <v>0</v>
      </c>
      <c r="L873" s="31">
        <v>0</v>
      </c>
      <c r="M873" s="31">
        <v>0</v>
      </c>
      <c r="N873" s="31">
        <v>0</v>
      </c>
      <c r="O873" s="31">
        <v>0</v>
      </c>
      <c r="P873" s="31">
        <v>0</v>
      </c>
      <c r="Q873" s="31">
        <v>425.5</v>
      </c>
      <c r="R873" s="31">
        <v>2391735.71</v>
      </c>
      <c r="S873" s="31">
        <v>0</v>
      </c>
      <c r="T873" s="31">
        <v>0</v>
      </c>
      <c r="U873" s="31">
        <v>0</v>
      </c>
      <c r="V873" s="31">
        <v>0</v>
      </c>
      <c r="W873" s="31">
        <v>0</v>
      </c>
      <c r="X873" s="31">
        <v>0</v>
      </c>
      <c r="Y873" s="31">
        <v>0</v>
      </c>
      <c r="Z873" s="31">
        <v>0</v>
      </c>
      <c r="AA873" s="31">
        <v>0</v>
      </c>
      <c r="AB873" s="31">
        <v>0</v>
      </c>
      <c r="AC873" s="31">
        <f>ROUND(R873*1.5%,2)</f>
        <v>35876.04</v>
      </c>
      <c r="AD873" s="31">
        <v>130000</v>
      </c>
      <c r="AE873" s="31">
        <v>0</v>
      </c>
      <c r="AF873" s="34">
        <v>2021</v>
      </c>
      <c r="AG873" s="34">
        <v>2021</v>
      </c>
      <c r="AH873" s="35">
        <v>2021</v>
      </c>
      <c r="AT873" s="20" t="e">
        <f t="shared" si="248"/>
        <v>#N/A</v>
      </c>
      <c r="BZ873" s="71"/>
      <c r="CD873" s="20" t="e">
        <f t="shared" si="237"/>
        <v>#N/A</v>
      </c>
    </row>
    <row r="874" spans="1:82" ht="61.5" x14ac:dyDescent="0.85">
      <c r="B874" s="24" t="s">
        <v>877</v>
      </c>
      <c r="C874" s="24"/>
      <c r="D874" s="195">
        <f>SUM(D875:D876)</f>
        <v>6703670.5</v>
      </c>
      <c r="E874" s="31">
        <f t="shared" ref="E874:AE874" si="249">SUM(E875:E876)</f>
        <v>0</v>
      </c>
      <c r="F874" s="31">
        <f t="shared" si="249"/>
        <v>0</v>
      </c>
      <c r="G874" s="31">
        <f t="shared" si="249"/>
        <v>0</v>
      </c>
      <c r="H874" s="31">
        <f t="shared" si="249"/>
        <v>0</v>
      </c>
      <c r="I874" s="31">
        <f t="shared" si="249"/>
        <v>0</v>
      </c>
      <c r="J874" s="31">
        <f t="shared" si="249"/>
        <v>0</v>
      </c>
      <c r="K874" s="33">
        <f t="shared" si="249"/>
        <v>0</v>
      </c>
      <c r="L874" s="31">
        <f t="shared" si="249"/>
        <v>0</v>
      </c>
      <c r="M874" s="31">
        <f t="shared" si="249"/>
        <v>816</v>
      </c>
      <c r="N874" s="31">
        <f t="shared" si="249"/>
        <v>3969415.09</v>
      </c>
      <c r="O874" s="31">
        <f t="shared" si="249"/>
        <v>0</v>
      </c>
      <c r="P874" s="31">
        <f t="shared" si="249"/>
        <v>0</v>
      </c>
      <c r="Q874" s="31">
        <f t="shared" si="249"/>
        <v>420</v>
      </c>
      <c r="R874" s="31">
        <f t="shared" si="249"/>
        <v>2339619.88</v>
      </c>
      <c r="S874" s="31">
        <f t="shared" si="249"/>
        <v>0</v>
      </c>
      <c r="T874" s="31">
        <f t="shared" si="249"/>
        <v>0</v>
      </c>
      <c r="U874" s="31">
        <f t="shared" si="249"/>
        <v>0</v>
      </c>
      <c r="V874" s="31">
        <f t="shared" si="249"/>
        <v>0</v>
      </c>
      <c r="W874" s="31">
        <f t="shared" si="249"/>
        <v>0</v>
      </c>
      <c r="X874" s="31">
        <f t="shared" si="249"/>
        <v>0</v>
      </c>
      <c r="Y874" s="31">
        <f t="shared" si="249"/>
        <v>0</v>
      </c>
      <c r="Z874" s="31">
        <f t="shared" si="249"/>
        <v>0</v>
      </c>
      <c r="AA874" s="31">
        <f t="shared" si="249"/>
        <v>0</v>
      </c>
      <c r="AB874" s="31">
        <f t="shared" si="249"/>
        <v>0</v>
      </c>
      <c r="AC874" s="31">
        <f t="shared" si="249"/>
        <v>94635.53</v>
      </c>
      <c r="AD874" s="31">
        <f t="shared" si="249"/>
        <v>300000</v>
      </c>
      <c r="AE874" s="31">
        <f t="shared" si="249"/>
        <v>0</v>
      </c>
      <c r="AF874" s="72" t="s">
        <v>757</v>
      </c>
      <c r="AG874" s="72" t="s">
        <v>757</v>
      </c>
      <c r="AH874" s="87" t="s">
        <v>757</v>
      </c>
      <c r="AT874" s="20" t="e">
        <f t="shared" si="248"/>
        <v>#N/A</v>
      </c>
      <c r="BZ874" s="71">
        <v>4178956.32</v>
      </c>
      <c r="CD874" s="20" t="e">
        <f t="shared" si="237"/>
        <v>#N/A</v>
      </c>
    </row>
    <row r="875" spans="1:82" ht="61.5" x14ac:dyDescent="0.85">
      <c r="A875" s="20">
        <v>1</v>
      </c>
      <c r="B875" s="66">
        <f>SUBTOTAL(103,$A$558:A875)</f>
        <v>290</v>
      </c>
      <c r="C875" s="24" t="s">
        <v>174</v>
      </c>
      <c r="D875" s="31">
        <f>E875+F875+G875+H875+I875+J875+L875+N875+P875+R875+T875+U875+V875+W875+X875+Y875+Z875+AA875+AB875+AC875+AD875+AE875</f>
        <v>4178956.32</v>
      </c>
      <c r="E875" s="31">
        <v>0</v>
      </c>
      <c r="F875" s="31">
        <v>0</v>
      </c>
      <c r="G875" s="31">
        <v>0</v>
      </c>
      <c r="H875" s="31">
        <v>0</v>
      </c>
      <c r="I875" s="31">
        <v>0</v>
      </c>
      <c r="J875" s="31">
        <v>0</v>
      </c>
      <c r="K875" s="33">
        <v>0</v>
      </c>
      <c r="L875" s="31">
        <v>0</v>
      </c>
      <c r="M875" s="31">
        <v>816</v>
      </c>
      <c r="N875" s="31">
        <v>3969415.09</v>
      </c>
      <c r="O875" s="31">
        <v>0</v>
      </c>
      <c r="P875" s="31">
        <v>0</v>
      </c>
      <c r="Q875" s="31">
        <v>0</v>
      </c>
      <c r="R875" s="31">
        <v>0</v>
      </c>
      <c r="S875" s="31">
        <v>0</v>
      </c>
      <c r="T875" s="31">
        <v>0</v>
      </c>
      <c r="U875" s="31">
        <v>0</v>
      </c>
      <c r="V875" s="31">
        <v>0</v>
      </c>
      <c r="W875" s="31">
        <v>0</v>
      </c>
      <c r="X875" s="31">
        <v>0</v>
      </c>
      <c r="Y875" s="31">
        <v>0</v>
      </c>
      <c r="Z875" s="31">
        <v>0</v>
      </c>
      <c r="AA875" s="31">
        <v>0</v>
      </c>
      <c r="AB875" s="31">
        <v>0</v>
      </c>
      <c r="AC875" s="31">
        <f>ROUND(N875*1.5%,2)</f>
        <v>59541.23</v>
      </c>
      <c r="AD875" s="31">
        <v>150000</v>
      </c>
      <c r="AE875" s="31">
        <v>0</v>
      </c>
      <c r="AF875" s="34">
        <v>2021</v>
      </c>
      <c r="AG875" s="34">
        <v>2021</v>
      </c>
      <c r="AH875" s="35">
        <v>2021</v>
      </c>
      <c r="AT875" s="20" t="e">
        <f t="shared" si="248"/>
        <v>#N/A</v>
      </c>
      <c r="BZ875" s="71"/>
      <c r="CD875" s="20" t="e">
        <f t="shared" si="237"/>
        <v>#N/A</v>
      </c>
    </row>
    <row r="876" spans="1:82" ht="61.5" x14ac:dyDescent="0.85">
      <c r="A876" s="20">
        <v>1</v>
      </c>
      <c r="B876" s="66">
        <f>SUBTOTAL(103,$A$558:A876)</f>
        <v>291</v>
      </c>
      <c r="C876" s="24" t="s">
        <v>1976</v>
      </c>
      <c r="D876" s="31">
        <f>E876+F876+G876+H876+I876+J876+L876+N876+P876+R876+T876+U876+V876+W876+X876+Y876+Z876+AA876+AB876+AC876+AD876+AE876</f>
        <v>2524714.1799999997</v>
      </c>
      <c r="E876" s="31">
        <v>0</v>
      </c>
      <c r="F876" s="31">
        <v>0</v>
      </c>
      <c r="G876" s="31">
        <v>0</v>
      </c>
      <c r="H876" s="31">
        <v>0</v>
      </c>
      <c r="I876" s="31">
        <v>0</v>
      </c>
      <c r="J876" s="31">
        <v>0</v>
      </c>
      <c r="K876" s="33">
        <v>0</v>
      </c>
      <c r="L876" s="31">
        <v>0</v>
      </c>
      <c r="M876" s="31">
        <v>0</v>
      </c>
      <c r="N876" s="31">
        <v>0</v>
      </c>
      <c r="O876" s="31">
        <v>0</v>
      </c>
      <c r="P876" s="31">
        <v>0</v>
      </c>
      <c r="Q876" s="31">
        <v>420</v>
      </c>
      <c r="R876" s="31">
        <v>2339619.88</v>
      </c>
      <c r="S876" s="31">
        <v>0</v>
      </c>
      <c r="T876" s="31">
        <v>0</v>
      </c>
      <c r="U876" s="31">
        <v>0</v>
      </c>
      <c r="V876" s="31">
        <v>0</v>
      </c>
      <c r="W876" s="31">
        <v>0</v>
      </c>
      <c r="X876" s="31">
        <v>0</v>
      </c>
      <c r="Y876" s="31">
        <v>0</v>
      </c>
      <c r="Z876" s="31">
        <v>0</v>
      </c>
      <c r="AA876" s="31">
        <v>0</v>
      </c>
      <c r="AB876" s="31">
        <v>0</v>
      </c>
      <c r="AC876" s="31">
        <f>ROUND(R876*1.5%,2)</f>
        <v>35094.300000000003</v>
      </c>
      <c r="AD876" s="31">
        <v>150000</v>
      </c>
      <c r="AE876" s="31">
        <v>0</v>
      </c>
      <c r="AF876" s="34">
        <v>2021</v>
      </c>
      <c r="AG876" s="34">
        <v>2021</v>
      </c>
      <c r="AH876" s="35">
        <v>2021</v>
      </c>
      <c r="AT876" s="20" t="e">
        <f t="shared" si="248"/>
        <v>#N/A</v>
      </c>
      <c r="BZ876" s="71"/>
      <c r="CD876" s="20" t="e">
        <f t="shared" si="237"/>
        <v>#N/A</v>
      </c>
    </row>
    <row r="877" spans="1:82" ht="61.5" x14ac:dyDescent="0.85">
      <c r="B877" s="24" t="s">
        <v>843</v>
      </c>
      <c r="C877" s="24"/>
      <c r="D877" s="195">
        <f>SUM(D878:D879)</f>
        <v>3337479.74</v>
      </c>
      <c r="E877" s="31">
        <f t="shared" ref="E877:AE877" si="250">SUM(E878:E879)</f>
        <v>0</v>
      </c>
      <c r="F877" s="31">
        <f t="shared" si="250"/>
        <v>0</v>
      </c>
      <c r="G877" s="31">
        <f t="shared" si="250"/>
        <v>0</v>
      </c>
      <c r="H877" s="31">
        <f t="shared" si="250"/>
        <v>0</v>
      </c>
      <c r="I877" s="31">
        <f t="shared" si="250"/>
        <v>0</v>
      </c>
      <c r="J877" s="31">
        <f t="shared" si="250"/>
        <v>0</v>
      </c>
      <c r="K877" s="33">
        <f t="shared" si="250"/>
        <v>0</v>
      </c>
      <c r="L877" s="31">
        <f t="shared" si="250"/>
        <v>0</v>
      </c>
      <c r="M877" s="31">
        <f t="shared" si="250"/>
        <v>705.04</v>
      </c>
      <c r="N877" s="31">
        <f t="shared" si="250"/>
        <v>3169930.7800000003</v>
      </c>
      <c r="O877" s="31">
        <f t="shared" si="250"/>
        <v>0</v>
      </c>
      <c r="P877" s="31">
        <f t="shared" si="250"/>
        <v>0</v>
      </c>
      <c r="Q877" s="31">
        <f t="shared" si="250"/>
        <v>0</v>
      </c>
      <c r="R877" s="31">
        <f t="shared" si="250"/>
        <v>0</v>
      </c>
      <c r="S877" s="31">
        <f t="shared" si="250"/>
        <v>0</v>
      </c>
      <c r="T877" s="31">
        <f t="shared" si="250"/>
        <v>0</v>
      </c>
      <c r="U877" s="31">
        <f t="shared" si="250"/>
        <v>0</v>
      </c>
      <c r="V877" s="31">
        <f t="shared" si="250"/>
        <v>0</v>
      </c>
      <c r="W877" s="31">
        <f t="shared" si="250"/>
        <v>0</v>
      </c>
      <c r="X877" s="31">
        <f t="shared" si="250"/>
        <v>0</v>
      </c>
      <c r="Y877" s="31">
        <f t="shared" si="250"/>
        <v>0</v>
      </c>
      <c r="Z877" s="31">
        <f t="shared" si="250"/>
        <v>0</v>
      </c>
      <c r="AA877" s="31">
        <f t="shared" si="250"/>
        <v>0</v>
      </c>
      <c r="AB877" s="31">
        <f t="shared" si="250"/>
        <v>0</v>
      </c>
      <c r="AC877" s="31">
        <f t="shared" si="250"/>
        <v>47548.959999999999</v>
      </c>
      <c r="AD877" s="31">
        <f t="shared" si="250"/>
        <v>120000</v>
      </c>
      <c r="AE877" s="31">
        <f t="shared" si="250"/>
        <v>0</v>
      </c>
      <c r="AF877" s="72" t="s">
        <v>757</v>
      </c>
      <c r="AG877" s="72" t="s">
        <v>757</v>
      </c>
      <c r="AH877" s="87" t="s">
        <v>757</v>
      </c>
      <c r="AT877" s="20" t="e">
        <f t="shared" si="248"/>
        <v>#N/A</v>
      </c>
      <c r="BZ877" s="71">
        <v>1889236.5</v>
      </c>
      <c r="CD877" s="20" t="e">
        <f t="shared" si="237"/>
        <v>#N/A</v>
      </c>
    </row>
    <row r="878" spans="1:82" s="196" customFormat="1" ht="123" x14ac:dyDescent="0.85">
      <c r="A878" s="196">
        <v>1</v>
      </c>
      <c r="B878" s="66">
        <f>SUBTOTAL(103,$A$558:A878)</f>
        <v>292</v>
      </c>
      <c r="C878" s="197" t="s">
        <v>173</v>
      </c>
      <c r="D878" s="151">
        <f>E878+F878+G878+H878+I878+J878+L878+N878+P878+R878+T878+U878+V878+W878+X878+Y878+Z878+AA878+AB878+AC878+AD878+AE878</f>
        <v>1889236.5</v>
      </c>
      <c r="E878" s="151">
        <v>0</v>
      </c>
      <c r="F878" s="151">
        <v>0</v>
      </c>
      <c r="G878" s="151">
        <v>0</v>
      </c>
      <c r="H878" s="151">
        <v>0</v>
      </c>
      <c r="I878" s="151">
        <v>0</v>
      </c>
      <c r="J878" s="151">
        <v>0</v>
      </c>
      <c r="K878" s="198">
        <v>0</v>
      </c>
      <c r="L878" s="151">
        <v>0</v>
      </c>
      <c r="M878" s="151">
        <v>368.9</v>
      </c>
      <c r="N878" s="151">
        <v>1743090.15</v>
      </c>
      <c r="O878" s="151">
        <v>0</v>
      </c>
      <c r="P878" s="151">
        <v>0</v>
      </c>
      <c r="Q878" s="151">
        <v>0</v>
      </c>
      <c r="R878" s="151">
        <v>0</v>
      </c>
      <c r="S878" s="151">
        <v>0</v>
      </c>
      <c r="T878" s="151">
        <v>0</v>
      </c>
      <c r="U878" s="151">
        <v>0</v>
      </c>
      <c r="V878" s="151">
        <v>0</v>
      </c>
      <c r="W878" s="151">
        <v>0</v>
      </c>
      <c r="X878" s="151">
        <v>0</v>
      </c>
      <c r="Y878" s="151">
        <v>0</v>
      </c>
      <c r="Z878" s="151">
        <v>0</v>
      </c>
      <c r="AA878" s="151">
        <v>0</v>
      </c>
      <c r="AB878" s="151">
        <v>0</v>
      </c>
      <c r="AC878" s="151">
        <f>ROUND(N878*1.5%,2)</f>
        <v>26146.35</v>
      </c>
      <c r="AD878" s="151">
        <v>120000</v>
      </c>
      <c r="AE878" s="151">
        <v>0</v>
      </c>
      <c r="AF878" s="199">
        <v>2021</v>
      </c>
      <c r="AG878" s="199">
        <v>2021</v>
      </c>
      <c r="AH878" s="200">
        <v>2021</v>
      </c>
      <c r="AT878" s="196" t="e">
        <f t="shared" si="248"/>
        <v>#N/A</v>
      </c>
      <c r="BZ878" s="201"/>
      <c r="CD878" s="196" t="e">
        <f t="shared" si="237"/>
        <v>#N/A</v>
      </c>
    </row>
    <row r="879" spans="1:82" s="196" customFormat="1" ht="123" x14ac:dyDescent="0.85">
      <c r="A879" s="196">
        <v>1</v>
      </c>
      <c r="B879" s="66">
        <f>SUBTOTAL(103,$A$558:A879)</f>
        <v>293</v>
      </c>
      <c r="C879" s="197" t="s">
        <v>168</v>
      </c>
      <c r="D879" s="151">
        <f>E879+F879+G879+H879+I879+J879+L879+N879+P879+R879+T879+U879+V879+W879+X879+Y879+Z879+AA879+AB879+AC879+AD879+AE879</f>
        <v>1448243.2400000002</v>
      </c>
      <c r="E879" s="151">
        <v>0</v>
      </c>
      <c r="F879" s="151">
        <v>0</v>
      </c>
      <c r="G879" s="151">
        <v>0</v>
      </c>
      <c r="H879" s="151">
        <v>0</v>
      </c>
      <c r="I879" s="151">
        <v>0</v>
      </c>
      <c r="J879" s="151">
        <v>0</v>
      </c>
      <c r="K879" s="144">
        <v>0</v>
      </c>
      <c r="L879" s="151">
        <v>0</v>
      </c>
      <c r="M879" s="151">
        <v>336.14</v>
      </c>
      <c r="N879" s="151">
        <f>1395449.26+11151.09+20240.28</f>
        <v>1426840.6300000001</v>
      </c>
      <c r="O879" s="151">
        <v>0</v>
      </c>
      <c r="P879" s="151">
        <v>0</v>
      </c>
      <c r="Q879" s="151">
        <v>0</v>
      </c>
      <c r="R879" s="151">
        <v>0</v>
      </c>
      <c r="S879" s="151">
        <v>0</v>
      </c>
      <c r="T879" s="151">
        <v>0</v>
      </c>
      <c r="U879" s="151">
        <v>0</v>
      </c>
      <c r="V879" s="151">
        <v>0</v>
      </c>
      <c r="W879" s="151">
        <v>0</v>
      </c>
      <c r="X879" s="151">
        <v>0</v>
      </c>
      <c r="Y879" s="151">
        <v>0</v>
      </c>
      <c r="Z879" s="151">
        <v>0</v>
      </c>
      <c r="AA879" s="151">
        <v>0</v>
      </c>
      <c r="AB879" s="151">
        <v>0</v>
      </c>
      <c r="AC879" s="151">
        <f>ROUND(N879*1.5%,2)</f>
        <v>21402.61</v>
      </c>
      <c r="AD879" s="151">
        <v>0</v>
      </c>
      <c r="AE879" s="151">
        <v>0</v>
      </c>
      <c r="AF879" s="199" t="s">
        <v>270</v>
      </c>
      <c r="AG879" s="199">
        <v>2021</v>
      </c>
      <c r="AH879" s="200">
        <v>2021</v>
      </c>
      <c r="AT879" s="196" t="e">
        <f t="shared" si="248"/>
        <v>#N/A</v>
      </c>
      <c r="BZ879" s="201"/>
      <c r="CD879" s="196">
        <f t="shared" si="237"/>
        <v>336.14</v>
      </c>
    </row>
    <row r="880" spans="1:82" ht="61.5" x14ac:dyDescent="0.85">
      <c r="B880" s="24" t="s">
        <v>844</v>
      </c>
      <c r="C880" s="108"/>
      <c r="D880" s="195">
        <f t="shared" ref="D880:AE880" si="251">SUM(D881:D888)</f>
        <v>26148725.280000001</v>
      </c>
      <c r="E880" s="31">
        <f t="shared" si="251"/>
        <v>0</v>
      </c>
      <c r="F880" s="31">
        <f t="shared" si="251"/>
        <v>0</v>
      </c>
      <c r="G880" s="31">
        <f t="shared" si="251"/>
        <v>0</v>
      </c>
      <c r="H880" s="31">
        <f t="shared" si="251"/>
        <v>0</v>
      </c>
      <c r="I880" s="31">
        <f t="shared" si="251"/>
        <v>0</v>
      </c>
      <c r="J880" s="31">
        <f t="shared" si="251"/>
        <v>0</v>
      </c>
      <c r="K880" s="33">
        <f t="shared" si="251"/>
        <v>0</v>
      </c>
      <c r="L880" s="31">
        <f t="shared" si="251"/>
        <v>0</v>
      </c>
      <c r="M880" s="31">
        <f t="shared" si="251"/>
        <v>4589.29</v>
      </c>
      <c r="N880" s="31">
        <f t="shared" si="251"/>
        <v>25378054.450000003</v>
      </c>
      <c r="O880" s="31">
        <f t="shared" si="251"/>
        <v>0</v>
      </c>
      <c r="P880" s="31">
        <f t="shared" si="251"/>
        <v>0</v>
      </c>
      <c r="Q880" s="31">
        <f t="shared" si="251"/>
        <v>0</v>
      </c>
      <c r="R880" s="31">
        <f t="shared" si="251"/>
        <v>0</v>
      </c>
      <c r="S880" s="31">
        <f t="shared" si="251"/>
        <v>0</v>
      </c>
      <c r="T880" s="31">
        <f t="shared" si="251"/>
        <v>0</v>
      </c>
      <c r="U880" s="31">
        <f t="shared" si="251"/>
        <v>0</v>
      </c>
      <c r="V880" s="31">
        <f t="shared" si="251"/>
        <v>0</v>
      </c>
      <c r="W880" s="31">
        <f t="shared" si="251"/>
        <v>0</v>
      </c>
      <c r="X880" s="31">
        <f t="shared" si="251"/>
        <v>0</v>
      </c>
      <c r="Y880" s="31">
        <f t="shared" si="251"/>
        <v>0</v>
      </c>
      <c r="Z880" s="31">
        <f t="shared" si="251"/>
        <v>0</v>
      </c>
      <c r="AA880" s="31">
        <f t="shared" si="251"/>
        <v>0</v>
      </c>
      <c r="AB880" s="31">
        <f t="shared" si="251"/>
        <v>0</v>
      </c>
      <c r="AC880" s="31">
        <f t="shared" si="251"/>
        <v>380670.83</v>
      </c>
      <c r="AD880" s="31">
        <f t="shared" si="251"/>
        <v>390000</v>
      </c>
      <c r="AE880" s="31">
        <f t="shared" si="251"/>
        <v>0</v>
      </c>
      <c r="AF880" s="72" t="s">
        <v>757</v>
      </c>
      <c r="AG880" s="72" t="s">
        <v>757</v>
      </c>
      <c r="AH880" s="87" t="s">
        <v>757</v>
      </c>
      <c r="AT880" s="20" t="e">
        <f t="shared" si="248"/>
        <v>#N/A</v>
      </c>
      <c r="BZ880" s="71">
        <v>10103503.050000001</v>
      </c>
      <c r="CD880" s="20" t="e">
        <f t="shared" si="237"/>
        <v>#N/A</v>
      </c>
    </row>
    <row r="881" spans="1:82" ht="61.5" x14ac:dyDescent="0.85">
      <c r="A881" s="20">
        <v>1</v>
      </c>
      <c r="B881" s="66">
        <f>SUBTOTAL(103,$A$558:A881)</f>
        <v>294</v>
      </c>
      <c r="C881" s="24" t="s">
        <v>1691</v>
      </c>
      <c r="D881" s="31">
        <f t="shared" ref="D881:D888" si="252">E881+F881+G881+H881+I881+J881+L881+N881+P881+R881+T881+U881+V881+W881+X881+Y881+Z881+AA881+AB881+AC881+AD881+AE881</f>
        <v>2958681.4299999997</v>
      </c>
      <c r="E881" s="31">
        <v>0</v>
      </c>
      <c r="F881" s="31">
        <v>0</v>
      </c>
      <c r="G881" s="31">
        <v>0</v>
      </c>
      <c r="H881" s="31">
        <v>0</v>
      </c>
      <c r="I881" s="31">
        <v>0</v>
      </c>
      <c r="J881" s="31">
        <v>0</v>
      </c>
      <c r="K881" s="33">
        <v>0</v>
      </c>
      <c r="L881" s="31">
        <v>0</v>
      </c>
      <c r="M881" s="31">
        <v>368.29</v>
      </c>
      <c r="N881" s="31">
        <f>2889837.04-122663.22</f>
        <v>2767173.82</v>
      </c>
      <c r="O881" s="31">
        <v>0</v>
      </c>
      <c r="P881" s="31">
        <v>0</v>
      </c>
      <c r="Q881" s="31">
        <v>0</v>
      </c>
      <c r="R881" s="31">
        <v>0</v>
      </c>
      <c r="S881" s="31">
        <v>0</v>
      </c>
      <c r="T881" s="31">
        <v>0</v>
      </c>
      <c r="U881" s="31">
        <v>0</v>
      </c>
      <c r="V881" s="31">
        <v>0</v>
      </c>
      <c r="W881" s="31">
        <v>0</v>
      </c>
      <c r="X881" s="31">
        <v>0</v>
      </c>
      <c r="Y881" s="31">
        <v>0</v>
      </c>
      <c r="Z881" s="31">
        <v>0</v>
      </c>
      <c r="AA881" s="31">
        <v>0</v>
      </c>
      <c r="AB881" s="31">
        <v>0</v>
      </c>
      <c r="AC881" s="31">
        <f t="shared" ref="AC881:AC888" si="253">ROUND(N881*1.5%,2)</f>
        <v>41507.61</v>
      </c>
      <c r="AD881" s="31">
        <v>150000</v>
      </c>
      <c r="AE881" s="31">
        <v>0</v>
      </c>
      <c r="AF881" s="34">
        <v>2021</v>
      </c>
      <c r="AG881" s="34">
        <v>2021</v>
      </c>
      <c r="AH881" s="35">
        <v>2021</v>
      </c>
      <c r="AT881" s="20" t="e">
        <f t="shared" si="248"/>
        <v>#N/A</v>
      </c>
      <c r="BZ881" s="71"/>
      <c r="CD881" s="20" t="e">
        <f t="shared" ref="CD881:CD912" si="254">VLOOKUP(C881,CE:CF,2,FALSE)</f>
        <v>#N/A</v>
      </c>
    </row>
    <row r="882" spans="1:82" ht="61.5" x14ac:dyDescent="0.85">
      <c r="A882" s="20">
        <v>1</v>
      </c>
      <c r="B882" s="66">
        <f>SUBTOTAL(103,$A$558:A882)</f>
        <v>295</v>
      </c>
      <c r="C882" s="24" t="s">
        <v>79</v>
      </c>
      <c r="D882" s="31">
        <f t="shared" si="252"/>
        <v>2355901.4699999997</v>
      </c>
      <c r="E882" s="31">
        <v>0</v>
      </c>
      <c r="F882" s="31">
        <v>0</v>
      </c>
      <c r="G882" s="31">
        <v>0</v>
      </c>
      <c r="H882" s="31">
        <v>0</v>
      </c>
      <c r="I882" s="31">
        <v>0</v>
      </c>
      <c r="J882" s="31">
        <v>0</v>
      </c>
      <c r="K882" s="33">
        <v>0</v>
      </c>
      <c r="L882" s="31">
        <v>0</v>
      </c>
      <c r="M882" s="31">
        <v>430</v>
      </c>
      <c r="N882" s="31">
        <f>2270628.87+50456.32</f>
        <v>2321085.19</v>
      </c>
      <c r="O882" s="31">
        <v>0</v>
      </c>
      <c r="P882" s="31">
        <v>0</v>
      </c>
      <c r="Q882" s="31">
        <v>0</v>
      </c>
      <c r="R882" s="31">
        <v>0</v>
      </c>
      <c r="S882" s="31">
        <v>0</v>
      </c>
      <c r="T882" s="31">
        <v>0</v>
      </c>
      <c r="U882" s="31">
        <v>0</v>
      </c>
      <c r="V882" s="31">
        <v>0</v>
      </c>
      <c r="W882" s="31">
        <v>0</v>
      </c>
      <c r="X882" s="31">
        <v>0</v>
      </c>
      <c r="Y882" s="31">
        <v>0</v>
      </c>
      <c r="Z882" s="31">
        <v>0</v>
      </c>
      <c r="AA882" s="31">
        <v>0</v>
      </c>
      <c r="AB882" s="31">
        <v>0</v>
      </c>
      <c r="AC882" s="31">
        <f t="shared" si="253"/>
        <v>34816.28</v>
      </c>
      <c r="AD882" s="31">
        <v>0</v>
      </c>
      <c r="AE882" s="31">
        <v>0</v>
      </c>
      <c r="AF882" s="34" t="s">
        <v>270</v>
      </c>
      <c r="AG882" s="34">
        <v>2021</v>
      </c>
      <c r="AH882" s="35">
        <v>2021</v>
      </c>
      <c r="AT882" s="20" t="e">
        <f t="shared" si="248"/>
        <v>#N/A</v>
      </c>
      <c r="BZ882" s="71"/>
      <c r="CD882" s="20" t="e">
        <f t="shared" si="254"/>
        <v>#N/A</v>
      </c>
    </row>
    <row r="883" spans="1:82" ht="61.5" x14ac:dyDescent="0.85">
      <c r="A883" s="20">
        <v>1</v>
      </c>
      <c r="B883" s="66">
        <f>SUBTOTAL(103,$A$558:A883)</f>
        <v>296</v>
      </c>
      <c r="C883" s="24" t="s">
        <v>80</v>
      </c>
      <c r="D883" s="31">
        <f t="shared" si="252"/>
        <v>2355901.4699999997</v>
      </c>
      <c r="E883" s="31">
        <v>0</v>
      </c>
      <c r="F883" s="31">
        <v>0</v>
      </c>
      <c r="G883" s="31">
        <v>0</v>
      </c>
      <c r="H883" s="31">
        <v>0</v>
      </c>
      <c r="I883" s="31">
        <v>0</v>
      </c>
      <c r="J883" s="31">
        <v>0</v>
      </c>
      <c r="K883" s="33">
        <v>0</v>
      </c>
      <c r="L883" s="31">
        <v>0</v>
      </c>
      <c r="M883" s="31">
        <v>430</v>
      </c>
      <c r="N883" s="31">
        <f>2270628.87+50456.32</f>
        <v>2321085.19</v>
      </c>
      <c r="O883" s="31">
        <v>0</v>
      </c>
      <c r="P883" s="31">
        <v>0</v>
      </c>
      <c r="Q883" s="31">
        <v>0</v>
      </c>
      <c r="R883" s="31">
        <v>0</v>
      </c>
      <c r="S883" s="31">
        <v>0</v>
      </c>
      <c r="T883" s="31">
        <v>0</v>
      </c>
      <c r="U883" s="31">
        <v>0</v>
      </c>
      <c r="V883" s="31">
        <v>0</v>
      </c>
      <c r="W883" s="31">
        <v>0</v>
      </c>
      <c r="X883" s="31">
        <v>0</v>
      </c>
      <c r="Y883" s="31">
        <v>0</v>
      </c>
      <c r="Z883" s="31">
        <v>0</v>
      </c>
      <c r="AA883" s="31">
        <v>0</v>
      </c>
      <c r="AB883" s="31">
        <v>0</v>
      </c>
      <c r="AC883" s="31">
        <f t="shared" si="253"/>
        <v>34816.28</v>
      </c>
      <c r="AD883" s="31">
        <v>0</v>
      </c>
      <c r="AE883" s="31">
        <v>0</v>
      </c>
      <c r="AF883" s="34" t="s">
        <v>270</v>
      </c>
      <c r="AG883" s="34">
        <v>2021</v>
      </c>
      <c r="AH883" s="35">
        <v>2021</v>
      </c>
      <c r="AT883" s="20" t="e">
        <f t="shared" si="248"/>
        <v>#N/A</v>
      </c>
      <c r="BZ883" s="71"/>
      <c r="CD883" s="20" t="e">
        <f t="shared" si="254"/>
        <v>#N/A</v>
      </c>
    </row>
    <row r="884" spans="1:82" ht="61.5" x14ac:dyDescent="0.85">
      <c r="A884" s="20">
        <v>1</v>
      </c>
      <c r="B884" s="66">
        <f>SUBTOTAL(103,$A$558:A884)</f>
        <v>297</v>
      </c>
      <c r="C884" s="24" t="s">
        <v>78</v>
      </c>
      <c r="D884" s="31">
        <f t="shared" si="252"/>
        <v>2170941.85</v>
      </c>
      <c r="E884" s="31">
        <v>0</v>
      </c>
      <c r="F884" s="31">
        <v>0</v>
      </c>
      <c r="G884" s="31">
        <v>0</v>
      </c>
      <c r="H884" s="31">
        <v>0</v>
      </c>
      <c r="I884" s="31">
        <v>0</v>
      </c>
      <c r="J884" s="31">
        <v>0</v>
      </c>
      <c r="K884" s="33">
        <v>0</v>
      </c>
      <c r="L884" s="31">
        <v>0</v>
      </c>
      <c r="M884" s="31">
        <v>385</v>
      </c>
      <c r="N884" s="31">
        <v>2020632.36</v>
      </c>
      <c r="O884" s="31">
        <v>0</v>
      </c>
      <c r="P884" s="31">
        <v>0</v>
      </c>
      <c r="Q884" s="31">
        <v>0</v>
      </c>
      <c r="R884" s="31">
        <v>0</v>
      </c>
      <c r="S884" s="31">
        <v>0</v>
      </c>
      <c r="T884" s="31">
        <v>0</v>
      </c>
      <c r="U884" s="31">
        <v>0</v>
      </c>
      <c r="V884" s="31">
        <v>0</v>
      </c>
      <c r="W884" s="31">
        <v>0</v>
      </c>
      <c r="X884" s="31">
        <v>0</v>
      </c>
      <c r="Y884" s="31">
        <v>0</v>
      </c>
      <c r="Z884" s="31">
        <v>0</v>
      </c>
      <c r="AA884" s="31">
        <v>0</v>
      </c>
      <c r="AB884" s="31">
        <v>0</v>
      </c>
      <c r="AC884" s="31">
        <f t="shared" si="253"/>
        <v>30309.49</v>
      </c>
      <c r="AD884" s="31">
        <v>120000</v>
      </c>
      <c r="AE884" s="31">
        <v>0</v>
      </c>
      <c r="AF884" s="34">
        <v>2021</v>
      </c>
      <c r="AG884" s="34">
        <v>2021</v>
      </c>
      <c r="AH884" s="35">
        <v>2021</v>
      </c>
      <c r="AT884" s="20" t="e">
        <f t="shared" si="248"/>
        <v>#N/A</v>
      </c>
      <c r="BZ884" s="71"/>
      <c r="CD884" s="20" t="e">
        <f t="shared" si="254"/>
        <v>#N/A</v>
      </c>
    </row>
    <row r="885" spans="1:82" ht="61.5" x14ac:dyDescent="0.85">
      <c r="A885" s="20">
        <v>1</v>
      </c>
      <c r="B885" s="66">
        <f>SUBTOTAL(103,$A$558:A885)</f>
        <v>298</v>
      </c>
      <c r="C885" s="24" t="s">
        <v>1690</v>
      </c>
      <c r="D885" s="31">
        <f t="shared" si="252"/>
        <v>4867830.6499999994</v>
      </c>
      <c r="E885" s="31">
        <v>0</v>
      </c>
      <c r="F885" s="31">
        <v>0</v>
      </c>
      <c r="G885" s="31">
        <v>0</v>
      </c>
      <c r="H885" s="31">
        <v>0</v>
      </c>
      <c r="I885" s="31">
        <v>0</v>
      </c>
      <c r="J885" s="31">
        <v>0</v>
      </c>
      <c r="K885" s="33">
        <v>0</v>
      </c>
      <c r="L885" s="31">
        <v>0</v>
      </c>
      <c r="M885" s="31">
        <v>950</v>
      </c>
      <c r="N885" s="31">
        <f>4750000+45892.27</f>
        <v>4795892.2699999996</v>
      </c>
      <c r="O885" s="31">
        <v>0</v>
      </c>
      <c r="P885" s="31">
        <v>0</v>
      </c>
      <c r="Q885" s="31">
        <v>0</v>
      </c>
      <c r="R885" s="31">
        <v>0</v>
      </c>
      <c r="S885" s="31">
        <v>0</v>
      </c>
      <c r="T885" s="31">
        <v>0</v>
      </c>
      <c r="U885" s="31">
        <v>0</v>
      </c>
      <c r="V885" s="31">
        <v>0</v>
      </c>
      <c r="W885" s="31">
        <v>0</v>
      </c>
      <c r="X885" s="31">
        <v>0</v>
      </c>
      <c r="Y885" s="31">
        <v>0</v>
      </c>
      <c r="Z885" s="31">
        <v>0</v>
      </c>
      <c r="AA885" s="31">
        <v>0</v>
      </c>
      <c r="AB885" s="31">
        <v>0</v>
      </c>
      <c r="AC885" s="31">
        <f t="shared" si="253"/>
        <v>71938.38</v>
      </c>
      <c r="AD885" s="31">
        <v>0</v>
      </c>
      <c r="AE885" s="31">
        <v>0</v>
      </c>
      <c r="AF885" s="34" t="s">
        <v>270</v>
      </c>
      <c r="AG885" s="34">
        <v>2021</v>
      </c>
      <c r="AH885" s="35">
        <v>2021</v>
      </c>
      <c r="BZ885" s="71"/>
      <c r="CD885" s="20" t="e">
        <f t="shared" si="254"/>
        <v>#N/A</v>
      </c>
    </row>
    <row r="886" spans="1:82" ht="61.5" x14ac:dyDescent="0.85">
      <c r="A886" s="20">
        <v>1</v>
      </c>
      <c r="B886" s="66">
        <f>SUBTOTAL(103,$A$558:A886)</f>
        <v>299</v>
      </c>
      <c r="C886" s="24" t="s">
        <v>76</v>
      </c>
      <c r="D886" s="31">
        <f t="shared" si="252"/>
        <v>5421953.8200000003</v>
      </c>
      <c r="E886" s="31">
        <v>0</v>
      </c>
      <c r="F886" s="31">
        <v>0</v>
      </c>
      <c r="G886" s="31">
        <v>0</v>
      </c>
      <c r="H886" s="31">
        <v>0</v>
      </c>
      <c r="I886" s="31">
        <v>0</v>
      </c>
      <c r="J886" s="31">
        <v>0</v>
      </c>
      <c r="K886" s="74">
        <v>0</v>
      </c>
      <c r="L886" s="31">
        <v>0</v>
      </c>
      <c r="M886" s="31">
        <v>954</v>
      </c>
      <c r="N886" s="31">
        <v>5341826.42</v>
      </c>
      <c r="O886" s="31">
        <v>0</v>
      </c>
      <c r="P886" s="31">
        <v>0</v>
      </c>
      <c r="Q886" s="31">
        <v>0</v>
      </c>
      <c r="R886" s="31">
        <v>0</v>
      </c>
      <c r="S886" s="31">
        <v>0</v>
      </c>
      <c r="T886" s="31">
        <v>0</v>
      </c>
      <c r="U886" s="31">
        <v>0</v>
      </c>
      <c r="V886" s="31">
        <v>0</v>
      </c>
      <c r="W886" s="31">
        <v>0</v>
      </c>
      <c r="X886" s="31">
        <v>0</v>
      </c>
      <c r="Y886" s="31">
        <v>0</v>
      </c>
      <c r="Z886" s="31">
        <v>0</v>
      </c>
      <c r="AA886" s="31">
        <v>0</v>
      </c>
      <c r="AB886" s="31">
        <v>0</v>
      </c>
      <c r="AC886" s="31">
        <f t="shared" si="253"/>
        <v>80127.399999999994</v>
      </c>
      <c r="AD886" s="31">
        <v>0</v>
      </c>
      <c r="AE886" s="31">
        <v>0</v>
      </c>
      <c r="AF886" s="34" t="s">
        <v>270</v>
      </c>
      <c r="AG886" s="34">
        <v>2021</v>
      </c>
      <c r="AH886" s="34">
        <v>2021</v>
      </c>
      <c r="AT886" s="20" t="e">
        <f>VLOOKUP(C886,AW:AX,2,FALSE)</f>
        <v>#N/A</v>
      </c>
      <c r="BZ886" s="71"/>
      <c r="CD886" s="20" t="e">
        <f t="shared" si="254"/>
        <v>#N/A</v>
      </c>
    </row>
    <row r="887" spans="1:82" ht="61.5" x14ac:dyDescent="0.85">
      <c r="A887" s="20">
        <v>1</v>
      </c>
      <c r="B887" s="66">
        <f>SUBTOTAL(103,$A$558:A887)</f>
        <v>300</v>
      </c>
      <c r="C887" s="24" t="s">
        <v>1239</v>
      </c>
      <c r="D887" s="31">
        <f t="shared" si="252"/>
        <v>2394114.0999999996</v>
      </c>
      <c r="E887" s="31">
        <v>0</v>
      </c>
      <c r="F887" s="31">
        <v>0</v>
      </c>
      <c r="G887" s="31">
        <v>0</v>
      </c>
      <c r="H887" s="31">
        <v>0</v>
      </c>
      <c r="I887" s="31">
        <v>0</v>
      </c>
      <c r="J887" s="31">
        <v>0</v>
      </c>
      <c r="K887" s="74">
        <v>0</v>
      </c>
      <c r="L887" s="31">
        <v>0</v>
      </c>
      <c r="M887" s="31">
        <v>600</v>
      </c>
      <c r="N887" s="31">
        <f>2297468.55+61264.55</f>
        <v>2358733.0999999996</v>
      </c>
      <c r="O887" s="31">
        <v>0</v>
      </c>
      <c r="P887" s="31">
        <v>0</v>
      </c>
      <c r="Q887" s="31">
        <v>0</v>
      </c>
      <c r="R887" s="31">
        <v>0</v>
      </c>
      <c r="S887" s="31">
        <v>0</v>
      </c>
      <c r="T887" s="31">
        <v>0</v>
      </c>
      <c r="U887" s="31">
        <v>0</v>
      </c>
      <c r="V887" s="31">
        <v>0</v>
      </c>
      <c r="W887" s="31">
        <v>0</v>
      </c>
      <c r="X887" s="31">
        <v>0</v>
      </c>
      <c r="Y887" s="31">
        <v>0</v>
      </c>
      <c r="Z887" s="31">
        <v>0</v>
      </c>
      <c r="AA887" s="31">
        <v>0</v>
      </c>
      <c r="AB887" s="31">
        <v>0</v>
      </c>
      <c r="AC887" s="31">
        <f t="shared" si="253"/>
        <v>35381</v>
      </c>
      <c r="AD887" s="31">
        <v>0</v>
      </c>
      <c r="AE887" s="31">
        <v>0</v>
      </c>
      <c r="AF887" s="34" t="s">
        <v>270</v>
      </c>
      <c r="AG887" s="34">
        <v>2021</v>
      </c>
      <c r="AH887" s="34">
        <v>2021</v>
      </c>
      <c r="BZ887" s="71"/>
      <c r="CD887" s="20">
        <f t="shared" si="254"/>
        <v>600</v>
      </c>
    </row>
    <row r="888" spans="1:82" ht="61.5" x14ac:dyDescent="0.85">
      <c r="A888" s="20">
        <v>1</v>
      </c>
      <c r="B888" s="66">
        <f>SUBTOTAL(103,$A$558:A888)</f>
        <v>301</v>
      </c>
      <c r="C888" s="24" t="s">
        <v>2303</v>
      </c>
      <c r="D888" s="31">
        <f t="shared" si="252"/>
        <v>3623400.49</v>
      </c>
      <c r="E888" s="36">
        <v>0</v>
      </c>
      <c r="F888" s="36">
        <v>0</v>
      </c>
      <c r="G888" s="36">
        <v>0</v>
      </c>
      <c r="H888" s="36">
        <v>0</v>
      </c>
      <c r="I888" s="36">
        <v>0</v>
      </c>
      <c r="J888" s="36">
        <v>0</v>
      </c>
      <c r="K888" s="33">
        <v>0</v>
      </c>
      <c r="L888" s="31">
        <v>0</v>
      </c>
      <c r="M888" s="31">
        <v>472</v>
      </c>
      <c r="N888" s="31">
        <v>3451626.1</v>
      </c>
      <c r="O888" s="31">
        <v>0</v>
      </c>
      <c r="P888" s="31">
        <v>0</v>
      </c>
      <c r="Q888" s="31">
        <v>0</v>
      </c>
      <c r="R888" s="31">
        <v>0</v>
      </c>
      <c r="S888" s="31">
        <v>0</v>
      </c>
      <c r="T888" s="31">
        <v>0</v>
      </c>
      <c r="U888" s="31">
        <v>0</v>
      </c>
      <c r="V888" s="31">
        <v>0</v>
      </c>
      <c r="W888" s="31">
        <v>0</v>
      </c>
      <c r="X888" s="31">
        <v>0</v>
      </c>
      <c r="Y888" s="31">
        <v>0</v>
      </c>
      <c r="Z888" s="31">
        <v>0</v>
      </c>
      <c r="AA888" s="31">
        <v>0</v>
      </c>
      <c r="AB888" s="31">
        <v>0</v>
      </c>
      <c r="AC888" s="31">
        <f t="shared" si="253"/>
        <v>51774.39</v>
      </c>
      <c r="AD888" s="31">
        <v>120000</v>
      </c>
      <c r="AE888" s="31">
        <v>0</v>
      </c>
      <c r="AF888" s="34">
        <v>2021</v>
      </c>
      <c r="AG888" s="34">
        <v>2021</v>
      </c>
      <c r="AH888" s="35">
        <v>2021</v>
      </c>
      <c r="AT888" s="20" t="e">
        <f t="shared" ref="AT888:AT896" si="255">VLOOKUP(C888,AW:AX,2,FALSE)</f>
        <v>#N/A</v>
      </c>
      <c r="BZ888" s="71"/>
      <c r="CD888" s="20" t="e">
        <f t="shared" si="254"/>
        <v>#N/A</v>
      </c>
    </row>
    <row r="889" spans="1:82" ht="61.5" x14ac:dyDescent="0.85">
      <c r="B889" s="24" t="s">
        <v>878</v>
      </c>
      <c r="C889" s="24"/>
      <c r="D889" s="195">
        <f>SUM(D890:D892)</f>
        <v>2987522.79</v>
      </c>
      <c r="E889" s="31">
        <f t="shared" ref="E889:AE889" si="256">SUM(E890:E892)</f>
        <v>0</v>
      </c>
      <c r="F889" s="31">
        <f t="shared" si="256"/>
        <v>0</v>
      </c>
      <c r="G889" s="31">
        <f t="shared" si="256"/>
        <v>0</v>
      </c>
      <c r="H889" s="31">
        <f t="shared" si="256"/>
        <v>220000</v>
      </c>
      <c r="I889" s="31">
        <f t="shared" si="256"/>
        <v>0</v>
      </c>
      <c r="J889" s="31">
        <f t="shared" si="256"/>
        <v>0</v>
      </c>
      <c r="K889" s="33">
        <f t="shared" si="256"/>
        <v>0</v>
      </c>
      <c r="L889" s="31">
        <f t="shared" si="256"/>
        <v>0</v>
      </c>
      <c r="M889" s="31">
        <f t="shared" si="256"/>
        <v>467</v>
      </c>
      <c r="N889" s="31">
        <f t="shared" si="256"/>
        <v>2624850.04</v>
      </c>
      <c r="O889" s="31">
        <f t="shared" si="256"/>
        <v>0</v>
      </c>
      <c r="P889" s="31">
        <f t="shared" si="256"/>
        <v>0</v>
      </c>
      <c r="Q889" s="31">
        <f t="shared" si="256"/>
        <v>0</v>
      </c>
      <c r="R889" s="31">
        <f t="shared" si="256"/>
        <v>0</v>
      </c>
      <c r="S889" s="31">
        <f t="shared" si="256"/>
        <v>0</v>
      </c>
      <c r="T889" s="31">
        <f t="shared" si="256"/>
        <v>0</v>
      </c>
      <c r="U889" s="31">
        <f t="shared" si="256"/>
        <v>0</v>
      </c>
      <c r="V889" s="31">
        <f t="shared" si="256"/>
        <v>0</v>
      </c>
      <c r="W889" s="31">
        <f t="shared" si="256"/>
        <v>0</v>
      </c>
      <c r="X889" s="31">
        <f t="shared" si="256"/>
        <v>0</v>
      </c>
      <c r="Y889" s="31">
        <f t="shared" si="256"/>
        <v>0</v>
      </c>
      <c r="Z889" s="31">
        <f t="shared" si="256"/>
        <v>0</v>
      </c>
      <c r="AA889" s="31">
        <f t="shared" si="256"/>
        <v>0</v>
      </c>
      <c r="AB889" s="31">
        <f t="shared" si="256"/>
        <v>0</v>
      </c>
      <c r="AC889" s="31">
        <f t="shared" si="256"/>
        <v>42672.75</v>
      </c>
      <c r="AD889" s="31">
        <f t="shared" si="256"/>
        <v>100000</v>
      </c>
      <c r="AE889" s="31">
        <f t="shared" si="256"/>
        <v>0</v>
      </c>
      <c r="AF889" s="72" t="s">
        <v>757</v>
      </c>
      <c r="AG889" s="72" t="s">
        <v>757</v>
      </c>
      <c r="AH889" s="87" t="s">
        <v>757</v>
      </c>
      <c r="AT889" s="20" t="e">
        <f t="shared" si="255"/>
        <v>#N/A</v>
      </c>
      <c r="BZ889" s="71">
        <v>2766932.97</v>
      </c>
      <c r="CD889" s="20" t="e">
        <f t="shared" si="254"/>
        <v>#N/A</v>
      </c>
    </row>
    <row r="890" spans="1:82" ht="61.5" x14ac:dyDescent="0.85">
      <c r="A890" s="20">
        <v>1</v>
      </c>
      <c r="B890" s="66">
        <f>SUBTOTAL(103,$A$558:A890)</f>
        <v>302</v>
      </c>
      <c r="C890" s="24" t="s">
        <v>81</v>
      </c>
      <c r="D890" s="31">
        <f>E890+F890+G890+H890+I890+J890+L890+N890+P890+R890+T890+U890+V890+W890+X890+Y890+Z890+AA890+AB890+AC890+AD890+AE890</f>
        <v>1762259.81</v>
      </c>
      <c r="E890" s="31">
        <v>0</v>
      </c>
      <c r="F890" s="31">
        <v>0</v>
      </c>
      <c r="G890" s="31">
        <v>0</v>
      </c>
      <c r="H890" s="31">
        <v>0</v>
      </c>
      <c r="I890" s="31">
        <v>0</v>
      </c>
      <c r="J890" s="31">
        <v>0</v>
      </c>
      <c r="K890" s="33">
        <v>0</v>
      </c>
      <c r="L890" s="31">
        <v>0</v>
      </c>
      <c r="M890" s="31">
        <v>307</v>
      </c>
      <c r="N890" s="31">
        <f>1673839.77+62376.79</f>
        <v>1736216.56</v>
      </c>
      <c r="O890" s="31">
        <v>0</v>
      </c>
      <c r="P890" s="31">
        <v>0</v>
      </c>
      <c r="Q890" s="31">
        <v>0</v>
      </c>
      <c r="R890" s="31">
        <v>0</v>
      </c>
      <c r="S890" s="31">
        <v>0</v>
      </c>
      <c r="T890" s="31">
        <v>0</v>
      </c>
      <c r="U890" s="31">
        <v>0</v>
      </c>
      <c r="V890" s="31">
        <v>0</v>
      </c>
      <c r="W890" s="31">
        <v>0</v>
      </c>
      <c r="X890" s="31">
        <v>0</v>
      </c>
      <c r="Y890" s="31">
        <v>0</v>
      </c>
      <c r="Z890" s="31">
        <v>0</v>
      </c>
      <c r="AA890" s="31">
        <v>0</v>
      </c>
      <c r="AB890" s="31">
        <v>0</v>
      </c>
      <c r="AC890" s="31">
        <f>ROUND(N890*1.5%,2)</f>
        <v>26043.25</v>
      </c>
      <c r="AD890" s="31">
        <v>0</v>
      </c>
      <c r="AE890" s="31">
        <v>0</v>
      </c>
      <c r="AF890" s="34" t="s">
        <v>270</v>
      </c>
      <c r="AG890" s="34">
        <v>2021</v>
      </c>
      <c r="AH890" s="35">
        <v>2021</v>
      </c>
      <c r="AT890" s="20" t="e">
        <f t="shared" si="255"/>
        <v>#N/A</v>
      </c>
      <c r="BZ890" s="71"/>
      <c r="CD890" s="20" t="e">
        <f t="shared" si="254"/>
        <v>#N/A</v>
      </c>
    </row>
    <row r="891" spans="1:82" ht="61.5" x14ac:dyDescent="0.85">
      <c r="A891" s="20">
        <v>1</v>
      </c>
      <c r="B891" s="66">
        <f>SUBTOTAL(103,$A$558:A891)</f>
        <v>303</v>
      </c>
      <c r="C891" s="24" t="s">
        <v>82</v>
      </c>
      <c r="D891" s="31">
        <f>E891+F891+G891+H891+I891+J891+L891+N891+P891+R891+T891+U891+V891+W891+X891+Y891+Z891+AA891+AB891+AC891+AD891+AE891</f>
        <v>901962.98</v>
      </c>
      <c r="E891" s="31">
        <v>0</v>
      </c>
      <c r="F891" s="31">
        <v>0</v>
      </c>
      <c r="G891" s="31">
        <v>0</v>
      </c>
      <c r="H891" s="31">
        <v>0</v>
      </c>
      <c r="I891" s="31">
        <v>0</v>
      </c>
      <c r="J891" s="31">
        <v>0</v>
      </c>
      <c r="K891" s="33">
        <v>0</v>
      </c>
      <c r="L891" s="31">
        <v>0</v>
      </c>
      <c r="M891" s="31">
        <v>160</v>
      </c>
      <c r="N891" s="31">
        <f>815749.36+72884.12</f>
        <v>888633.48</v>
      </c>
      <c r="O891" s="31">
        <v>0</v>
      </c>
      <c r="P891" s="31">
        <v>0</v>
      </c>
      <c r="Q891" s="31">
        <v>0</v>
      </c>
      <c r="R891" s="31">
        <v>0</v>
      </c>
      <c r="S891" s="31">
        <v>0</v>
      </c>
      <c r="T891" s="31">
        <v>0</v>
      </c>
      <c r="U891" s="31">
        <v>0</v>
      </c>
      <c r="V891" s="31">
        <v>0</v>
      </c>
      <c r="W891" s="31">
        <v>0</v>
      </c>
      <c r="X891" s="31">
        <v>0</v>
      </c>
      <c r="Y891" s="31">
        <v>0</v>
      </c>
      <c r="Z891" s="31">
        <v>0</v>
      </c>
      <c r="AA891" s="31">
        <v>0</v>
      </c>
      <c r="AB891" s="31">
        <v>0</v>
      </c>
      <c r="AC891" s="31">
        <f>ROUND(N891*1.5%,2)</f>
        <v>13329.5</v>
      </c>
      <c r="AD891" s="31">
        <v>0</v>
      </c>
      <c r="AE891" s="31">
        <v>0</v>
      </c>
      <c r="AF891" s="34" t="s">
        <v>270</v>
      </c>
      <c r="AG891" s="34">
        <v>2021</v>
      </c>
      <c r="AH891" s="35">
        <v>2021</v>
      </c>
      <c r="AT891" s="20" t="e">
        <f t="shared" si="255"/>
        <v>#N/A</v>
      </c>
      <c r="BZ891" s="71"/>
      <c r="CD891" s="20" t="e">
        <f t="shared" si="254"/>
        <v>#N/A</v>
      </c>
    </row>
    <row r="892" spans="1:82" ht="61.5" x14ac:dyDescent="0.85">
      <c r="A892" s="20">
        <v>1</v>
      </c>
      <c r="B892" s="66">
        <f>SUBTOTAL(103,$A$558:A892)</f>
        <v>304</v>
      </c>
      <c r="C892" s="24" t="s">
        <v>2305</v>
      </c>
      <c r="D892" s="31">
        <f>E892+F892+G892+H892+I892+J892+L892+N892+P892+R892+T892+U892+V892+W892+X892+Y892+Z892+AA892+AB892+AC892+AD892+AE892</f>
        <v>323300</v>
      </c>
      <c r="E892" s="36">
        <v>0</v>
      </c>
      <c r="F892" s="36">
        <v>0</v>
      </c>
      <c r="G892" s="36">
        <v>0</v>
      </c>
      <c r="H892" s="36">
        <v>220000</v>
      </c>
      <c r="I892" s="36">
        <v>0</v>
      </c>
      <c r="J892" s="36">
        <v>0</v>
      </c>
      <c r="K892" s="33">
        <v>0</v>
      </c>
      <c r="L892" s="31">
        <v>0</v>
      </c>
      <c r="M892" s="31">
        <v>0</v>
      </c>
      <c r="N892" s="31">
        <v>0</v>
      </c>
      <c r="O892" s="31">
        <v>0</v>
      </c>
      <c r="P892" s="31">
        <v>0</v>
      </c>
      <c r="Q892" s="31">
        <v>0</v>
      </c>
      <c r="R892" s="31">
        <v>0</v>
      </c>
      <c r="S892" s="31">
        <v>0</v>
      </c>
      <c r="T892" s="31">
        <v>0</v>
      </c>
      <c r="U892" s="31">
        <v>0</v>
      </c>
      <c r="V892" s="31">
        <v>0</v>
      </c>
      <c r="W892" s="31">
        <v>0</v>
      </c>
      <c r="X892" s="31">
        <v>0</v>
      </c>
      <c r="Y892" s="31">
        <v>0</v>
      </c>
      <c r="Z892" s="31">
        <v>0</v>
      </c>
      <c r="AA892" s="31">
        <v>0</v>
      </c>
      <c r="AB892" s="31">
        <v>0</v>
      </c>
      <c r="AC892" s="31">
        <f>ROUND(H892*1.5%,2)</f>
        <v>3300</v>
      </c>
      <c r="AD892" s="31">
        <v>100000</v>
      </c>
      <c r="AE892" s="31">
        <v>0</v>
      </c>
      <c r="AF892" s="34">
        <v>2021</v>
      </c>
      <c r="AG892" s="34">
        <v>2021</v>
      </c>
      <c r="AH892" s="35">
        <v>2021</v>
      </c>
      <c r="AT892" s="20" t="e">
        <f t="shared" si="255"/>
        <v>#N/A</v>
      </c>
      <c r="BZ892" s="71"/>
      <c r="CD892" s="20" t="e">
        <f t="shared" si="254"/>
        <v>#N/A</v>
      </c>
    </row>
    <row r="893" spans="1:82" ht="61.5" x14ac:dyDescent="0.85">
      <c r="B893" s="24" t="s">
        <v>879</v>
      </c>
      <c r="C893" s="24"/>
      <c r="D893" s="195">
        <f t="shared" ref="D893:AE893" si="257">D894</f>
        <v>2568179.12</v>
      </c>
      <c r="E893" s="31">
        <f t="shared" si="257"/>
        <v>0</v>
      </c>
      <c r="F893" s="31">
        <f t="shared" si="257"/>
        <v>0</v>
      </c>
      <c r="G893" s="31">
        <f t="shared" si="257"/>
        <v>0</v>
      </c>
      <c r="H893" s="31">
        <f t="shared" si="257"/>
        <v>0</v>
      </c>
      <c r="I893" s="31">
        <f t="shared" si="257"/>
        <v>0</v>
      </c>
      <c r="J893" s="31">
        <f t="shared" si="257"/>
        <v>0</v>
      </c>
      <c r="K893" s="33">
        <f t="shared" si="257"/>
        <v>0</v>
      </c>
      <c r="L893" s="31">
        <f t="shared" si="257"/>
        <v>0</v>
      </c>
      <c r="M893" s="31">
        <f t="shared" si="257"/>
        <v>399.43</v>
      </c>
      <c r="N893" s="31">
        <f t="shared" si="257"/>
        <v>2436130.11</v>
      </c>
      <c r="O893" s="31">
        <f t="shared" si="257"/>
        <v>0</v>
      </c>
      <c r="P893" s="31">
        <f t="shared" si="257"/>
        <v>0</v>
      </c>
      <c r="Q893" s="31">
        <f t="shared" si="257"/>
        <v>0</v>
      </c>
      <c r="R893" s="31">
        <f t="shared" si="257"/>
        <v>0</v>
      </c>
      <c r="S893" s="31">
        <f t="shared" si="257"/>
        <v>0</v>
      </c>
      <c r="T893" s="31">
        <f t="shared" si="257"/>
        <v>0</v>
      </c>
      <c r="U893" s="31">
        <f t="shared" si="257"/>
        <v>0</v>
      </c>
      <c r="V893" s="31">
        <f t="shared" si="257"/>
        <v>0</v>
      </c>
      <c r="W893" s="31">
        <f t="shared" si="257"/>
        <v>0</v>
      </c>
      <c r="X893" s="31">
        <f t="shared" si="257"/>
        <v>0</v>
      </c>
      <c r="Y893" s="31">
        <f t="shared" si="257"/>
        <v>0</v>
      </c>
      <c r="Z893" s="31">
        <f t="shared" si="257"/>
        <v>0</v>
      </c>
      <c r="AA893" s="31">
        <f t="shared" si="257"/>
        <v>0</v>
      </c>
      <c r="AB893" s="31">
        <f t="shared" si="257"/>
        <v>0</v>
      </c>
      <c r="AC893" s="31">
        <f t="shared" si="257"/>
        <v>36541.949999999997</v>
      </c>
      <c r="AD893" s="31">
        <f t="shared" si="257"/>
        <v>95507.06</v>
      </c>
      <c r="AE893" s="31">
        <f t="shared" si="257"/>
        <v>0</v>
      </c>
      <c r="AF893" s="72" t="s">
        <v>757</v>
      </c>
      <c r="AG893" s="72" t="s">
        <v>757</v>
      </c>
      <c r="AH893" s="87" t="s">
        <v>757</v>
      </c>
      <c r="AT893" s="20" t="e">
        <f t="shared" si="255"/>
        <v>#N/A</v>
      </c>
      <c r="BZ893" s="71">
        <v>2568179.12</v>
      </c>
      <c r="CD893" s="20" t="e">
        <f t="shared" si="254"/>
        <v>#N/A</v>
      </c>
    </row>
    <row r="894" spans="1:82" ht="61.5" x14ac:dyDescent="0.85">
      <c r="A894" s="20">
        <v>1</v>
      </c>
      <c r="B894" s="66">
        <f>SUBTOTAL(103,$A$558:A894)</f>
        <v>305</v>
      </c>
      <c r="C894" s="24" t="s">
        <v>83</v>
      </c>
      <c r="D894" s="31">
        <f>E894+F894+G894+H894+I894+J894+L894+N894+P894+R894+T894+U894+V894+W894+X894+Y894+Z894+AA894+AB894+AC894+AD894+AE894</f>
        <v>2568179.12</v>
      </c>
      <c r="E894" s="31">
        <v>0</v>
      </c>
      <c r="F894" s="31">
        <v>0</v>
      </c>
      <c r="G894" s="31">
        <v>0</v>
      </c>
      <c r="H894" s="31">
        <v>0</v>
      </c>
      <c r="I894" s="31">
        <v>0</v>
      </c>
      <c r="J894" s="31">
        <v>0</v>
      </c>
      <c r="K894" s="33">
        <v>0</v>
      </c>
      <c r="L894" s="31">
        <v>0</v>
      </c>
      <c r="M894" s="31">
        <v>399.43</v>
      </c>
      <c r="N894" s="31">
        <f>2411999.13+24130.98</f>
        <v>2436130.11</v>
      </c>
      <c r="O894" s="31">
        <v>0</v>
      </c>
      <c r="P894" s="31">
        <v>0</v>
      </c>
      <c r="Q894" s="31">
        <v>0</v>
      </c>
      <c r="R894" s="31">
        <v>0</v>
      </c>
      <c r="S894" s="31">
        <v>0</v>
      </c>
      <c r="T894" s="31">
        <v>0</v>
      </c>
      <c r="U894" s="31">
        <v>0</v>
      </c>
      <c r="V894" s="31">
        <v>0</v>
      </c>
      <c r="W894" s="31">
        <v>0</v>
      </c>
      <c r="X894" s="31">
        <v>0</v>
      </c>
      <c r="Y894" s="31">
        <v>0</v>
      </c>
      <c r="Z894" s="31">
        <v>0</v>
      </c>
      <c r="AA894" s="31">
        <v>0</v>
      </c>
      <c r="AB894" s="31">
        <v>0</v>
      </c>
      <c r="AC894" s="31">
        <f>ROUND(N894*1.5%,2)</f>
        <v>36541.949999999997</v>
      </c>
      <c r="AD894" s="31">
        <v>95507.06</v>
      </c>
      <c r="AE894" s="31">
        <v>0</v>
      </c>
      <c r="AF894" s="34">
        <v>2021</v>
      </c>
      <c r="AG894" s="34">
        <v>2021</v>
      </c>
      <c r="AH894" s="35">
        <v>2021</v>
      </c>
      <c r="AT894" s="20" t="e">
        <f t="shared" si="255"/>
        <v>#N/A</v>
      </c>
      <c r="BZ894" s="71"/>
      <c r="CD894" s="20" t="e">
        <f t="shared" si="254"/>
        <v>#N/A</v>
      </c>
    </row>
    <row r="895" spans="1:82" ht="61.5" x14ac:dyDescent="0.85">
      <c r="B895" s="24" t="s">
        <v>846</v>
      </c>
      <c r="C895" s="108"/>
      <c r="D895" s="195">
        <f>SUM(D896:D898)</f>
        <v>13632425.770000001</v>
      </c>
      <c r="E895" s="31">
        <f t="shared" ref="E895:AE895" si="258">SUM(E896:E898)</f>
        <v>0</v>
      </c>
      <c r="F895" s="31">
        <f t="shared" si="258"/>
        <v>0</v>
      </c>
      <c r="G895" s="31">
        <f t="shared" si="258"/>
        <v>0</v>
      </c>
      <c r="H895" s="31">
        <f t="shared" si="258"/>
        <v>0</v>
      </c>
      <c r="I895" s="31">
        <f t="shared" si="258"/>
        <v>0</v>
      </c>
      <c r="J895" s="31">
        <f t="shared" si="258"/>
        <v>0</v>
      </c>
      <c r="K895" s="33">
        <f t="shared" si="258"/>
        <v>0</v>
      </c>
      <c r="L895" s="31">
        <f t="shared" si="258"/>
        <v>0</v>
      </c>
      <c r="M895" s="31">
        <f t="shared" si="258"/>
        <v>906</v>
      </c>
      <c r="N895" s="31">
        <f t="shared" si="258"/>
        <v>3872531.83</v>
      </c>
      <c r="O895" s="31">
        <f t="shared" si="258"/>
        <v>0</v>
      </c>
      <c r="P895" s="31">
        <f t="shared" si="258"/>
        <v>0</v>
      </c>
      <c r="Q895" s="31">
        <f t="shared" si="258"/>
        <v>0</v>
      </c>
      <c r="R895" s="31">
        <f t="shared" si="258"/>
        <v>0</v>
      </c>
      <c r="S895" s="31">
        <f t="shared" si="258"/>
        <v>0</v>
      </c>
      <c r="T895" s="31">
        <f t="shared" si="258"/>
        <v>0</v>
      </c>
      <c r="U895" s="31">
        <f t="shared" si="258"/>
        <v>9292419.6600000001</v>
      </c>
      <c r="V895" s="31">
        <f t="shared" si="258"/>
        <v>0</v>
      </c>
      <c r="W895" s="31">
        <f t="shared" si="258"/>
        <v>0</v>
      </c>
      <c r="X895" s="31">
        <f t="shared" si="258"/>
        <v>0</v>
      </c>
      <c r="Y895" s="31">
        <f t="shared" si="258"/>
        <v>0</v>
      </c>
      <c r="Z895" s="31">
        <f t="shared" si="258"/>
        <v>0</v>
      </c>
      <c r="AA895" s="31">
        <f t="shared" si="258"/>
        <v>0</v>
      </c>
      <c r="AB895" s="31">
        <f t="shared" si="258"/>
        <v>0</v>
      </c>
      <c r="AC895" s="31">
        <f t="shared" si="258"/>
        <v>197474.28000000003</v>
      </c>
      <c r="AD895" s="31">
        <f t="shared" si="258"/>
        <v>150000</v>
      </c>
      <c r="AE895" s="31">
        <f t="shared" si="258"/>
        <v>120000</v>
      </c>
      <c r="AF895" s="72" t="s">
        <v>757</v>
      </c>
      <c r="AG895" s="72" t="s">
        <v>757</v>
      </c>
      <c r="AH895" s="87" t="s">
        <v>757</v>
      </c>
      <c r="AT895" s="20" t="e">
        <f t="shared" si="255"/>
        <v>#N/A</v>
      </c>
      <c r="BZ895" s="71">
        <v>2981647.8</v>
      </c>
      <c r="CD895" s="20" t="e">
        <f t="shared" si="254"/>
        <v>#N/A</v>
      </c>
    </row>
    <row r="896" spans="1:82" ht="61.5" x14ac:dyDescent="0.85">
      <c r="A896" s="20">
        <v>1</v>
      </c>
      <c r="B896" s="66">
        <f>SUBTOTAL(103,$A$558:A896)</f>
        <v>306</v>
      </c>
      <c r="C896" s="24" t="s">
        <v>106</v>
      </c>
      <c r="D896" s="31">
        <f>E896+F896+G896+H896+I896+J896+L896+N896+P896+R896+T896+U896+V896+W896+X896+Y896+Z896+AA896+AB896+AC896+AD896+AE896</f>
        <v>3017167.1700000004</v>
      </c>
      <c r="E896" s="31">
        <v>0</v>
      </c>
      <c r="F896" s="31">
        <v>0</v>
      </c>
      <c r="G896" s="31">
        <v>0</v>
      </c>
      <c r="H896" s="31">
        <v>0</v>
      </c>
      <c r="I896" s="31">
        <v>0</v>
      </c>
      <c r="J896" s="31">
        <v>0</v>
      </c>
      <c r="K896" s="33">
        <v>0</v>
      </c>
      <c r="L896" s="31">
        <v>0</v>
      </c>
      <c r="M896" s="31">
        <v>571</v>
      </c>
      <c r="N896" s="31">
        <f>2789800.79+34994.45</f>
        <v>2824795.24</v>
      </c>
      <c r="O896" s="31">
        <v>0</v>
      </c>
      <c r="P896" s="31">
        <v>0</v>
      </c>
      <c r="Q896" s="31">
        <v>0</v>
      </c>
      <c r="R896" s="31">
        <v>0</v>
      </c>
      <c r="S896" s="31">
        <v>0</v>
      </c>
      <c r="T896" s="31">
        <v>0</v>
      </c>
      <c r="U896" s="31">
        <v>0</v>
      </c>
      <c r="V896" s="31">
        <v>0</v>
      </c>
      <c r="W896" s="31">
        <v>0</v>
      </c>
      <c r="X896" s="31">
        <v>0</v>
      </c>
      <c r="Y896" s="31">
        <v>0</v>
      </c>
      <c r="Z896" s="31">
        <v>0</v>
      </c>
      <c r="AA896" s="31">
        <v>0</v>
      </c>
      <c r="AB896" s="31">
        <v>0</v>
      </c>
      <c r="AC896" s="31">
        <f>ROUND(N896*1.5%,2)</f>
        <v>42371.93</v>
      </c>
      <c r="AD896" s="31">
        <v>150000</v>
      </c>
      <c r="AE896" s="31">
        <v>0</v>
      </c>
      <c r="AF896" s="34">
        <v>2021</v>
      </c>
      <c r="AG896" s="34">
        <v>2021</v>
      </c>
      <c r="AH896" s="35">
        <v>2021</v>
      </c>
      <c r="AT896" s="20" t="e">
        <f t="shared" si="255"/>
        <v>#N/A</v>
      </c>
      <c r="BZ896" s="71"/>
      <c r="CD896" s="20" t="e">
        <f t="shared" si="254"/>
        <v>#N/A</v>
      </c>
    </row>
    <row r="897" spans="1:82" ht="61.5" x14ac:dyDescent="0.85">
      <c r="A897" s="20">
        <v>1</v>
      </c>
      <c r="B897" s="66">
        <f>SUBTOTAL(103,$A$558:A897)</f>
        <v>307</v>
      </c>
      <c r="C897" s="24" t="s">
        <v>1243</v>
      </c>
      <c r="D897" s="31">
        <f>E897+F897+G897+H897+I897+J897+L897+N897+P897+R897+T897+U897+V897+W897+X897+Y897+Z897+AA897+AB897+AC897+AD897+AE897</f>
        <v>1183452.6399999999</v>
      </c>
      <c r="E897" s="31">
        <v>0</v>
      </c>
      <c r="F897" s="31">
        <v>0</v>
      </c>
      <c r="G897" s="31">
        <v>0</v>
      </c>
      <c r="H897" s="31">
        <v>0</v>
      </c>
      <c r="I897" s="31">
        <v>0</v>
      </c>
      <c r="J897" s="31">
        <v>0</v>
      </c>
      <c r="K897" s="33">
        <v>0</v>
      </c>
      <c r="L897" s="31">
        <v>0</v>
      </c>
      <c r="M897" s="31">
        <v>335</v>
      </c>
      <c r="N897" s="31">
        <f>994964.85+52771.74</f>
        <v>1047736.59</v>
      </c>
      <c r="O897" s="31">
        <v>0</v>
      </c>
      <c r="P897" s="31">
        <v>0</v>
      </c>
      <c r="Q897" s="31">
        <v>0</v>
      </c>
      <c r="R897" s="31">
        <v>0</v>
      </c>
      <c r="S897" s="31">
        <v>0</v>
      </c>
      <c r="T897" s="31">
        <v>0</v>
      </c>
      <c r="U897" s="31">
        <v>0</v>
      </c>
      <c r="V897" s="31">
        <v>0</v>
      </c>
      <c r="W897" s="31">
        <v>0</v>
      </c>
      <c r="X897" s="31">
        <v>0</v>
      </c>
      <c r="Y897" s="31">
        <v>0</v>
      </c>
      <c r="Z897" s="31">
        <v>0</v>
      </c>
      <c r="AA897" s="31">
        <v>0</v>
      </c>
      <c r="AB897" s="31">
        <v>0</v>
      </c>
      <c r="AC897" s="31">
        <f>ROUND(N897*1.5%,2)</f>
        <v>15716.05</v>
      </c>
      <c r="AD897" s="31">
        <v>0</v>
      </c>
      <c r="AE897" s="31">
        <v>120000</v>
      </c>
      <c r="AF897" s="34" t="s">
        <v>270</v>
      </c>
      <c r="AG897" s="34">
        <v>2021</v>
      </c>
      <c r="AH897" s="34">
        <v>2021</v>
      </c>
      <c r="BZ897" s="71"/>
      <c r="CD897" s="20">
        <f t="shared" si="254"/>
        <v>335</v>
      </c>
    </row>
    <row r="898" spans="1:82" ht="61.5" x14ac:dyDescent="0.85">
      <c r="A898" s="20">
        <v>1</v>
      </c>
      <c r="B898" s="66">
        <f>SUBTOTAL(103,$A$558:A898)</f>
        <v>308</v>
      </c>
      <c r="C898" s="24" t="s">
        <v>1242</v>
      </c>
      <c r="D898" s="31">
        <f>E898+F898+G898+H898+I898+J898+L898+N898+P898+R898+T898+U898+V898+W898+X898+Y898+Z898+AA898+AB898+AC898+AD898+AE898</f>
        <v>9431805.9600000009</v>
      </c>
      <c r="E898" s="31">
        <v>0</v>
      </c>
      <c r="F898" s="31">
        <v>0</v>
      </c>
      <c r="G898" s="31">
        <v>0</v>
      </c>
      <c r="H898" s="31">
        <v>0</v>
      </c>
      <c r="I898" s="31">
        <v>0</v>
      </c>
      <c r="J898" s="31">
        <v>0</v>
      </c>
      <c r="K898" s="74">
        <v>0</v>
      </c>
      <c r="L898" s="31">
        <v>0</v>
      </c>
      <c r="M898" s="31">
        <v>0</v>
      </c>
      <c r="N898" s="31">
        <v>0</v>
      </c>
      <c r="O898" s="31">
        <v>0</v>
      </c>
      <c r="P898" s="31">
        <v>0</v>
      </c>
      <c r="Q898" s="31">
        <v>0</v>
      </c>
      <c r="R898" s="31">
        <v>0</v>
      </c>
      <c r="S898" s="31">
        <v>0</v>
      </c>
      <c r="T898" s="31">
        <v>0</v>
      </c>
      <c r="U898" s="31">
        <f>5582000+10675.67+ROUND(836106.34/101.5*100,2)+2875993.9</f>
        <v>9292419.6600000001</v>
      </c>
      <c r="V898" s="31">
        <v>0</v>
      </c>
      <c r="W898" s="31">
        <v>0</v>
      </c>
      <c r="X898" s="31">
        <v>0</v>
      </c>
      <c r="Y898" s="31">
        <v>0</v>
      </c>
      <c r="Z898" s="31">
        <v>0</v>
      </c>
      <c r="AA898" s="31">
        <v>0</v>
      </c>
      <c r="AB898" s="31">
        <v>0</v>
      </c>
      <c r="AC898" s="31">
        <f>ROUND(U898*1.5%,2)+0.01</f>
        <v>139386.30000000002</v>
      </c>
      <c r="AD898" s="31">
        <v>0</v>
      </c>
      <c r="AE898" s="31">
        <v>0</v>
      </c>
      <c r="AF898" s="34" t="s">
        <v>270</v>
      </c>
      <c r="AG898" s="34">
        <v>2021</v>
      </c>
      <c r="AH898" s="34">
        <v>2021</v>
      </c>
      <c r="BZ898" s="71"/>
      <c r="CD898" s="20">
        <f t="shared" si="254"/>
        <v>901.42</v>
      </c>
    </row>
    <row r="899" spans="1:82" ht="61.5" x14ac:dyDescent="0.85">
      <c r="B899" s="24" t="s">
        <v>880</v>
      </c>
      <c r="C899" s="24"/>
      <c r="D899" s="195">
        <f t="shared" ref="D899:AE899" si="259">D900</f>
        <v>4290230.8800000008</v>
      </c>
      <c r="E899" s="31">
        <f t="shared" si="259"/>
        <v>0</v>
      </c>
      <c r="F899" s="31">
        <f t="shared" si="259"/>
        <v>0</v>
      </c>
      <c r="G899" s="31">
        <f t="shared" si="259"/>
        <v>0</v>
      </c>
      <c r="H899" s="31">
        <f t="shared" si="259"/>
        <v>0</v>
      </c>
      <c r="I899" s="31">
        <f t="shared" si="259"/>
        <v>0</v>
      </c>
      <c r="J899" s="31">
        <f t="shared" si="259"/>
        <v>0</v>
      </c>
      <c r="K899" s="33">
        <f t="shared" si="259"/>
        <v>0</v>
      </c>
      <c r="L899" s="31">
        <f t="shared" si="259"/>
        <v>0</v>
      </c>
      <c r="M899" s="31">
        <f t="shared" si="259"/>
        <v>821.6</v>
      </c>
      <c r="N899" s="31">
        <f t="shared" si="259"/>
        <v>4079045.2</v>
      </c>
      <c r="O899" s="31">
        <f t="shared" si="259"/>
        <v>0</v>
      </c>
      <c r="P899" s="31">
        <f t="shared" si="259"/>
        <v>0</v>
      </c>
      <c r="Q899" s="31">
        <f t="shared" si="259"/>
        <v>0</v>
      </c>
      <c r="R899" s="31">
        <f t="shared" si="259"/>
        <v>0</v>
      </c>
      <c r="S899" s="31">
        <f t="shared" si="259"/>
        <v>0</v>
      </c>
      <c r="T899" s="31">
        <f t="shared" si="259"/>
        <v>0</v>
      </c>
      <c r="U899" s="31">
        <f t="shared" si="259"/>
        <v>0</v>
      </c>
      <c r="V899" s="31">
        <f t="shared" si="259"/>
        <v>0</v>
      </c>
      <c r="W899" s="31">
        <f t="shared" si="259"/>
        <v>0</v>
      </c>
      <c r="X899" s="31">
        <f t="shared" si="259"/>
        <v>0</v>
      </c>
      <c r="Y899" s="31">
        <f t="shared" si="259"/>
        <v>0</v>
      </c>
      <c r="Z899" s="31">
        <f t="shared" si="259"/>
        <v>0</v>
      </c>
      <c r="AA899" s="31">
        <f t="shared" si="259"/>
        <v>0</v>
      </c>
      <c r="AB899" s="31">
        <f t="shared" si="259"/>
        <v>0</v>
      </c>
      <c r="AC899" s="31">
        <f t="shared" si="259"/>
        <v>61185.68</v>
      </c>
      <c r="AD899" s="31">
        <f t="shared" si="259"/>
        <v>150000</v>
      </c>
      <c r="AE899" s="31">
        <f t="shared" si="259"/>
        <v>0</v>
      </c>
      <c r="AF899" s="72" t="s">
        <v>757</v>
      </c>
      <c r="AG899" s="72" t="s">
        <v>757</v>
      </c>
      <c r="AH899" s="87" t="s">
        <v>757</v>
      </c>
      <c r="AT899" s="20" t="e">
        <f t="shared" ref="AT899:AT906" si="260">VLOOKUP(C899,AW:AX,2,FALSE)</f>
        <v>#N/A</v>
      </c>
      <c r="BZ899" s="71">
        <v>4290230.8800000008</v>
      </c>
      <c r="CD899" s="20" t="e">
        <f t="shared" si="254"/>
        <v>#N/A</v>
      </c>
    </row>
    <row r="900" spans="1:82" ht="61.5" x14ac:dyDescent="0.85">
      <c r="A900" s="20">
        <v>1</v>
      </c>
      <c r="B900" s="66">
        <f>SUBTOTAL(103,$A$558:A900)</f>
        <v>309</v>
      </c>
      <c r="C900" s="24" t="s">
        <v>112</v>
      </c>
      <c r="D900" s="31">
        <f>E900+F900+G900+H900+I900+J900+L900+N900+P900+R900+T900+U900+V900+W900+X900+Y900+Z900+AA900+AB900+AC900+AD900+AE900</f>
        <v>4290230.8800000008</v>
      </c>
      <c r="E900" s="31">
        <v>0</v>
      </c>
      <c r="F900" s="31">
        <v>0</v>
      </c>
      <c r="G900" s="31">
        <v>0</v>
      </c>
      <c r="H900" s="31">
        <v>0</v>
      </c>
      <c r="I900" s="31">
        <v>0</v>
      </c>
      <c r="J900" s="31">
        <v>0</v>
      </c>
      <c r="K900" s="33">
        <v>0</v>
      </c>
      <c r="L900" s="31">
        <v>0</v>
      </c>
      <c r="M900" s="31">
        <v>821.6</v>
      </c>
      <c r="N900" s="31">
        <v>4079045.2</v>
      </c>
      <c r="O900" s="31">
        <v>0</v>
      </c>
      <c r="P900" s="31">
        <v>0</v>
      </c>
      <c r="Q900" s="31">
        <v>0</v>
      </c>
      <c r="R900" s="31">
        <v>0</v>
      </c>
      <c r="S900" s="31">
        <v>0</v>
      </c>
      <c r="T900" s="31">
        <v>0</v>
      </c>
      <c r="U900" s="31">
        <v>0</v>
      </c>
      <c r="V900" s="31">
        <v>0</v>
      </c>
      <c r="W900" s="31">
        <v>0</v>
      </c>
      <c r="X900" s="31">
        <v>0</v>
      </c>
      <c r="Y900" s="31">
        <v>0</v>
      </c>
      <c r="Z900" s="31">
        <v>0</v>
      </c>
      <c r="AA900" s="31">
        <v>0</v>
      </c>
      <c r="AB900" s="31">
        <v>0</v>
      </c>
      <c r="AC900" s="31">
        <f>ROUND(N900*1.5%,2)</f>
        <v>61185.68</v>
      </c>
      <c r="AD900" s="31">
        <v>150000</v>
      </c>
      <c r="AE900" s="31">
        <v>0</v>
      </c>
      <c r="AF900" s="34">
        <v>2021</v>
      </c>
      <c r="AG900" s="34">
        <v>2021</v>
      </c>
      <c r="AH900" s="35">
        <v>2021</v>
      </c>
      <c r="AT900" s="20" t="e">
        <f t="shared" si="260"/>
        <v>#N/A</v>
      </c>
      <c r="BZ900" s="71"/>
      <c r="CD900" s="20" t="e">
        <f t="shared" si="254"/>
        <v>#N/A</v>
      </c>
    </row>
    <row r="901" spans="1:82" ht="61.5" x14ac:dyDescent="0.85">
      <c r="B901" s="24" t="s">
        <v>881</v>
      </c>
      <c r="C901" s="24"/>
      <c r="D901" s="195">
        <f t="shared" ref="D901:AE901" si="261">D902</f>
        <v>2903320.8000000003</v>
      </c>
      <c r="E901" s="31">
        <f t="shared" si="261"/>
        <v>0</v>
      </c>
      <c r="F901" s="31">
        <f t="shared" si="261"/>
        <v>0</v>
      </c>
      <c r="G901" s="31">
        <f t="shared" si="261"/>
        <v>0</v>
      </c>
      <c r="H901" s="31">
        <f t="shared" si="261"/>
        <v>0</v>
      </c>
      <c r="I901" s="31">
        <f t="shared" si="261"/>
        <v>0</v>
      </c>
      <c r="J901" s="31">
        <f t="shared" si="261"/>
        <v>0</v>
      </c>
      <c r="K901" s="33">
        <f t="shared" si="261"/>
        <v>0</v>
      </c>
      <c r="L901" s="31">
        <f t="shared" si="261"/>
        <v>0</v>
      </c>
      <c r="M901" s="31">
        <f t="shared" si="261"/>
        <v>556</v>
      </c>
      <c r="N901" s="31">
        <f t="shared" si="261"/>
        <v>2712631.33</v>
      </c>
      <c r="O901" s="31">
        <f t="shared" si="261"/>
        <v>0</v>
      </c>
      <c r="P901" s="31">
        <f t="shared" si="261"/>
        <v>0</v>
      </c>
      <c r="Q901" s="31">
        <f t="shared" si="261"/>
        <v>0</v>
      </c>
      <c r="R901" s="31">
        <f t="shared" si="261"/>
        <v>0</v>
      </c>
      <c r="S901" s="31">
        <f t="shared" si="261"/>
        <v>0</v>
      </c>
      <c r="T901" s="31">
        <f t="shared" si="261"/>
        <v>0</v>
      </c>
      <c r="U901" s="31">
        <f t="shared" si="261"/>
        <v>0</v>
      </c>
      <c r="V901" s="31">
        <f t="shared" si="261"/>
        <v>0</v>
      </c>
      <c r="W901" s="31">
        <f t="shared" si="261"/>
        <v>0</v>
      </c>
      <c r="X901" s="31">
        <f t="shared" si="261"/>
        <v>0</v>
      </c>
      <c r="Y901" s="31">
        <f t="shared" si="261"/>
        <v>0</v>
      </c>
      <c r="Z901" s="31">
        <f t="shared" si="261"/>
        <v>0</v>
      </c>
      <c r="AA901" s="31">
        <f t="shared" si="261"/>
        <v>0</v>
      </c>
      <c r="AB901" s="31">
        <f t="shared" si="261"/>
        <v>0</v>
      </c>
      <c r="AC901" s="31">
        <f t="shared" si="261"/>
        <v>40689.47</v>
      </c>
      <c r="AD901" s="31">
        <f t="shared" si="261"/>
        <v>150000</v>
      </c>
      <c r="AE901" s="31">
        <f t="shared" si="261"/>
        <v>0</v>
      </c>
      <c r="AF901" s="72" t="s">
        <v>757</v>
      </c>
      <c r="AG901" s="72" t="s">
        <v>757</v>
      </c>
      <c r="AH901" s="87" t="s">
        <v>757</v>
      </c>
      <c r="AT901" s="20" t="e">
        <f t="shared" si="260"/>
        <v>#N/A</v>
      </c>
      <c r="BZ901" s="71">
        <v>2903320.8000000003</v>
      </c>
      <c r="CD901" s="20" t="e">
        <f t="shared" si="254"/>
        <v>#N/A</v>
      </c>
    </row>
    <row r="902" spans="1:82" ht="61.5" x14ac:dyDescent="0.85">
      <c r="A902" s="20">
        <v>1</v>
      </c>
      <c r="B902" s="66">
        <f>SUBTOTAL(103,$A$558:A902)</f>
        <v>310</v>
      </c>
      <c r="C902" s="24" t="s">
        <v>111</v>
      </c>
      <c r="D902" s="31">
        <f>E902+F902+G902+H902+I902+J902+L902+N902+P902+R902+T902+U902+V902+W902+X902+Y902+Z902+AA902+AB902+AC902+AD902+AE902</f>
        <v>2903320.8000000003</v>
      </c>
      <c r="E902" s="31">
        <v>0</v>
      </c>
      <c r="F902" s="31">
        <v>0</v>
      </c>
      <c r="G902" s="31">
        <v>0</v>
      </c>
      <c r="H902" s="31">
        <v>0</v>
      </c>
      <c r="I902" s="31">
        <v>0</v>
      </c>
      <c r="J902" s="31">
        <v>0</v>
      </c>
      <c r="K902" s="33">
        <v>0</v>
      </c>
      <c r="L902" s="31">
        <v>0</v>
      </c>
      <c r="M902" s="31">
        <v>556</v>
      </c>
      <c r="N902" s="31">
        <v>2712631.33</v>
      </c>
      <c r="O902" s="31">
        <v>0</v>
      </c>
      <c r="P902" s="31">
        <v>0</v>
      </c>
      <c r="Q902" s="31">
        <v>0</v>
      </c>
      <c r="R902" s="31">
        <v>0</v>
      </c>
      <c r="S902" s="31">
        <v>0</v>
      </c>
      <c r="T902" s="31">
        <v>0</v>
      </c>
      <c r="U902" s="31">
        <v>0</v>
      </c>
      <c r="V902" s="31">
        <v>0</v>
      </c>
      <c r="W902" s="31">
        <v>0</v>
      </c>
      <c r="X902" s="31">
        <v>0</v>
      </c>
      <c r="Y902" s="31">
        <v>0</v>
      </c>
      <c r="Z902" s="31">
        <v>0</v>
      </c>
      <c r="AA902" s="31">
        <v>0</v>
      </c>
      <c r="AB902" s="31">
        <v>0</v>
      </c>
      <c r="AC902" s="31">
        <f>ROUND(N902*1.5%,2)</f>
        <v>40689.47</v>
      </c>
      <c r="AD902" s="31">
        <v>150000</v>
      </c>
      <c r="AE902" s="31">
        <v>0</v>
      </c>
      <c r="AF902" s="34">
        <v>2021</v>
      </c>
      <c r="AG902" s="34">
        <v>2021</v>
      </c>
      <c r="AH902" s="35">
        <v>2021</v>
      </c>
      <c r="AT902" s="20" t="e">
        <f t="shared" si="260"/>
        <v>#N/A</v>
      </c>
      <c r="BZ902" s="71"/>
      <c r="CD902" s="20" t="e">
        <f t="shared" si="254"/>
        <v>#N/A</v>
      </c>
    </row>
    <row r="903" spans="1:82" ht="61.5" x14ac:dyDescent="0.85">
      <c r="B903" s="24" t="s">
        <v>847</v>
      </c>
      <c r="C903" s="108"/>
      <c r="D903" s="195">
        <f t="shared" ref="D903:AE903" si="262">D904</f>
        <v>3826397.3000000003</v>
      </c>
      <c r="E903" s="31">
        <f t="shared" si="262"/>
        <v>0</v>
      </c>
      <c r="F903" s="31">
        <f t="shared" si="262"/>
        <v>0</v>
      </c>
      <c r="G903" s="31">
        <f t="shared" si="262"/>
        <v>0</v>
      </c>
      <c r="H903" s="31">
        <f t="shared" si="262"/>
        <v>0</v>
      </c>
      <c r="I903" s="31">
        <f t="shared" si="262"/>
        <v>0</v>
      </c>
      <c r="J903" s="31">
        <f t="shared" si="262"/>
        <v>0</v>
      </c>
      <c r="K903" s="33">
        <f t="shared" si="262"/>
        <v>0</v>
      </c>
      <c r="L903" s="31">
        <f t="shared" si="262"/>
        <v>0</v>
      </c>
      <c r="M903" s="31">
        <f t="shared" si="262"/>
        <v>794.3</v>
      </c>
      <c r="N903" s="31">
        <f t="shared" si="262"/>
        <v>3622066.31</v>
      </c>
      <c r="O903" s="31">
        <f t="shared" si="262"/>
        <v>0</v>
      </c>
      <c r="P903" s="31">
        <f t="shared" si="262"/>
        <v>0</v>
      </c>
      <c r="Q903" s="31">
        <f t="shared" si="262"/>
        <v>0</v>
      </c>
      <c r="R903" s="31">
        <f t="shared" si="262"/>
        <v>0</v>
      </c>
      <c r="S903" s="31">
        <f t="shared" si="262"/>
        <v>0</v>
      </c>
      <c r="T903" s="31">
        <f t="shared" si="262"/>
        <v>0</v>
      </c>
      <c r="U903" s="31">
        <f t="shared" si="262"/>
        <v>0</v>
      </c>
      <c r="V903" s="31">
        <f t="shared" si="262"/>
        <v>0</v>
      </c>
      <c r="W903" s="31">
        <f t="shared" si="262"/>
        <v>0</v>
      </c>
      <c r="X903" s="31">
        <f t="shared" si="262"/>
        <v>0</v>
      </c>
      <c r="Y903" s="31">
        <f t="shared" si="262"/>
        <v>0</v>
      </c>
      <c r="Z903" s="31">
        <f t="shared" si="262"/>
        <v>0</v>
      </c>
      <c r="AA903" s="31">
        <f t="shared" si="262"/>
        <v>0</v>
      </c>
      <c r="AB903" s="31">
        <f t="shared" si="262"/>
        <v>0</v>
      </c>
      <c r="AC903" s="31">
        <f t="shared" si="262"/>
        <v>54330.99</v>
      </c>
      <c r="AD903" s="31">
        <f t="shared" si="262"/>
        <v>150000</v>
      </c>
      <c r="AE903" s="31">
        <f t="shared" si="262"/>
        <v>0</v>
      </c>
      <c r="AF903" s="72" t="s">
        <v>757</v>
      </c>
      <c r="AG903" s="72" t="s">
        <v>757</v>
      </c>
      <c r="AH903" s="87" t="s">
        <v>757</v>
      </c>
      <c r="AT903" s="20" t="e">
        <f t="shared" si="260"/>
        <v>#N/A</v>
      </c>
      <c r="BZ903" s="71">
        <v>3826397.3000000003</v>
      </c>
      <c r="CD903" s="20" t="e">
        <f t="shared" si="254"/>
        <v>#N/A</v>
      </c>
    </row>
    <row r="904" spans="1:82" ht="61.5" x14ac:dyDescent="0.85">
      <c r="A904" s="20">
        <v>1</v>
      </c>
      <c r="B904" s="66">
        <f>SUBTOTAL(103,$A$558:A904)</f>
        <v>311</v>
      </c>
      <c r="C904" s="24" t="s">
        <v>57</v>
      </c>
      <c r="D904" s="31">
        <f>E904+F904+G904+H904+I904+J904+L904+N904+P904+R904+T904+U904+V904+W904+X904+Y904+Z904+AA904+AB904+AC904+AD904+AE904</f>
        <v>3826397.3000000003</v>
      </c>
      <c r="E904" s="31">
        <v>0</v>
      </c>
      <c r="F904" s="31">
        <v>0</v>
      </c>
      <c r="G904" s="31">
        <v>0</v>
      </c>
      <c r="H904" s="31">
        <v>0</v>
      </c>
      <c r="I904" s="31">
        <v>0</v>
      </c>
      <c r="J904" s="31">
        <v>0</v>
      </c>
      <c r="K904" s="33">
        <v>0</v>
      </c>
      <c r="L904" s="31">
        <v>0</v>
      </c>
      <c r="M904" s="31">
        <v>794.3</v>
      </c>
      <c r="N904" s="31">
        <v>3622066.31</v>
      </c>
      <c r="O904" s="31">
        <v>0</v>
      </c>
      <c r="P904" s="31">
        <v>0</v>
      </c>
      <c r="Q904" s="31">
        <v>0</v>
      </c>
      <c r="R904" s="31">
        <v>0</v>
      </c>
      <c r="S904" s="31">
        <v>0</v>
      </c>
      <c r="T904" s="31">
        <v>0</v>
      </c>
      <c r="U904" s="31">
        <v>0</v>
      </c>
      <c r="V904" s="31">
        <v>0</v>
      </c>
      <c r="W904" s="31">
        <v>0</v>
      </c>
      <c r="X904" s="31">
        <v>0</v>
      </c>
      <c r="Y904" s="31">
        <v>0</v>
      </c>
      <c r="Z904" s="31">
        <v>0</v>
      </c>
      <c r="AA904" s="31">
        <v>0</v>
      </c>
      <c r="AB904" s="31">
        <v>0</v>
      </c>
      <c r="AC904" s="31">
        <f>ROUND(N904*1.5%,2)</f>
        <v>54330.99</v>
      </c>
      <c r="AD904" s="31">
        <v>150000</v>
      </c>
      <c r="AE904" s="31">
        <v>0</v>
      </c>
      <c r="AF904" s="34">
        <v>2021</v>
      </c>
      <c r="AG904" s="34">
        <v>2021</v>
      </c>
      <c r="AH904" s="35">
        <v>2021</v>
      </c>
      <c r="AT904" s="20" t="e">
        <f t="shared" si="260"/>
        <v>#N/A</v>
      </c>
      <c r="BZ904" s="71"/>
      <c r="CD904" s="20" t="e">
        <f t="shared" si="254"/>
        <v>#N/A</v>
      </c>
    </row>
    <row r="905" spans="1:82" ht="61.5" x14ac:dyDescent="0.85">
      <c r="B905" s="24" t="s">
        <v>848</v>
      </c>
      <c r="C905" s="24"/>
      <c r="D905" s="195">
        <f>SUM(D906:D909)</f>
        <v>25033618.25</v>
      </c>
      <c r="E905" s="31">
        <f t="shared" ref="E905:AE905" si="263">SUM(E906:E909)</f>
        <v>0</v>
      </c>
      <c r="F905" s="31">
        <f t="shared" si="263"/>
        <v>0</v>
      </c>
      <c r="G905" s="31">
        <f t="shared" si="263"/>
        <v>0</v>
      </c>
      <c r="H905" s="31">
        <f t="shared" si="263"/>
        <v>0</v>
      </c>
      <c r="I905" s="31">
        <f t="shared" si="263"/>
        <v>0</v>
      </c>
      <c r="J905" s="31">
        <f t="shared" si="263"/>
        <v>0</v>
      </c>
      <c r="K905" s="33">
        <f t="shared" si="263"/>
        <v>0</v>
      </c>
      <c r="L905" s="31">
        <f t="shared" si="263"/>
        <v>0</v>
      </c>
      <c r="M905" s="31">
        <f t="shared" si="263"/>
        <v>5688</v>
      </c>
      <c r="N905" s="31">
        <f t="shared" si="263"/>
        <v>24545175.099999998</v>
      </c>
      <c r="O905" s="31">
        <f t="shared" si="263"/>
        <v>0</v>
      </c>
      <c r="P905" s="31">
        <f t="shared" si="263"/>
        <v>0</v>
      </c>
      <c r="Q905" s="31">
        <f t="shared" si="263"/>
        <v>0</v>
      </c>
      <c r="R905" s="31">
        <f t="shared" si="263"/>
        <v>0</v>
      </c>
      <c r="S905" s="31">
        <f t="shared" si="263"/>
        <v>0</v>
      </c>
      <c r="T905" s="31">
        <f t="shared" si="263"/>
        <v>0</v>
      </c>
      <c r="U905" s="31">
        <f t="shared" si="263"/>
        <v>0</v>
      </c>
      <c r="V905" s="31">
        <f t="shared" si="263"/>
        <v>0</v>
      </c>
      <c r="W905" s="31">
        <f t="shared" si="263"/>
        <v>0</v>
      </c>
      <c r="X905" s="31">
        <f t="shared" si="263"/>
        <v>0</v>
      </c>
      <c r="Y905" s="31">
        <f t="shared" si="263"/>
        <v>0</v>
      </c>
      <c r="Z905" s="31">
        <f t="shared" si="263"/>
        <v>0</v>
      </c>
      <c r="AA905" s="31">
        <f t="shared" si="263"/>
        <v>0</v>
      </c>
      <c r="AB905" s="31">
        <f t="shared" si="263"/>
        <v>0</v>
      </c>
      <c r="AC905" s="31">
        <f t="shared" si="263"/>
        <v>308443.15000000002</v>
      </c>
      <c r="AD905" s="31">
        <f t="shared" si="263"/>
        <v>180000</v>
      </c>
      <c r="AE905" s="31">
        <f t="shared" si="263"/>
        <v>0</v>
      </c>
      <c r="AF905" s="72" t="s">
        <v>757</v>
      </c>
      <c r="AG905" s="72" t="s">
        <v>757</v>
      </c>
      <c r="AH905" s="87" t="s">
        <v>757</v>
      </c>
      <c r="AT905" s="20" t="e">
        <f t="shared" si="260"/>
        <v>#N/A</v>
      </c>
      <c r="BZ905" s="71">
        <v>5858309.4800000004</v>
      </c>
      <c r="CD905" s="20" t="e">
        <f t="shared" si="254"/>
        <v>#N/A</v>
      </c>
    </row>
    <row r="906" spans="1:82" ht="61.5" x14ac:dyDescent="0.85">
      <c r="A906" s="20">
        <v>1</v>
      </c>
      <c r="B906" s="66">
        <f>SUBTOTAL(103,$A$558:A906)</f>
        <v>312</v>
      </c>
      <c r="C906" s="24" t="s">
        <v>41</v>
      </c>
      <c r="D906" s="31">
        <f>E906+F906+G906+H906+I906+J906+L906+N906+P906+R906+T906+U906+V906+W906+X906+Y906+Z906+AA906+AB906+AC906+AD906+AE906</f>
        <v>7459219.5300000003</v>
      </c>
      <c r="E906" s="31">
        <v>0</v>
      </c>
      <c r="F906" s="31">
        <v>0</v>
      </c>
      <c r="G906" s="31">
        <v>0</v>
      </c>
      <c r="H906" s="31">
        <v>0</v>
      </c>
      <c r="I906" s="31">
        <v>0</v>
      </c>
      <c r="J906" s="31">
        <v>0</v>
      </c>
      <c r="K906" s="33">
        <v>0</v>
      </c>
      <c r="L906" s="31">
        <v>0</v>
      </c>
      <c r="M906" s="31">
        <v>1576</v>
      </c>
      <c r="N906" s="31">
        <f>5594393.58+1577251.28</f>
        <v>7171644.8600000003</v>
      </c>
      <c r="O906" s="31">
        <v>0</v>
      </c>
      <c r="P906" s="31">
        <v>0</v>
      </c>
      <c r="Q906" s="31">
        <v>0</v>
      </c>
      <c r="R906" s="31">
        <v>0</v>
      </c>
      <c r="S906" s="31">
        <v>0</v>
      </c>
      <c r="T906" s="31">
        <v>0</v>
      </c>
      <c r="U906" s="31">
        <v>0</v>
      </c>
      <c r="V906" s="31">
        <v>0</v>
      </c>
      <c r="W906" s="31">
        <v>0</v>
      </c>
      <c r="X906" s="31">
        <v>0</v>
      </c>
      <c r="Y906" s="31">
        <v>0</v>
      </c>
      <c r="Z906" s="31">
        <v>0</v>
      </c>
      <c r="AA906" s="31">
        <v>0</v>
      </c>
      <c r="AB906" s="31">
        <v>0</v>
      </c>
      <c r="AC906" s="31">
        <f>ROUND(N906*1.5%,2)</f>
        <v>107574.67</v>
      </c>
      <c r="AD906" s="31">
        <v>180000</v>
      </c>
      <c r="AE906" s="31">
        <v>0</v>
      </c>
      <c r="AF906" s="34">
        <v>2021</v>
      </c>
      <c r="AG906" s="34">
        <v>2021</v>
      </c>
      <c r="AH906" s="35">
        <v>2021</v>
      </c>
      <c r="AT906" s="20" t="e">
        <f t="shared" si="260"/>
        <v>#N/A</v>
      </c>
      <c r="BZ906" s="71"/>
      <c r="CD906" s="20" t="e">
        <f t="shared" si="254"/>
        <v>#N/A</v>
      </c>
    </row>
    <row r="907" spans="1:82" ht="61.5" x14ac:dyDescent="0.85">
      <c r="A907" s="20">
        <v>1</v>
      </c>
      <c r="B907" s="66">
        <f>SUBTOTAL(103,$A$558:A907)</f>
        <v>313</v>
      </c>
      <c r="C907" s="24" t="s">
        <v>1561</v>
      </c>
      <c r="D907" s="31">
        <f>E907+F907+G907+H907+I907+J907+L907+N907+P907+R907+T907+U907+V907+W907+X907+Y907+Z907+AA907+AB907+AC907+AD907+AE907</f>
        <v>5709104.1399999997</v>
      </c>
      <c r="E907" s="31">
        <v>0</v>
      </c>
      <c r="F907" s="31">
        <v>0</v>
      </c>
      <c r="G907" s="31">
        <v>0</v>
      </c>
      <c r="H907" s="31">
        <v>0</v>
      </c>
      <c r="I907" s="31">
        <v>0</v>
      </c>
      <c r="J907" s="31">
        <v>0</v>
      </c>
      <c r="K907" s="33">
        <v>0</v>
      </c>
      <c r="L907" s="31">
        <v>0</v>
      </c>
      <c r="M907" s="31">
        <v>1331</v>
      </c>
      <c r="N907" s="31">
        <v>5683584.8399999999</v>
      </c>
      <c r="O907" s="31">
        <v>0</v>
      </c>
      <c r="P907" s="31">
        <v>0</v>
      </c>
      <c r="Q907" s="31">
        <v>0</v>
      </c>
      <c r="R907" s="31">
        <v>0</v>
      </c>
      <c r="S907" s="31">
        <v>0</v>
      </c>
      <c r="T907" s="31">
        <v>0</v>
      </c>
      <c r="U907" s="31">
        <v>0</v>
      </c>
      <c r="V907" s="31">
        <v>0</v>
      </c>
      <c r="W907" s="31">
        <v>0</v>
      </c>
      <c r="X907" s="31">
        <v>0</v>
      </c>
      <c r="Y907" s="31">
        <v>0</v>
      </c>
      <c r="Z907" s="31">
        <v>0</v>
      </c>
      <c r="AA907" s="31">
        <v>0</v>
      </c>
      <c r="AB907" s="31">
        <v>0</v>
      </c>
      <c r="AC907" s="31">
        <f>ROUND(N907*0.449%,2)</f>
        <v>25519.3</v>
      </c>
      <c r="AD907" s="31">
        <v>0</v>
      </c>
      <c r="AE907" s="31">
        <v>0</v>
      </c>
      <c r="AF907" s="34" t="s">
        <v>270</v>
      </c>
      <c r="AG907" s="34">
        <v>2021</v>
      </c>
      <c r="AH907" s="34">
        <v>2021</v>
      </c>
      <c r="BZ907" s="71"/>
      <c r="CD907" s="20" t="e">
        <f t="shared" si="254"/>
        <v>#N/A</v>
      </c>
    </row>
    <row r="908" spans="1:82" ht="61.5" x14ac:dyDescent="0.85">
      <c r="A908" s="20">
        <v>1</v>
      </c>
      <c r="B908" s="66">
        <f>SUBTOTAL(103,$A$558:A908)</f>
        <v>314</v>
      </c>
      <c r="C908" s="24" t="s">
        <v>63</v>
      </c>
      <c r="D908" s="31">
        <f>E908+F908+G908+H908+I908+J908+L908+N908+P908+R908+T908+U908+V908+W908+X908+Y908+Z908+AA908+AB908+AC908+AD908+AE908</f>
        <v>6173366.919999999</v>
      </c>
      <c r="E908" s="31">
        <v>0</v>
      </c>
      <c r="F908" s="31">
        <v>0</v>
      </c>
      <c r="G908" s="31">
        <v>0</v>
      </c>
      <c r="H908" s="31">
        <v>0</v>
      </c>
      <c r="I908" s="31">
        <v>0</v>
      </c>
      <c r="J908" s="31">
        <v>0</v>
      </c>
      <c r="K908" s="74">
        <v>0</v>
      </c>
      <c r="L908" s="31">
        <v>0</v>
      </c>
      <c r="M908" s="31">
        <v>1420</v>
      </c>
      <c r="N908" s="31">
        <f>5786396.52+295738.38</f>
        <v>6082134.8999999994</v>
      </c>
      <c r="O908" s="31">
        <v>0</v>
      </c>
      <c r="P908" s="31">
        <v>0</v>
      </c>
      <c r="Q908" s="31">
        <v>0</v>
      </c>
      <c r="R908" s="31">
        <v>0</v>
      </c>
      <c r="S908" s="31">
        <v>0</v>
      </c>
      <c r="T908" s="31">
        <v>0</v>
      </c>
      <c r="U908" s="31">
        <v>0</v>
      </c>
      <c r="V908" s="31">
        <v>0</v>
      </c>
      <c r="W908" s="31">
        <v>0</v>
      </c>
      <c r="X908" s="31">
        <v>0</v>
      </c>
      <c r="Y908" s="31">
        <v>0</v>
      </c>
      <c r="Z908" s="31">
        <v>0</v>
      </c>
      <c r="AA908" s="31">
        <v>0</v>
      </c>
      <c r="AB908" s="31">
        <v>0</v>
      </c>
      <c r="AC908" s="31">
        <f>ROUND(N908*1.5%,2)</f>
        <v>91232.02</v>
      </c>
      <c r="AD908" s="31">
        <v>0</v>
      </c>
      <c r="AE908" s="31">
        <v>0</v>
      </c>
      <c r="AF908" s="34" t="s">
        <v>270</v>
      </c>
      <c r="AG908" s="34">
        <v>2021</v>
      </c>
      <c r="AH908" s="34">
        <v>2021</v>
      </c>
      <c r="AT908" s="20" t="e">
        <f>VLOOKUP(C908,AW:AX,2,FALSE)</f>
        <v>#N/A</v>
      </c>
      <c r="BZ908" s="71"/>
      <c r="CD908" s="20" t="e">
        <f t="shared" si="254"/>
        <v>#N/A</v>
      </c>
    </row>
    <row r="909" spans="1:82" ht="61.5" x14ac:dyDescent="0.85">
      <c r="A909" s="20">
        <v>1</v>
      </c>
      <c r="B909" s="66">
        <f>SUBTOTAL(103,$A$558:A909)</f>
        <v>315</v>
      </c>
      <c r="C909" s="24" t="s">
        <v>52</v>
      </c>
      <c r="D909" s="31">
        <f>E909+F909+G909+H909+I909+J909+L909+N909+P909+R909+T909+U909+V909+W909+X909+Y909+Z909+AA909+AB909+AC909+AD909+AE909</f>
        <v>5691927.6600000001</v>
      </c>
      <c r="E909" s="31">
        <v>0</v>
      </c>
      <c r="F909" s="31">
        <v>0</v>
      </c>
      <c r="G909" s="31">
        <v>0</v>
      </c>
      <c r="H909" s="31">
        <v>0</v>
      </c>
      <c r="I909" s="31">
        <v>0</v>
      </c>
      <c r="J909" s="31">
        <v>0</v>
      </c>
      <c r="K909" s="74">
        <v>0</v>
      </c>
      <c r="L909" s="31">
        <v>0</v>
      </c>
      <c r="M909" s="31">
        <v>1361</v>
      </c>
      <c r="N909" s="31">
        <v>5607810.5</v>
      </c>
      <c r="O909" s="31">
        <v>0</v>
      </c>
      <c r="P909" s="31">
        <v>0</v>
      </c>
      <c r="Q909" s="31">
        <v>0</v>
      </c>
      <c r="R909" s="31">
        <v>0</v>
      </c>
      <c r="S909" s="31">
        <v>0</v>
      </c>
      <c r="T909" s="31">
        <v>0</v>
      </c>
      <c r="U909" s="31">
        <v>0</v>
      </c>
      <c r="V909" s="31">
        <v>0</v>
      </c>
      <c r="W909" s="31">
        <v>0</v>
      </c>
      <c r="X909" s="31">
        <v>0</v>
      </c>
      <c r="Y909" s="31">
        <v>0</v>
      </c>
      <c r="Z909" s="31">
        <v>0</v>
      </c>
      <c r="AA909" s="31">
        <v>0</v>
      </c>
      <c r="AB909" s="31">
        <v>0</v>
      </c>
      <c r="AC909" s="31">
        <f>ROUND(N909*1.5%,2)</f>
        <v>84117.16</v>
      </c>
      <c r="AD909" s="31">
        <v>0</v>
      </c>
      <c r="AE909" s="31">
        <v>0</v>
      </c>
      <c r="AF909" s="34" t="s">
        <v>270</v>
      </c>
      <c r="AG909" s="34">
        <v>2021</v>
      </c>
      <c r="AH909" s="34">
        <v>2021</v>
      </c>
      <c r="AT909" s="20" t="e">
        <f>VLOOKUP(C909,AW:AX,2,FALSE)</f>
        <v>#N/A</v>
      </c>
      <c r="BZ909" s="71"/>
      <c r="CD909" s="20" t="e">
        <f t="shared" si="254"/>
        <v>#N/A</v>
      </c>
    </row>
    <row r="910" spans="1:82" ht="61.5" x14ac:dyDescent="0.85">
      <c r="B910" s="24" t="s">
        <v>882</v>
      </c>
      <c r="C910" s="24"/>
      <c r="D910" s="195">
        <f>SUM(D911:D912)</f>
        <v>5796065.7599999998</v>
      </c>
      <c r="E910" s="31">
        <f t="shared" ref="E910:AE910" si="264">SUM(E911:E912)</f>
        <v>0</v>
      </c>
      <c r="F910" s="31">
        <f t="shared" si="264"/>
        <v>0</v>
      </c>
      <c r="G910" s="31">
        <f t="shared" si="264"/>
        <v>0</v>
      </c>
      <c r="H910" s="31">
        <f t="shared" si="264"/>
        <v>0</v>
      </c>
      <c r="I910" s="31">
        <f t="shared" si="264"/>
        <v>0</v>
      </c>
      <c r="J910" s="31">
        <f t="shared" si="264"/>
        <v>0</v>
      </c>
      <c r="K910" s="33">
        <f t="shared" si="264"/>
        <v>0</v>
      </c>
      <c r="L910" s="31">
        <f t="shared" si="264"/>
        <v>0</v>
      </c>
      <c r="M910" s="31">
        <f t="shared" si="264"/>
        <v>1121.5999999999999</v>
      </c>
      <c r="N910" s="31">
        <f t="shared" si="264"/>
        <v>5444399.7699999996</v>
      </c>
      <c r="O910" s="31">
        <f t="shared" si="264"/>
        <v>0</v>
      </c>
      <c r="P910" s="31">
        <f t="shared" si="264"/>
        <v>0</v>
      </c>
      <c r="Q910" s="31">
        <f t="shared" si="264"/>
        <v>0</v>
      </c>
      <c r="R910" s="31">
        <f t="shared" si="264"/>
        <v>0</v>
      </c>
      <c r="S910" s="31">
        <f t="shared" si="264"/>
        <v>0</v>
      </c>
      <c r="T910" s="31">
        <f t="shared" si="264"/>
        <v>0</v>
      </c>
      <c r="U910" s="31">
        <f t="shared" si="264"/>
        <v>0</v>
      </c>
      <c r="V910" s="31">
        <f t="shared" si="264"/>
        <v>0</v>
      </c>
      <c r="W910" s="31">
        <f t="shared" si="264"/>
        <v>0</v>
      </c>
      <c r="X910" s="31">
        <f t="shared" si="264"/>
        <v>0</v>
      </c>
      <c r="Y910" s="31">
        <f t="shared" si="264"/>
        <v>0</v>
      </c>
      <c r="Z910" s="31">
        <f t="shared" si="264"/>
        <v>0</v>
      </c>
      <c r="AA910" s="31">
        <f t="shared" si="264"/>
        <v>0</v>
      </c>
      <c r="AB910" s="31">
        <f t="shared" si="264"/>
        <v>0</v>
      </c>
      <c r="AC910" s="31">
        <f t="shared" si="264"/>
        <v>81665.989999999991</v>
      </c>
      <c r="AD910" s="31">
        <f t="shared" si="264"/>
        <v>150000</v>
      </c>
      <c r="AE910" s="31">
        <f t="shared" si="264"/>
        <v>120000</v>
      </c>
      <c r="AF910" s="72" t="s">
        <v>757</v>
      </c>
      <c r="AG910" s="72" t="s">
        <v>757</v>
      </c>
      <c r="AH910" s="87" t="s">
        <v>757</v>
      </c>
      <c r="AT910" s="20" t="e">
        <f>VLOOKUP(C910,AW:AX,2,FALSE)</f>
        <v>#N/A</v>
      </c>
      <c r="BZ910" s="71">
        <v>3274450.4</v>
      </c>
      <c r="CD910" s="20" t="e">
        <f t="shared" si="254"/>
        <v>#N/A</v>
      </c>
    </row>
    <row r="911" spans="1:82" ht="61.5" x14ac:dyDescent="0.85">
      <c r="A911" s="20">
        <v>1</v>
      </c>
      <c r="B911" s="66">
        <f>SUBTOTAL(103,$A$558:A911)</f>
        <v>316</v>
      </c>
      <c r="C911" s="24" t="s">
        <v>55</v>
      </c>
      <c r="D911" s="31">
        <f>E911+F911+G911+H911+I911+J911+L911+N911+P911+R911+T911+U911+V911+W911+X911+Y911+Z911+AA911+AB911+AC911+AD911+AE911</f>
        <v>3274450.4</v>
      </c>
      <c r="E911" s="31">
        <v>0</v>
      </c>
      <c r="F911" s="31">
        <v>0</v>
      </c>
      <c r="G911" s="31">
        <v>0</v>
      </c>
      <c r="H911" s="31">
        <v>0</v>
      </c>
      <c r="I911" s="31">
        <v>0</v>
      </c>
      <c r="J911" s="31">
        <v>0</v>
      </c>
      <c r="K911" s="33">
        <v>0</v>
      </c>
      <c r="L911" s="31">
        <v>0</v>
      </c>
      <c r="M911" s="31">
        <v>609.79999999999995</v>
      </c>
      <c r="N911" s="31">
        <v>3078276.26</v>
      </c>
      <c r="O911" s="31">
        <v>0</v>
      </c>
      <c r="P911" s="31">
        <v>0</v>
      </c>
      <c r="Q911" s="31">
        <v>0</v>
      </c>
      <c r="R911" s="31">
        <v>0</v>
      </c>
      <c r="S911" s="31">
        <v>0</v>
      </c>
      <c r="T911" s="31">
        <v>0</v>
      </c>
      <c r="U911" s="31">
        <v>0</v>
      </c>
      <c r="V911" s="31">
        <v>0</v>
      </c>
      <c r="W911" s="31">
        <v>0</v>
      </c>
      <c r="X911" s="31">
        <v>0</v>
      </c>
      <c r="Y911" s="31">
        <v>0</v>
      </c>
      <c r="Z911" s="31">
        <v>0</v>
      </c>
      <c r="AA911" s="31">
        <v>0</v>
      </c>
      <c r="AB911" s="31">
        <v>0</v>
      </c>
      <c r="AC911" s="31">
        <f>ROUND(N911*1.5%,2)</f>
        <v>46174.14</v>
      </c>
      <c r="AD911" s="31">
        <v>150000</v>
      </c>
      <c r="AE911" s="31">
        <v>0</v>
      </c>
      <c r="AF911" s="34">
        <v>2021</v>
      </c>
      <c r="AG911" s="34">
        <v>2021</v>
      </c>
      <c r="AH911" s="35">
        <v>2021</v>
      </c>
      <c r="AT911" s="20" t="e">
        <f>VLOOKUP(C911,AW:AX,2,FALSE)</f>
        <v>#N/A</v>
      </c>
      <c r="BZ911" s="71"/>
      <c r="CD911" s="20" t="e">
        <f t="shared" si="254"/>
        <v>#N/A</v>
      </c>
    </row>
    <row r="912" spans="1:82" ht="61.5" x14ac:dyDescent="0.85">
      <c r="A912" s="20">
        <v>1</v>
      </c>
      <c r="B912" s="66">
        <f>SUBTOTAL(103,$A$558:A912)</f>
        <v>317</v>
      </c>
      <c r="C912" s="24" t="s">
        <v>1257</v>
      </c>
      <c r="D912" s="31">
        <f>E912+F912+G912+H912+I912+J912+L912+N912+P912+R912+T912+U912+V912+W912+X912+Y912+Z912+AA912+AB912+AC912+AD912+AE912</f>
        <v>2521615.3599999999</v>
      </c>
      <c r="E912" s="31">
        <v>0</v>
      </c>
      <c r="F912" s="31">
        <v>0</v>
      </c>
      <c r="G912" s="31">
        <v>0</v>
      </c>
      <c r="H912" s="31">
        <v>0</v>
      </c>
      <c r="I912" s="31">
        <v>0</v>
      </c>
      <c r="J912" s="31">
        <v>0</v>
      </c>
      <c r="K912" s="33">
        <v>0</v>
      </c>
      <c r="L912" s="31">
        <v>0</v>
      </c>
      <c r="M912" s="31">
        <v>511.8</v>
      </c>
      <c r="N912" s="31">
        <f>2095100.24+271023.27</f>
        <v>2366123.5099999998</v>
      </c>
      <c r="O912" s="31">
        <v>0</v>
      </c>
      <c r="P912" s="31">
        <v>0</v>
      </c>
      <c r="Q912" s="31">
        <v>0</v>
      </c>
      <c r="R912" s="31">
        <v>0</v>
      </c>
      <c r="S912" s="31">
        <v>0</v>
      </c>
      <c r="T912" s="31">
        <v>0</v>
      </c>
      <c r="U912" s="31">
        <v>0</v>
      </c>
      <c r="V912" s="31">
        <v>0</v>
      </c>
      <c r="W912" s="31">
        <v>0</v>
      </c>
      <c r="X912" s="31">
        <v>0</v>
      </c>
      <c r="Y912" s="31">
        <v>0</v>
      </c>
      <c r="Z912" s="31">
        <v>0</v>
      </c>
      <c r="AA912" s="31">
        <v>0</v>
      </c>
      <c r="AB912" s="31">
        <v>0</v>
      </c>
      <c r="AC912" s="31">
        <f>ROUND(N912*1.5%,2)</f>
        <v>35491.85</v>
      </c>
      <c r="AD912" s="31">
        <v>0</v>
      </c>
      <c r="AE912" s="31">
        <v>120000</v>
      </c>
      <c r="AF912" s="34" t="s">
        <v>270</v>
      </c>
      <c r="AG912" s="34">
        <v>2021</v>
      </c>
      <c r="AH912" s="34">
        <v>2021</v>
      </c>
      <c r="BZ912" s="71"/>
      <c r="CD912" s="20">
        <f t="shared" si="254"/>
        <v>511.8</v>
      </c>
    </row>
    <row r="913" spans="1:82" ht="61.5" x14ac:dyDescent="0.85">
      <c r="B913" s="24" t="s">
        <v>889</v>
      </c>
      <c r="C913" s="24"/>
      <c r="D913" s="195">
        <f t="shared" ref="D913:AE913" si="265">D914</f>
        <v>3707032</v>
      </c>
      <c r="E913" s="31">
        <f t="shared" si="265"/>
        <v>0</v>
      </c>
      <c r="F913" s="31">
        <f t="shared" si="265"/>
        <v>0</v>
      </c>
      <c r="G913" s="31">
        <f t="shared" si="265"/>
        <v>0</v>
      </c>
      <c r="H913" s="31">
        <f t="shared" si="265"/>
        <v>0</v>
      </c>
      <c r="I913" s="31">
        <f t="shared" si="265"/>
        <v>0</v>
      </c>
      <c r="J913" s="31">
        <f t="shared" si="265"/>
        <v>0</v>
      </c>
      <c r="K913" s="33">
        <f t="shared" si="265"/>
        <v>0</v>
      </c>
      <c r="L913" s="31">
        <f t="shared" si="265"/>
        <v>0</v>
      </c>
      <c r="M913" s="31">
        <f t="shared" si="265"/>
        <v>0</v>
      </c>
      <c r="N913" s="31">
        <f t="shared" si="265"/>
        <v>0</v>
      </c>
      <c r="O913" s="31">
        <f t="shared" si="265"/>
        <v>0</v>
      </c>
      <c r="P913" s="31">
        <f t="shared" si="265"/>
        <v>0</v>
      </c>
      <c r="Q913" s="31">
        <f t="shared" si="265"/>
        <v>350</v>
      </c>
      <c r="R913" s="31">
        <f t="shared" si="265"/>
        <v>3504465.02</v>
      </c>
      <c r="S913" s="31">
        <f t="shared" si="265"/>
        <v>0</v>
      </c>
      <c r="T913" s="31">
        <f t="shared" si="265"/>
        <v>0</v>
      </c>
      <c r="U913" s="31">
        <f t="shared" si="265"/>
        <v>0</v>
      </c>
      <c r="V913" s="31">
        <f t="shared" si="265"/>
        <v>0</v>
      </c>
      <c r="W913" s="31">
        <f t="shared" si="265"/>
        <v>0</v>
      </c>
      <c r="X913" s="31">
        <f t="shared" si="265"/>
        <v>0</v>
      </c>
      <c r="Y913" s="31">
        <f t="shared" si="265"/>
        <v>0</v>
      </c>
      <c r="Z913" s="31">
        <f t="shared" si="265"/>
        <v>0</v>
      </c>
      <c r="AA913" s="31">
        <f t="shared" si="265"/>
        <v>0</v>
      </c>
      <c r="AB913" s="31">
        <f t="shared" si="265"/>
        <v>0</v>
      </c>
      <c r="AC913" s="31">
        <f t="shared" si="265"/>
        <v>52566.98</v>
      </c>
      <c r="AD913" s="31">
        <f t="shared" si="265"/>
        <v>150000</v>
      </c>
      <c r="AE913" s="31">
        <f t="shared" si="265"/>
        <v>0</v>
      </c>
      <c r="AF913" s="72" t="s">
        <v>757</v>
      </c>
      <c r="AG913" s="72" t="s">
        <v>757</v>
      </c>
      <c r="AH913" s="87" t="s">
        <v>757</v>
      </c>
      <c r="AT913" s="20" t="e">
        <f>VLOOKUP(C913,AW:AX,2,FALSE)</f>
        <v>#N/A</v>
      </c>
      <c r="BZ913" s="71">
        <v>3274450.4</v>
      </c>
      <c r="CD913" s="20" t="e">
        <f t="shared" ref="CD913:CD933" si="266">VLOOKUP(C913,CE:CF,2,FALSE)</f>
        <v>#N/A</v>
      </c>
    </row>
    <row r="914" spans="1:82" ht="61.5" x14ac:dyDescent="0.85">
      <c r="A914" s="20">
        <v>1</v>
      </c>
      <c r="B914" s="66">
        <f>SUBTOTAL(103,$A$558:A914)</f>
        <v>318</v>
      </c>
      <c r="C914" s="24" t="s">
        <v>1710</v>
      </c>
      <c r="D914" s="31">
        <f>E914+F914+G914+H914+I914+J914+L914+N914+P914+R914+T914+U914+V914+W914+X914+Y914+Z914+AA914+AB914+AC914+AD914+AE914</f>
        <v>3707032</v>
      </c>
      <c r="E914" s="31">
        <v>0</v>
      </c>
      <c r="F914" s="31">
        <v>0</v>
      </c>
      <c r="G914" s="31">
        <v>0</v>
      </c>
      <c r="H914" s="31">
        <v>0</v>
      </c>
      <c r="I914" s="31">
        <v>0</v>
      </c>
      <c r="J914" s="31">
        <v>0</v>
      </c>
      <c r="K914" s="33">
        <v>0</v>
      </c>
      <c r="L914" s="31">
        <v>0</v>
      </c>
      <c r="M914" s="31">
        <v>0</v>
      </c>
      <c r="N914" s="31">
        <v>0</v>
      </c>
      <c r="O914" s="31">
        <v>0</v>
      </c>
      <c r="P914" s="31">
        <v>0</v>
      </c>
      <c r="Q914" s="31">
        <v>350</v>
      </c>
      <c r="R914" s="31">
        <v>3504465.02</v>
      </c>
      <c r="S914" s="31">
        <v>0</v>
      </c>
      <c r="T914" s="31">
        <v>0</v>
      </c>
      <c r="U914" s="31">
        <v>0</v>
      </c>
      <c r="V914" s="31">
        <v>0</v>
      </c>
      <c r="W914" s="31">
        <v>0</v>
      </c>
      <c r="X914" s="31">
        <v>0</v>
      </c>
      <c r="Y914" s="31">
        <v>0</v>
      </c>
      <c r="Z914" s="31">
        <v>0</v>
      </c>
      <c r="AA914" s="31">
        <v>0</v>
      </c>
      <c r="AB914" s="31">
        <v>0</v>
      </c>
      <c r="AC914" s="31">
        <f>ROUND(R914*1.5%,2)</f>
        <v>52566.98</v>
      </c>
      <c r="AD914" s="31">
        <v>150000</v>
      </c>
      <c r="AE914" s="31">
        <v>0</v>
      </c>
      <c r="AF914" s="34">
        <v>2021</v>
      </c>
      <c r="AG914" s="34">
        <v>2021</v>
      </c>
      <c r="AH914" s="35">
        <v>2021</v>
      </c>
      <c r="AT914" s="20" t="e">
        <f>VLOOKUP(C914,AW:AX,2,FALSE)</f>
        <v>#N/A</v>
      </c>
      <c r="BZ914" s="71"/>
      <c r="CD914" s="20" t="e">
        <f t="shared" si="266"/>
        <v>#N/A</v>
      </c>
    </row>
    <row r="915" spans="1:82" ht="61.5" x14ac:dyDescent="0.85">
      <c r="B915" s="24" t="s">
        <v>849</v>
      </c>
      <c r="C915" s="24"/>
      <c r="D915" s="195">
        <f t="shared" ref="D915:AE915" si="267">SUM(D916:D920)</f>
        <v>25990852.659999996</v>
      </c>
      <c r="E915" s="31">
        <f t="shared" si="267"/>
        <v>807971.21</v>
      </c>
      <c r="F915" s="31">
        <f t="shared" si="267"/>
        <v>2150667.5499999998</v>
      </c>
      <c r="G915" s="31">
        <f t="shared" si="267"/>
        <v>5403583.4100000001</v>
      </c>
      <c r="H915" s="31">
        <f t="shared" si="267"/>
        <v>2522099.34</v>
      </c>
      <c r="I915" s="31">
        <f t="shared" si="267"/>
        <v>2823224.32</v>
      </c>
      <c r="J915" s="31">
        <f t="shared" si="267"/>
        <v>0</v>
      </c>
      <c r="K915" s="33">
        <f t="shared" si="267"/>
        <v>0</v>
      </c>
      <c r="L915" s="31">
        <f t="shared" si="267"/>
        <v>0</v>
      </c>
      <c r="M915" s="31">
        <f t="shared" si="267"/>
        <v>1955.3</v>
      </c>
      <c r="N915" s="31">
        <f t="shared" si="267"/>
        <v>11434484.58</v>
      </c>
      <c r="O915" s="31">
        <f t="shared" si="267"/>
        <v>0</v>
      </c>
      <c r="P915" s="31">
        <f t="shared" si="267"/>
        <v>0</v>
      </c>
      <c r="Q915" s="31">
        <f t="shared" si="267"/>
        <v>0</v>
      </c>
      <c r="R915" s="31">
        <f t="shared" si="267"/>
        <v>0</v>
      </c>
      <c r="S915" s="31">
        <f t="shared" si="267"/>
        <v>0</v>
      </c>
      <c r="T915" s="31">
        <f t="shared" si="267"/>
        <v>0</v>
      </c>
      <c r="U915" s="31">
        <f t="shared" si="267"/>
        <v>0</v>
      </c>
      <c r="V915" s="31">
        <f t="shared" si="267"/>
        <v>0</v>
      </c>
      <c r="W915" s="31">
        <f t="shared" si="267"/>
        <v>0</v>
      </c>
      <c r="X915" s="31">
        <f t="shared" si="267"/>
        <v>0</v>
      </c>
      <c r="Y915" s="31">
        <f t="shared" si="267"/>
        <v>0</v>
      </c>
      <c r="Z915" s="31">
        <f t="shared" si="267"/>
        <v>0</v>
      </c>
      <c r="AA915" s="31">
        <f t="shared" si="267"/>
        <v>0</v>
      </c>
      <c r="AB915" s="31">
        <f t="shared" si="267"/>
        <v>0</v>
      </c>
      <c r="AC915" s="31">
        <f t="shared" si="267"/>
        <v>278822.25</v>
      </c>
      <c r="AD915" s="31">
        <f t="shared" si="267"/>
        <v>570000</v>
      </c>
      <c r="AE915" s="31">
        <f t="shared" si="267"/>
        <v>0</v>
      </c>
      <c r="AF915" s="72" t="s">
        <v>757</v>
      </c>
      <c r="AG915" s="72" t="s">
        <v>757</v>
      </c>
      <c r="AH915" s="87" t="s">
        <v>757</v>
      </c>
      <c r="AT915" s="20" t="e">
        <f>VLOOKUP(C915,AW:AX,2,FALSE)</f>
        <v>#N/A</v>
      </c>
      <c r="BZ915" s="71">
        <v>12199052.439999999</v>
      </c>
      <c r="CD915" s="20" t="e">
        <f t="shared" si="266"/>
        <v>#N/A</v>
      </c>
    </row>
    <row r="916" spans="1:82" ht="61.5" x14ac:dyDescent="0.85">
      <c r="A916" s="20">
        <v>1</v>
      </c>
      <c r="B916" s="66">
        <f>SUBTOTAL(103,$A$558:A916)</f>
        <v>319</v>
      </c>
      <c r="C916" s="24" t="s">
        <v>56</v>
      </c>
      <c r="D916" s="31">
        <f>E916+F916+G916+H916+I916+J916+L916+N916+P916+R916+T916+U916+V916+W916+X916+Y916+Z916+AA916+AB916+AC916+AD916+AE916</f>
        <v>4719977.0600000005</v>
      </c>
      <c r="E916" s="31">
        <v>0</v>
      </c>
      <c r="F916" s="31">
        <v>0</v>
      </c>
      <c r="G916" s="31">
        <v>3177624.7</v>
      </c>
      <c r="H916" s="31">
        <v>1177032.5</v>
      </c>
      <c r="I916" s="31">
        <v>0</v>
      </c>
      <c r="J916" s="31">
        <v>0</v>
      </c>
      <c r="K916" s="33">
        <v>0</v>
      </c>
      <c r="L916" s="31">
        <v>0</v>
      </c>
      <c r="M916" s="31">
        <v>0</v>
      </c>
      <c r="N916" s="31">
        <v>0</v>
      </c>
      <c r="O916" s="31">
        <v>0</v>
      </c>
      <c r="P916" s="31">
        <v>0</v>
      </c>
      <c r="Q916" s="31">
        <v>0</v>
      </c>
      <c r="R916" s="31">
        <v>0</v>
      </c>
      <c r="S916" s="31">
        <v>0</v>
      </c>
      <c r="T916" s="31">
        <v>0</v>
      </c>
      <c r="U916" s="31">
        <v>0</v>
      </c>
      <c r="V916" s="31">
        <v>0</v>
      </c>
      <c r="W916" s="31">
        <v>0</v>
      </c>
      <c r="X916" s="31">
        <v>0</v>
      </c>
      <c r="Y916" s="31">
        <v>0</v>
      </c>
      <c r="Z916" s="31">
        <v>0</v>
      </c>
      <c r="AA916" s="31">
        <v>0</v>
      </c>
      <c r="AB916" s="31">
        <v>0</v>
      </c>
      <c r="AC916" s="31">
        <f>ROUND((E916+F916+G916+H916+I916+J916)*1.5%,2)</f>
        <v>65319.86</v>
      </c>
      <c r="AD916" s="31">
        <v>300000</v>
      </c>
      <c r="AE916" s="31">
        <v>0</v>
      </c>
      <c r="AF916" s="34">
        <v>2021</v>
      </c>
      <c r="AG916" s="34">
        <v>2021</v>
      </c>
      <c r="AH916" s="35">
        <v>2021</v>
      </c>
      <c r="AT916" s="20" t="e">
        <f>VLOOKUP(C916,AW:AX,2,FALSE)</f>
        <v>#N/A</v>
      </c>
      <c r="BZ916" s="71"/>
      <c r="CD916" s="20" t="e">
        <f t="shared" si="266"/>
        <v>#N/A</v>
      </c>
    </row>
    <row r="917" spans="1:82" ht="61.5" x14ac:dyDescent="0.85">
      <c r="A917" s="20">
        <v>1</v>
      </c>
      <c r="B917" s="66">
        <f>SUBTOTAL(103,$A$558:A917)</f>
        <v>320</v>
      </c>
      <c r="C917" s="24" t="s">
        <v>46</v>
      </c>
      <c r="D917" s="31">
        <f>E917+F917+G917+H917+I917+J917+L917+N917+P917+R917+T917+U917+V917+W917+X917+Y917+Z917+AA917+AB917+AC917+AD917+AE917</f>
        <v>5201936.34</v>
      </c>
      <c r="E917" s="31">
        <v>0</v>
      </c>
      <c r="F917" s="31">
        <v>0</v>
      </c>
      <c r="G917" s="31">
        <v>0</v>
      </c>
      <c r="H917" s="31">
        <v>0</v>
      </c>
      <c r="I917" s="31">
        <v>0</v>
      </c>
      <c r="J917" s="31">
        <v>0</v>
      </c>
      <c r="K917" s="33">
        <v>0</v>
      </c>
      <c r="L917" s="31">
        <v>0</v>
      </c>
      <c r="M917" s="31">
        <v>716.7</v>
      </c>
      <c r="N917" s="31">
        <f>3741391.06+1235886.12</f>
        <v>4977277.18</v>
      </c>
      <c r="O917" s="31">
        <v>0</v>
      </c>
      <c r="P917" s="31">
        <v>0</v>
      </c>
      <c r="Q917" s="31">
        <v>0</v>
      </c>
      <c r="R917" s="31">
        <v>0</v>
      </c>
      <c r="S917" s="31">
        <v>0</v>
      </c>
      <c r="T917" s="31">
        <v>0</v>
      </c>
      <c r="U917" s="31">
        <v>0</v>
      </c>
      <c r="V917" s="31">
        <v>0</v>
      </c>
      <c r="W917" s="31">
        <v>0</v>
      </c>
      <c r="X917" s="31">
        <v>0</v>
      </c>
      <c r="Y917" s="31">
        <v>0</v>
      </c>
      <c r="Z917" s="31">
        <v>0</v>
      </c>
      <c r="AA917" s="31">
        <v>0</v>
      </c>
      <c r="AB917" s="31">
        <v>0</v>
      </c>
      <c r="AC917" s="31">
        <f>ROUND(N917*1.5%,2)</f>
        <v>74659.16</v>
      </c>
      <c r="AD917" s="31">
        <v>150000</v>
      </c>
      <c r="AE917" s="31">
        <v>0</v>
      </c>
      <c r="AF917" s="34">
        <v>2021</v>
      </c>
      <c r="AG917" s="34">
        <v>2021</v>
      </c>
      <c r="AH917" s="35">
        <v>2021</v>
      </c>
      <c r="AT917" s="20" t="e">
        <f>VLOOKUP(C917,AW:AX,2,FALSE)</f>
        <v>#N/A</v>
      </c>
      <c r="BZ917" s="71"/>
      <c r="CD917" s="20" t="e">
        <f t="shared" si="266"/>
        <v>#N/A</v>
      </c>
    </row>
    <row r="918" spans="1:82" ht="61.5" x14ac:dyDescent="0.85">
      <c r="A918" s="20">
        <v>1</v>
      </c>
      <c r="B918" s="66">
        <f>SUBTOTAL(103,$A$558:A918)</f>
        <v>321</v>
      </c>
      <c r="C918" s="24" t="s">
        <v>1609</v>
      </c>
      <c r="D918" s="31">
        <f>E918+F918+G918+H918+I918+J918+L918+N918+P918+R918+T918+U918+V918+W918+X918+Y918+Z918+AA918+AB918+AC918+AD918+AE918</f>
        <v>3531563.4499999997</v>
      </c>
      <c r="E918" s="31">
        <v>0</v>
      </c>
      <c r="F918" s="31">
        <v>0</v>
      </c>
      <c r="G918" s="31">
        <v>0</v>
      </c>
      <c r="H918" s="31">
        <v>0</v>
      </c>
      <c r="I918" s="31">
        <v>0</v>
      </c>
      <c r="J918" s="31">
        <v>0</v>
      </c>
      <c r="K918" s="33">
        <v>0</v>
      </c>
      <c r="L918" s="31">
        <v>0</v>
      </c>
      <c r="M918" s="31">
        <v>611.9</v>
      </c>
      <c r="N918" s="31">
        <f>3000000+361146.26</f>
        <v>3361146.26</v>
      </c>
      <c r="O918" s="31">
        <v>0</v>
      </c>
      <c r="P918" s="31">
        <v>0</v>
      </c>
      <c r="Q918" s="31">
        <v>0</v>
      </c>
      <c r="R918" s="31">
        <v>0</v>
      </c>
      <c r="S918" s="31">
        <v>0</v>
      </c>
      <c r="T918" s="31">
        <v>0</v>
      </c>
      <c r="U918" s="31">
        <v>0</v>
      </c>
      <c r="V918" s="31">
        <v>0</v>
      </c>
      <c r="W918" s="31">
        <v>0</v>
      </c>
      <c r="X918" s="31">
        <v>0</v>
      </c>
      <c r="Y918" s="31">
        <v>0</v>
      </c>
      <c r="Z918" s="31">
        <v>0</v>
      </c>
      <c r="AA918" s="31">
        <v>0</v>
      </c>
      <c r="AB918" s="31">
        <v>0</v>
      </c>
      <c r="AC918" s="31">
        <f>ROUND(N918*1.5%,2)</f>
        <v>50417.19</v>
      </c>
      <c r="AD918" s="31">
        <v>120000</v>
      </c>
      <c r="AE918" s="31">
        <v>0</v>
      </c>
      <c r="AF918" s="34">
        <v>2021</v>
      </c>
      <c r="AG918" s="34">
        <v>2021</v>
      </c>
      <c r="AH918" s="35">
        <v>2021</v>
      </c>
      <c r="BZ918" s="71"/>
      <c r="CD918" s="20" t="e">
        <f t="shared" si="266"/>
        <v>#N/A</v>
      </c>
    </row>
    <row r="919" spans="1:82" ht="61.5" x14ac:dyDescent="0.85">
      <c r="A919" s="20">
        <v>1</v>
      </c>
      <c r="B919" s="66">
        <f>SUBTOTAL(103,$A$558:A919)</f>
        <v>322</v>
      </c>
      <c r="C919" s="24" t="s">
        <v>47</v>
      </c>
      <c r="D919" s="31">
        <f t="shared" ref="D919" si="268">E919+F919+G919+H919+I919+J919+L919+N919+P919+R919+T919+U919+V919+W919+X919+Y919+Z919+AA919+AB919+AC919+AD919+AE919</f>
        <v>3142502.06</v>
      </c>
      <c r="E919" s="31">
        <v>0</v>
      </c>
      <c r="F919" s="31">
        <v>0</v>
      </c>
      <c r="G919" s="31">
        <v>0</v>
      </c>
      <c r="H919" s="31">
        <v>0</v>
      </c>
      <c r="I919" s="31">
        <v>0</v>
      </c>
      <c r="J919" s="31">
        <v>0</v>
      </c>
      <c r="K919" s="74">
        <v>0</v>
      </c>
      <c r="L919" s="31">
        <v>0</v>
      </c>
      <c r="M919" s="31">
        <v>626.70000000000005</v>
      </c>
      <c r="N919" s="31">
        <v>3096061.14</v>
      </c>
      <c r="O919" s="31">
        <v>0</v>
      </c>
      <c r="P919" s="31">
        <v>0</v>
      </c>
      <c r="Q919" s="31">
        <v>0</v>
      </c>
      <c r="R919" s="31">
        <v>0</v>
      </c>
      <c r="S919" s="31">
        <v>0</v>
      </c>
      <c r="T919" s="31">
        <v>0</v>
      </c>
      <c r="U919" s="31">
        <v>0</v>
      </c>
      <c r="V919" s="31">
        <v>0</v>
      </c>
      <c r="W919" s="31">
        <v>0</v>
      </c>
      <c r="X919" s="31">
        <v>0</v>
      </c>
      <c r="Y919" s="31">
        <v>0</v>
      </c>
      <c r="Z919" s="31">
        <v>0</v>
      </c>
      <c r="AA919" s="31">
        <v>0</v>
      </c>
      <c r="AB919" s="31">
        <v>0</v>
      </c>
      <c r="AC919" s="31">
        <f>ROUND(N919*1.5%,2)</f>
        <v>46440.92</v>
      </c>
      <c r="AD919" s="31">
        <v>0</v>
      </c>
      <c r="AE919" s="31">
        <v>0</v>
      </c>
      <c r="AF919" s="34" t="s">
        <v>270</v>
      </c>
      <c r="AG919" s="34">
        <v>2021</v>
      </c>
      <c r="AH919" s="35">
        <v>2021</v>
      </c>
      <c r="AT919" s="20" t="e">
        <f>VLOOKUP(C919,AW:AX,2,FALSE)</f>
        <v>#N/A</v>
      </c>
      <c r="BZ919" s="71"/>
      <c r="CD919" s="20" t="e">
        <f t="shared" si="266"/>
        <v>#N/A</v>
      </c>
    </row>
    <row r="920" spans="1:82" ht="61.5" x14ac:dyDescent="0.85">
      <c r="A920" s="20">
        <v>1</v>
      </c>
      <c r="B920" s="66">
        <f>SUBTOTAL(103,$A$558:A920)</f>
        <v>323</v>
      </c>
      <c r="C920" s="24" t="s">
        <v>1247</v>
      </c>
      <c r="D920" s="31">
        <f>E920+F920+G920+H920+I920+J920+L920+N920+P920+R920+T920+U920+V920+W920+X920+Y920+Z920+AA920+AB920+AC920+AD920+AE920</f>
        <v>9394873.7499999981</v>
      </c>
      <c r="E920" s="31">
        <v>807971.21</v>
      </c>
      <c r="F920" s="31">
        <v>2150667.5499999998</v>
      </c>
      <c r="G920" s="31">
        <f>2197143.37+28815.34</f>
        <v>2225958.71</v>
      </c>
      <c r="H920" s="31">
        <v>1345066.84</v>
      </c>
      <c r="I920" s="31">
        <v>2823224.32</v>
      </c>
      <c r="J920" s="31">
        <v>0</v>
      </c>
      <c r="K920" s="74">
        <v>0</v>
      </c>
      <c r="L920" s="31">
        <v>0</v>
      </c>
      <c r="M920" s="31">
        <v>0</v>
      </c>
      <c r="N920" s="31">
        <v>0</v>
      </c>
      <c r="O920" s="31">
        <v>0</v>
      </c>
      <c r="P920" s="31">
        <v>0</v>
      </c>
      <c r="Q920" s="31">
        <v>0</v>
      </c>
      <c r="R920" s="31">
        <v>0</v>
      </c>
      <c r="S920" s="31">
        <v>0</v>
      </c>
      <c r="T920" s="31">
        <v>0</v>
      </c>
      <c r="U920" s="31">
        <v>0</v>
      </c>
      <c r="V920" s="31">
        <v>0</v>
      </c>
      <c r="W920" s="31">
        <v>0</v>
      </c>
      <c r="X920" s="31">
        <v>0</v>
      </c>
      <c r="Y920" s="31">
        <v>0</v>
      </c>
      <c r="Z920" s="31">
        <v>0</v>
      </c>
      <c r="AA920" s="31">
        <v>0</v>
      </c>
      <c r="AB920" s="31">
        <v>0</v>
      </c>
      <c r="AC920" s="31">
        <f>ROUND((E920+F920+G920+H920+I920+J920)*0.4489%,2)</f>
        <v>41985.120000000003</v>
      </c>
      <c r="AD920" s="31">
        <v>0</v>
      </c>
      <c r="AE920" s="31">
        <v>0</v>
      </c>
      <c r="AF920" s="34" t="s">
        <v>270</v>
      </c>
      <c r="AG920" s="34">
        <v>2021</v>
      </c>
      <c r="AH920" s="35">
        <v>2021</v>
      </c>
      <c r="BZ920" s="71"/>
      <c r="CD920" s="20" t="e">
        <f t="shared" si="266"/>
        <v>#N/A</v>
      </c>
    </row>
    <row r="921" spans="1:82" ht="61.5" x14ac:dyDescent="0.85">
      <c r="B921" s="24" t="s">
        <v>850</v>
      </c>
      <c r="C921" s="24"/>
      <c r="D921" s="195">
        <f t="shared" ref="D921:AE921" si="269">SUM(D922:D924)</f>
        <v>11675176.630000001</v>
      </c>
      <c r="E921" s="31">
        <f t="shared" si="269"/>
        <v>0</v>
      </c>
      <c r="F921" s="31">
        <f t="shared" si="269"/>
        <v>0</v>
      </c>
      <c r="G921" s="31">
        <f t="shared" si="269"/>
        <v>0</v>
      </c>
      <c r="H921" s="31">
        <f t="shared" si="269"/>
        <v>626436.13</v>
      </c>
      <c r="I921" s="31">
        <f t="shared" si="269"/>
        <v>0</v>
      </c>
      <c r="J921" s="31">
        <f t="shared" si="269"/>
        <v>0</v>
      </c>
      <c r="K921" s="33">
        <f t="shared" si="269"/>
        <v>0</v>
      </c>
      <c r="L921" s="31">
        <f t="shared" si="269"/>
        <v>0</v>
      </c>
      <c r="M921" s="31">
        <f t="shared" si="269"/>
        <v>2246.4</v>
      </c>
      <c r="N921" s="31">
        <f t="shared" si="269"/>
        <v>10521521.140000001</v>
      </c>
      <c r="O921" s="31">
        <f t="shared" si="269"/>
        <v>0</v>
      </c>
      <c r="P921" s="31">
        <f t="shared" si="269"/>
        <v>0</v>
      </c>
      <c r="Q921" s="31">
        <f t="shared" si="269"/>
        <v>0</v>
      </c>
      <c r="R921" s="31">
        <f t="shared" si="269"/>
        <v>0</v>
      </c>
      <c r="S921" s="31">
        <f t="shared" si="269"/>
        <v>0</v>
      </c>
      <c r="T921" s="31">
        <f t="shared" si="269"/>
        <v>0</v>
      </c>
      <c r="U921" s="31">
        <f t="shared" si="269"/>
        <v>0</v>
      </c>
      <c r="V921" s="31">
        <f t="shared" si="269"/>
        <v>0</v>
      </c>
      <c r="W921" s="31">
        <f t="shared" si="269"/>
        <v>0</v>
      </c>
      <c r="X921" s="31">
        <f t="shared" si="269"/>
        <v>0</v>
      </c>
      <c r="Y921" s="31">
        <f t="shared" si="269"/>
        <v>0</v>
      </c>
      <c r="Z921" s="31">
        <f t="shared" si="269"/>
        <v>0</v>
      </c>
      <c r="AA921" s="31">
        <f t="shared" si="269"/>
        <v>0</v>
      </c>
      <c r="AB921" s="31">
        <f t="shared" si="269"/>
        <v>0</v>
      </c>
      <c r="AC921" s="31">
        <f t="shared" si="269"/>
        <v>167219.36000000002</v>
      </c>
      <c r="AD921" s="31">
        <f t="shared" si="269"/>
        <v>360000</v>
      </c>
      <c r="AE921" s="31">
        <f t="shared" si="269"/>
        <v>0</v>
      </c>
      <c r="AF921" s="72" t="s">
        <v>757</v>
      </c>
      <c r="AG921" s="72" t="s">
        <v>757</v>
      </c>
      <c r="AH921" s="87" t="s">
        <v>757</v>
      </c>
      <c r="AT921" s="20" t="e">
        <f>VLOOKUP(C921,AW:AX,2,FALSE)</f>
        <v>#N/A</v>
      </c>
      <c r="BZ921" s="71">
        <v>7408727.5099999998</v>
      </c>
      <c r="CD921" s="20" t="e">
        <f t="shared" si="266"/>
        <v>#N/A</v>
      </c>
    </row>
    <row r="922" spans="1:82" ht="61.5" x14ac:dyDescent="0.85">
      <c r="A922" s="20">
        <v>1</v>
      </c>
      <c r="B922" s="66">
        <f>SUBTOTAL(103,$A$558:A922)</f>
        <v>324</v>
      </c>
      <c r="C922" s="24" t="s">
        <v>54</v>
      </c>
      <c r="D922" s="31">
        <f>E922+F922+G922+H922+I922+J922+L922+N922+P922+R922+T922+U922+V922+W922+X922+Y922+Z922+AA922+AB922+AC922+AD922+AE922</f>
        <v>7814727.5099999998</v>
      </c>
      <c r="E922" s="31">
        <v>0</v>
      </c>
      <c r="F922" s="31">
        <v>0</v>
      </c>
      <c r="G922" s="31">
        <v>0</v>
      </c>
      <c r="H922" s="31">
        <v>0</v>
      </c>
      <c r="I922" s="31">
        <v>0</v>
      </c>
      <c r="J922" s="31">
        <v>0</v>
      </c>
      <c r="K922" s="33">
        <v>0</v>
      </c>
      <c r="L922" s="31">
        <v>0</v>
      </c>
      <c r="M922" s="31">
        <v>1669.2</v>
      </c>
      <c r="N922" s="31">
        <v>7521899.0199999996</v>
      </c>
      <c r="O922" s="31">
        <v>0</v>
      </c>
      <c r="P922" s="31">
        <v>0</v>
      </c>
      <c r="Q922" s="31">
        <v>0</v>
      </c>
      <c r="R922" s="31">
        <v>0</v>
      </c>
      <c r="S922" s="31">
        <v>0</v>
      </c>
      <c r="T922" s="31">
        <v>0</v>
      </c>
      <c r="U922" s="31">
        <v>0</v>
      </c>
      <c r="V922" s="31">
        <v>0</v>
      </c>
      <c r="W922" s="31">
        <v>0</v>
      </c>
      <c r="X922" s="31">
        <v>0</v>
      </c>
      <c r="Y922" s="31">
        <v>0</v>
      </c>
      <c r="Z922" s="31">
        <v>0</v>
      </c>
      <c r="AA922" s="31">
        <v>0</v>
      </c>
      <c r="AB922" s="31">
        <v>0</v>
      </c>
      <c r="AC922" s="31">
        <f>ROUND(N922*1.5%,2)</f>
        <v>112828.49</v>
      </c>
      <c r="AD922" s="31">
        <v>180000</v>
      </c>
      <c r="AE922" s="31">
        <v>0</v>
      </c>
      <c r="AF922" s="34">
        <v>2021</v>
      </c>
      <c r="AG922" s="34">
        <v>2021</v>
      </c>
      <c r="AH922" s="35">
        <v>2021</v>
      </c>
      <c r="AT922" s="20" t="e">
        <f>VLOOKUP(C922,AW:AX,2,FALSE)</f>
        <v>#N/A</v>
      </c>
      <c r="BZ922" s="71"/>
      <c r="CD922" s="20" t="e">
        <f t="shared" si="266"/>
        <v>#N/A</v>
      </c>
    </row>
    <row r="923" spans="1:82" ht="61.5" x14ac:dyDescent="0.85">
      <c r="A923" s="20">
        <v>1</v>
      </c>
      <c r="B923" s="66">
        <f>SUBTOTAL(103,$A$558:A923)</f>
        <v>325</v>
      </c>
      <c r="C923" s="24" t="s">
        <v>1697</v>
      </c>
      <c r="D923" s="31">
        <f>E923+F923+G923+H923+I923+J923+L923+N923+P923+R923+T923+U923+V923+W923+X923+Y923+Z923+AA923+AB923+AC923+AD923+AE923</f>
        <v>3224616.45</v>
      </c>
      <c r="E923" s="31">
        <v>0</v>
      </c>
      <c r="F923" s="31">
        <v>0</v>
      </c>
      <c r="G923" s="31">
        <v>0</v>
      </c>
      <c r="H923" s="31">
        <v>0</v>
      </c>
      <c r="I923" s="31">
        <v>0</v>
      </c>
      <c r="J923" s="31">
        <v>0</v>
      </c>
      <c r="K923" s="33">
        <v>0</v>
      </c>
      <c r="L923" s="31">
        <v>0</v>
      </c>
      <c r="M923" s="31">
        <v>577.20000000000005</v>
      </c>
      <c r="N923" s="31">
        <v>2999622.12</v>
      </c>
      <c r="O923" s="31">
        <v>0</v>
      </c>
      <c r="P923" s="31">
        <v>0</v>
      </c>
      <c r="Q923" s="31">
        <v>0</v>
      </c>
      <c r="R923" s="31">
        <v>0</v>
      </c>
      <c r="S923" s="31">
        <v>0</v>
      </c>
      <c r="T923" s="31">
        <v>0</v>
      </c>
      <c r="U923" s="31">
        <v>0</v>
      </c>
      <c r="V923" s="31">
        <v>0</v>
      </c>
      <c r="W923" s="31">
        <v>0</v>
      </c>
      <c r="X923" s="31">
        <v>0</v>
      </c>
      <c r="Y923" s="31">
        <v>0</v>
      </c>
      <c r="Z923" s="31">
        <v>0</v>
      </c>
      <c r="AA923" s="31">
        <v>0</v>
      </c>
      <c r="AB923" s="31">
        <v>0</v>
      </c>
      <c r="AC923" s="31">
        <f>ROUND(N923*1.5%,2)</f>
        <v>44994.33</v>
      </c>
      <c r="AD923" s="31">
        <v>180000</v>
      </c>
      <c r="AE923" s="31">
        <v>0</v>
      </c>
      <c r="AF923" s="34">
        <v>2021</v>
      </c>
      <c r="AG923" s="34">
        <v>2021</v>
      </c>
      <c r="AH923" s="35">
        <v>2021</v>
      </c>
      <c r="AT923" s="20" t="e">
        <f>VLOOKUP(C923,AW:AX,2,FALSE)</f>
        <v>#N/A</v>
      </c>
      <c r="BZ923" s="71"/>
      <c r="CD923" s="20" t="e">
        <f t="shared" si="266"/>
        <v>#N/A</v>
      </c>
    </row>
    <row r="924" spans="1:82" ht="61.5" x14ac:dyDescent="0.85">
      <c r="A924" s="20">
        <v>1</v>
      </c>
      <c r="B924" s="66">
        <f>SUBTOTAL(103,$A$558:A924)</f>
        <v>326</v>
      </c>
      <c r="C924" s="24" t="s">
        <v>1254</v>
      </c>
      <c r="D924" s="31">
        <f>E924+F924+G924+H924+I924+J924+L924+N924+P924+R924+T924+U924+V924+W924+X924+Y924+Z924+AA924+AB924+AC924+AD924+AE924</f>
        <v>635832.67000000004</v>
      </c>
      <c r="E924" s="31">
        <v>0</v>
      </c>
      <c r="F924" s="31">
        <v>0</v>
      </c>
      <c r="G924" s="39">
        <v>0</v>
      </c>
      <c r="H924" s="31">
        <f>523667.25+102768.88</f>
        <v>626436.13</v>
      </c>
      <c r="I924" s="31">
        <v>0</v>
      </c>
      <c r="J924" s="31">
        <v>0</v>
      </c>
      <c r="K924" s="33">
        <v>0</v>
      </c>
      <c r="L924" s="31">
        <v>0</v>
      </c>
      <c r="M924" s="39">
        <v>0</v>
      </c>
      <c r="N924" s="39">
        <v>0</v>
      </c>
      <c r="O924" s="31">
        <v>0</v>
      </c>
      <c r="P924" s="31">
        <v>0</v>
      </c>
      <c r="Q924" s="31">
        <v>0</v>
      </c>
      <c r="R924" s="31">
        <v>0</v>
      </c>
      <c r="S924" s="31">
        <v>0</v>
      </c>
      <c r="T924" s="31">
        <v>0</v>
      </c>
      <c r="U924" s="31">
        <v>0</v>
      </c>
      <c r="V924" s="31">
        <v>0</v>
      </c>
      <c r="W924" s="31">
        <v>0</v>
      </c>
      <c r="X924" s="31">
        <v>0</v>
      </c>
      <c r="Y924" s="31">
        <v>0</v>
      </c>
      <c r="Z924" s="31">
        <v>0</v>
      </c>
      <c r="AA924" s="31">
        <v>0</v>
      </c>
      <c r="AB924" s="31">
        <v>0</v>
      </c>
      <c r="AC924" s="31">
        <f>ROUND((E924+F924+G924+H924+I924+J924)*1.5%,2)</f>
        <v>9396.5400000000009</v>
      </c>
      <c r="AD924" s="31">
        <v>0</v>
      </c>
      <c r="AE924" s="31">
        <v>0</v>
      </c>
      <c r="AF924" s="34" t="s">
        <v>270</v>
      </c>
      <c r="AG924" s="34">
        <v>2021</v>
      </c>
      <c r="AH924" s="35">
        <v>2021</v>
      </c>
      <c r="BZ924" s="71"/>
      <c r="CD924" s="20" t="e">
        <f t="shared" si="266"/>
        <v>#N/A</v>
      </c>
    </row>
    <row r="925" spans="1:82" ht="61.5" x14ac:dyDescent="0.85">
      <c r="B925" s="24" t="s">
        <v>851</v>
      </c>
      <c r="C925" s="24"/>
      <c r="D925" s="195">
        <f t="shared" ref="D925:AE925" si="270">D926</f>
        <v>2311215.4500000002</v>
      </c>
      <c r="E925" s="31">
        <f t="shared" si="270"/>
        <v>0</v>
      </c>
      <c r="F925" s="31">
        <f t="shared" si="270"/>
        <v>0</v>
      </c>
      <c r="G925" s="31">
        <f t="shared" si="270"/>
        <v>0</v>
      </c>
      <c r="H925" s="31">
        <f t="shared" si="270"/>
        <v>0</v>
      </c>
      <c r="I925" s="31">
        <f t="shared" si="270"/>
        <v>0</v>
      </c>
      <c r="J925" s="31">
        <f t="shared" si="270"/>
        <v>0</v>
      </c>
      <c r="K925" s="33">
        <f t="shared" si="270"/>
        <v>0</v>
      </c>
      <c r="L925" s="31">
        <f t="shared" si="270"/>
        <v>0</v>
      </c>
      <c r="M925" s="31">
        <f t="shared" si="270"/>
        <v>444</v>
      </c>
      <c r="N925" s="31">
        <f t="shared" si="270"/>
        <v>2158832.96</v>
      </c>
      <c r="O925" s="31">
        <f t="shared" si="270"/>
        <v>0</v>
      </c>
      <c r="P925" s="31">
        <f t="shared" si="270"/>
        <v>0</v>
      </c>
      <c r="Q925" s="31">
        <f t="shared" si="270"/>
        <v>0</v>
      </c>
      <c r="R925" s="31">
        <f t="shared" si="270"/>
        <v>0</v>
      </c>
      <c r="S925" s="31">
        <f t="shared" si="270"/>
        <v>0</v>
      </c>
      <c r="T925" s="31">
        <f t="shared" si="270"/>
        <v>0</v>
      </c>
      <c r="U925" s="31">
        <f t="shared" si="270"/>
        <v>0</v>
      </c>
      <c r="V925" s="31">
        <f t="shared" si="270"/>
        <v>0</v>
      </c>
      <c r="W925" s="31">
        <f t="shared" si="270"/>
        <v>0</v>
      </c>
      <c r="X925" s="31">
        <f t="shared" si="270"/>
        <v>0</v>
      </c>
      <c r="Y925" s="31">
        <f t="shared" si="270"/>
        <v>0</v>
      </c>
      <c r="Z925" s="31">
        <f t="shared" si="270"/>
        <v>0</v>
      </c>
      <c r="AA925" s="31">
        <f t="shared" si="270"/>
        <v>0</v>
      </c>
      <c r="AB925" s="31">
        <f t="shared" si="270"/>
        <v>0</v>
      </c>
      <c r="AC925" s="31">
        <f t="shared" si="270"/>
        <v>32382.49</v>
      </c>
      <c r="AD925" s="31">
        <f t="shared" si="270"/>
        <v>120000</v>
      </c>
      <c r="AE925" s="31">
        <f t="shared" si="270"/>
        <v>0</v>
      </c>
      <c r="AF925" s="72" t="s">
        <v>757</v>
      </c>
      <c r="AG925" s="72" t="s">
        <v>757</v>
      </c>
      <c r="AH925" s="87" t="s">
        <v>757</v>
      </c>
      <c r="AT925" s="20" t="e">
        <f t="shared" ref="AT925:AT932" si="271">VLOOKUP(C925,AW:AX,2,FALSE)</f>
        <v>#N/A</v>
      </c>
      <c r="BZ925" s="71">
        <v>2311215.4500000002</v>
      </c>
      <c r="CD925" s="20" t="e">
        <f t="shared" si="266"/>
        <v>#N/A</v>
      </c>
    </row>
    <row r="926" spans="1:82" ht="61.5" x14ac:dyDescent="0.85">
      <c r="A926" s="20">
        <v>1</v>
      </c>
      <c r="B926" s="66">
        <f>SUBTOTAL(103,$A$558:A926)</f>
        <v>327</v>
      </c>
      <c r="C926" s="24" t="s">
        <v>53</v>
      </c>
      <c r="D926" s="31">
        <f>E926+F926+G926+H926+I926+J926+L926+N926+P926+R926+T926+U926+V926+W926+X926+Y926+Z926+AA926+AB926+AC926+AD926+AE926</f>
        <v>2311215.4500000002</v>
      </c>
      <c r="E926" s="31">
        <v>0</v>
      </c>
      <c r="F926" s="31">
        <v>0</v>
      </c>
      <c r="G926" s="31">
        <v>0</v>
      </c>
      <c r="H926" s="31">
        <v>0</v>
      </c>
      <c r="I926" s="31">
        <v>0</v>
      </c>
      <c r="J926" s="31">
        <v>0</v>
      </c>
      <c r="K926" s="33">
        <v>0</v>
      </c>
      <c r="L926" s="31">
        <v>0</v>
      </c>
      <c r="M926" s="31">
        <v>444</v>
      </c>
      <c r="N926" s="31">
        <v>2158832.96</v>
      </c>
      <c r="O926" s="31">
        <v>0</v>
      </c>
      <c r="P926" s="31">
        <v>0</v>
      </c>
      <c r="Q926" s="31">
        <v>0</v>
      </c>
      <c r="R926" s="31">
        <v>0</v>
      </c>
      <c r="S926" s="31">
        <v>0</v>
      </c>
      <c r="T926" s="31">
        <v>0</v>
      </c>
      <c r="U926" s="31">
        <v>0</v>
      </c>
      <c r="V926" s="31">
        <v>0</v>
      </c>
      <c r="W926" s="31">
        <v>0</v>
      </c>
      <c r="X926" s="31">
        <v>0</v>
      </c>
      <c r="Y926" s="31">
        <v>0</v>
      </c>
      <c r="Z926" s="31">
        <v>0</v>
      </c>
      <c r="AA926" s="31">
        <v>0</v>
      </c>
      <c r="AB926" s="31">
        <v>0</v>
      </c>
      <c r="AC926" s="31">
        <f>ROUND(N926*1.5%,2)</f>
        <v>32382.49</v>
      </c>
      <c r="AD926" s="31">
        <v>120000</v>
      </c>
      <c r="AE926" s="31">
        <v>0</v>
      </c>
      <c r="AF926" s="34">
        <v>2021</v>
      </c>
      <c r="AG926" s="34">
        <v>2021</v>
      </c>
      <c r="AH926" s="35">
        <v>2021</v>
      </c>
      <c r="AT926" s="20" t="e">
        <f t="shared" si="271"/>
        <v>#N/A</v>
      </c>
      <c r="BZ926" s="71"/>
      <c r="CD926" s="20" t="e">
        <f t="shared" si="266"/>
        <v>#N/A</v>
      </c>
    </row>
    <row r="927" spans="1:82" ht="61.5" x14ac:dyDescent="0.85">
      <c r="B927" s="24" t="s">
        <v>852</v>
      </c>
      <c r="C927" s="24"/>
      <c r="D927" s="195">
        <f t="shared" ref="D927:AE927" si="272">SUM(D928:D934)</f>
        <v>26695520.850000001</v>
      </c>
      <c r="E927" s="31">
        <f t="shared" si="272"/>
        <v>0</v>
      </c>
      <c r="F927" s="31">
        <f t="shared" si="272"/>
        <v>0</v>
      </c>
      <c r="G927" s="31">
        <f t="shared" si="272"/>
        <v>0</v>
      </c>
      <c r="H927" s="31">
        <f t="shared" si="272"/>
        <v>0</v>
      </c>
      <c r="I927" s="31">
        <f t="shared" si="272"/>
        <v>0</v>
      </c>
      <c r="J927" s="31">
        <f t="shared" si="272"/>
        <v>0</v>
      </c>
      <c r="K927" s="33">
        <f t="shared" si="272"/>
        <v>0</v>
      </c>
      <c r="L927" s="31">
        <f t="shared" si="272"/>
        <v>0</v>
      </c>
      <c r="M927" s="31">
        <f t="shared" si="272"/>
        <v>4054.2999999999997</v>
      </c>
      <c r="N927" s="31">
        <f t="shared" si="272"/>
        <v>21549137.510000002</v>
      </c>
      <c r="O927" s="31">
        <f t="shared" si="272"/>
        <v>0</v>
      </c>
      <c r="P927" s="31">
        <f t="shared" si="272"/>
        <v>0</v>
      </c>
      <c r="Q927" s="31">
        <f t="shared" si="272"/>
        <v>2886.45</v>
      </c>
      <c r="R927" s="31">
        <f t="shared" si="272"/>
        <v>4308518.51</v>
      </c>
      <c r="S927" s="31">
        <f t="shared" si="272"/>
        <v>0</v>
      </c>
      <c r="T927" s="31">
        <f t="shared" si="272"/>
        <v>0</v>
      </c>
      <c r="U927" s="31">
        <f t="shared" si="272"/>
        <v>0</v>
      </c>
      <c r="V927" s="31">
        <f t="shared" si="272"/>
        <v>0</v>
      </c>
      <c r="W927" s="31">
        <f t="shared" si="272"/>
        <v>0</v>
      </c>
      <c r="X927" s="31">
        <f t="shared" si="272"/>
        <v>0</v>
      </c>
      <c r="Y927" s="31">
        <f t="shared" si="272"/>
        <v>0</v>
      </c>
      <c r="Z927" s="31">
        <f t="shared" si="272"/>
        <v>0</v>
      </c>
      <c r="AA927" s="31">
        <f t="shared" si="272"/>
        <v>0</v>
      </c>
      <c r="AB927" s="31">
        <f t="shared" si="272"/>
        <v>0</v>
      </c>
      <c r="AC927" s="31">
        <f t="shared" si="272"/>
        <v>387864.82999999996</v>
      </c>
      <c r="AD927" s="31">
        <f t="shared" si="272"/>
        <v>450000</v>
      </c>
      <c r="AE927" s="31">
        <f t="shared" si="272"/>
        <v>0</v>
      </c>
      <c r="AF927" s="72" t="s">
        <v>757</v>
      </c>
      <c r="AG927" s="72" t="s">
        <v>757</v>
      </c>
      <c r="AH927" s="87" t="s">
        <v>757</v>
      </c>
      <c r="AT927" s="20" t="e">
        <f t="shared" si="271"/>
        <v>#N/A</v>
      </c>
      <c r="BZ927" s="71">
        <v>16487311.32</v>
      </c>
      <c r="CD927" s="20" t="e">
        <f t="shared" si="266"/>
        <v>#N/A</v>
      </c>
    </row>
    <row r="928" spans="1:82" ht="61.5" x14ac:dyDescent="0.85">
      <c r="A928" s="20">
        <v>1</v>
      </c>
      <c r="B928" s="66">
        <f>SUBTOTAL(103,$A$558:A928)</f>
        <v>328</v>
      </c>
      <c r="C928" s="24" t="s">
        <v>60</v>
      </c>
      <c r="D928" s="31">
        <f>E928+F928+G928+H928+I928+J928+L928+N928+P928+R928+T928+U928+V928+W928+X928+Y928+Z928+AA928+AB928+AC928+AD928+AE928</f>
        <v>3969553.4</v>
      </c>
      <c r="E928" s="31">
        <v>0</v>
      </c>
      <c r="F928" s="31">
        <v>0</v>
      </c>
      <c r="G928" s="31">
        <v>0</v>
      </c>
      <c r="H928" s="31">
        <v>0</v>
      </c>
      <c r="I928" s="31">
        <v>0</v>
      </c>
      <c r="J928" s="31">
        <v>0</v>
      </c>
      <c r="K928" s="33">
        <v>0</v>
      </c>
      <c r="L928" s="31">
        <v>0</v>
      </c>
      <c r="M928" s="31">
        <v>663</v>
      </c>
      <c r="N928" s="31">
        <f>3263106.8+500000</f>
        <v>3763106.8</v>
      </c>
      <c r="O928" s="31">
        <v>0</v>
      </c>
      <c r="P928" s="31">
        <v>0</v>
      </c>
      <c r="Q928" s="31">
        <v>0</v>
      </c>
      <c r="R928" s="31">
        <v>0</v>
      </c>
      <c r="S928" s="31">
        <v>0</v>
      </c>
      <c r="T928" s="31">
        <v>0</v>
      </c>
      <c r="U928" s="31">
        <v>0</v>
      </c>
      <c r="V928" s="31">
        <v>0</v>
      </c>
      <c r="W928" s="31">
        <v>0</v>
      </c>
      <c r="X928" s="31">
        <v>0</v>
      </c>
      <c r="Y928" s="31">
        <v>0</v>
      </c>
      <c r="Z928" s="31">
        <v>0</v>
      </c>
      <c r="AA928" s="31">
        <v>0</v>
      </c>
      <c r="AB928" s="31">
        <v>0</v>
      </c>
      <c r="AC928" s="31">
        <f>ROUND(N928*1.5%,2)</f>
        <v>56446.6</v>
      </c>
      <c r="AD928" s="31">
        <v>150000</v>
      </c>
      <c r="AE928" s="31">
        <v>0</v>
      </c>
      <c r="AF928" s="34">
        <v>2021</v>
      </c>
      <c r="AG928" s="34">
        <v>2021</v>
      </c>
      <c r="AH928" s="35">
        <v>2021</v>
      </c>
      <c r="AT928" s="20" t="e">
        <f t="shared" si="271"/>
        <v>#N/A</v>
      </c>
      <c r="BZ928" s="71"/>
      <c r="CD928" s="20" t="e">
        <f t="shared" si="266"/>
        <v>#N/A</v>
      </c>
    </row>
    <row r="929" spans="1:82" ht="61.5" x14ac:dyDescent="0.85">
      <c r="A929" s="20">
        <v>1</v>
      </c>
      <c r="B929" s="66">
        <f>SUBTOTAL(103,$A$558:A929)</f>
        <v>329</v>
      </c>
      <c r="C929" s="24" t="s">
        <v>61</v>
      </c>
      <c r="D929" s="31">
        <f>E929+F929+G929+H929+I929+J929+L929+N929+P929+R929+T929+U929+V929+W929+X929+Y929+Z929+AA929+AB929+AC929+AD929+AE929</f>
        <v>3834770.5000000005</v>
      </c>
      <c r="E929" s="31">
        <v>0</v>
      </c>
      <c r="F929" s="31">
        <v>0</v>
      </c>
      <c r="G929" s="31">
        <v>0</v>
      </c>
      <c r="H929" s="31">
        <v>0</v>
      </c>
      <c r="I929" s="31">
        <v>0</v>
      </c>
      <c r="J929" s="31">
        <v>0</v>
      </c>
      <c r="K929" s="33">
        <v>0</v>
      </c>
      <c r="L929" s="31">
        <v>0</v>
      </c>
      <c r="M929" s="31">
        <v>660</v>
      </c>
      <c r="N929" s="31">
        <f>3247672.91+382642.85</f>
        <v>3630315.7600000002</v>
      </c>
      <c r="O929" s="31">
        <v>0</v>
      </c>
      <c r="P929" s="31">
        <v>0</v>
      </c>
      <c r="Q929" s="31">
        <v>0</v>
      </c>
      <c r="R929" s="31">
        <v>0</v>
      </c>
      <c r="S929" s="31">
        <v>0</v>
      </c>
      <c r="T929" s="31">
        <v>0</v>
      </c>
      <c r="U929" s="31">
        <v>0</v>
      </c>
      <c r="V929" s="31">
        <v>0</v>
      </c>
      <c r="W929" s="31">
        <v>0</v>
      </c>
      <c r="X929" s="31">
        <v>0</v>
      </c>
      <c r="Y929" s="31">
        <v>0</v>
      </c>
      <c r="Z929" s="31">
        <v>0</v>
      </c>
      <c r="AA929" s="31">
        <v>0</v>
      </c>
      <c r="AB929" s="31">
        <v>0</v>
      </c>
      <c r="AC929" s="31">
        <f>ROUND(N929*1.5%,2)</f>
        <v>54454.74</v>
      </c>
      <c r="AD929" s="31">
        <v>150000</v>
      </c>
      <c r="AE929" s="31">
        <v>0</v>
      </c>
      <c r="AF929" s="34">
        <v>2021</v>
      </c>
      <c r="AG929" s="34">
        <v>2021</v>
      </c>
      <c r="AH929" s="35">
        <v>2021</v>
      </c>
      <c r="AT929" s="20" t="e">
        <f t="shared" si="271"/>
        <v>#N/A</v>
      </c>
      <c r="BZ929" s="71"/>
      <c r="CD929" s="20" t="e">
        <f t="shared" si="266"/>
        <v>#N/A</v>
      </c>
    </row>
    <row r="930" spans="1:82" ht="61.5" x14ac:dyDescent="0.85">
      <c r="A930" s="20">
        <v>1</v>
      </c>
      <c r="B930" s="66">
        <f>SUBTOTAL(103,$A$558:A930)</f>
        <v>330</v>
      </c>
      <c r="C930" s="24" t="s">
        <v>59</v>
      </c>
      <c r="D930" s="31">
        <f>E930+F930+G930+H930+I930+J930+L930+N930+P930+R930+T930+U930+V930+W930+X930+Y930+Z930+AA930+AB930+AC930+AD930+AE930</f>
        <v>3291315.0500000003</v>
      </c>
      <c r="E930" s="31">
        <v>0</v>
      </c>
      <c r="F930" s="31">
        <v>0</v>
      </c>
      <c r="G930" s="31">
        <v>0</v>
      </c>
      <c r="H930" s="31">
        <v>0</v>
      </c>
      <c r="I930" s="31">
        <v>0</v>
      </c>
      <c r="J930" s="31">
        <v>0</v>
      </c>
      <c r="K930" s="33">
        <v>0</v>
      </c>
      <c r="L930" s="31">
        <v>0</v>
      </c>
      <c r="M930" s="31">
        <v>647</v>
      </c>
      <c r="N930" s="31">
        <f>3180792.71+61882.22</f>
        <v>3242674.93</v>
      </c>
      <c r="O930" s="31">
        <v>0</v>
      </c>
      <c r="P930" s="31">
        <v>0</v>
      </c>
      <c r="Q930" s="31">
        <v>0</v>
      </c>
      <c r="R930" s="31">
        <v>0</v>
      </c>
      <c r="S930" s="31">
        <v>0</v>
      </c>
      <c r="T930" s="31">
        <v>0</v>
      </c>
      <c r="U930" s="31">
        <v>0</v>
      </c>
      <c r="V930" s="31">
        <v>0</v>
      </c>
      <c r="W930" s="31">
        <v>0</v>
      </c>
      <c r="X930" s="31">
        <v>0</v>
      </c>
      <c r="Y930" s="31">
        <v>0</v>
      </c>
      <c r="Z930" s="31">
        <v>0</v>
      </c>
      <c r="AA930" s="31">
        <v>0</v>
      </c>
      <c r="AB930" s="31">
        <v>0</v>
      </c>
      <c r="AC930" s="31">
        <f>ROUND(N930*1.5%,2)</f>
        <v>48640.12</v>
      </c>
      <c r="AD930" s="31">
        <v>0</v>
      </c>
      <c r="AE930" s="31">
        <v>0</v>
      </c>
      <c r="AF930" s="34" t="s">
        <v>270</v>
      </c>
      <c r="AG930" s="34">
        <v>2021</v>
      </c>
      <c r="AH930" s="35">
        <v>2021</v>
      </c>
      <c r="AT930" s="20" t="e">
        <f t="shared" si="271"/>
        <v>#N/A</v>
      </c>
      <c r="BZ930" s="71"/>
      <c r="CD930" s="20" t="e">
        <f t="shared" si="266"/>
        <v>#N/A</v>
      </c>
    </row>
    <row r="931" spans="1:82" ht="61.5" x14ac:dyDescent="0.85">
      <c r="A931" s="20">
        <v>1</v>
      </c>
      <c r="B931" s="66">
        <f>SUBTOTAL(103,$A$558:A931)</f>
        <v>331</v>
      </c>
      <c r="C931" s="24" t="s">
        <v>62</v>
      </c>
      <c r="D931" s="31">
        <f>E931+F931+G931+H931+I931+J931+L931+N931+P931+R931+T931+U931+V931+W931+X931+Y931+Z931+AA931+AB931+AC931+AD931+AE931</f>
        <v>2799929.1599999997</v>
      </c>
      <c r="E931" s="31">
        <v>0</v>
      </c>
      <c r="F931" s="31">
        <v>0</v>
      </c>
      <c r="G931" s="31">
        <v>0</v>
      </c>
      <c r="H931" s="31">
        <v>0</v>
      </c>
      <c r="I931" s="31">
        <v>0</v>
      </c>
      <c r="J931" s="31">
        <v>0</v>
      </c>
      <c r="K931" s="33">
        <v>0</v>
      </c>
      <c r="L931" s="31">
        <v>0</v>
      </c>
      <c r="M931" s="31">
        <v>536.20000000000005</v>
      </c>
      <c r="N931" s="31">
        <v>2610767.65</v>
      </c>
      <c r="O931" s="31">
        <v>0</v>
      </c>
      <c r="P931" s="31">
        <v>0</v>
      </c>
      <c r="Q931" s="31">
        <v>0</v>
      </c>
      <c r="R931" s="31">
        <v>0</v>
      </c>
      <c r="S931" s="31">
        <v>0</v>
      </c>
      <c r="T931" s="31">
        <v>0</v>
      </c>
      <c r="U931" s="31">
        <v>0</v>
      </c>
      <c r="V931" s="31">
        <v>0</v>
      </c>
      <c r="W931" s="31">
        <v>0</v>
      </c>
      <c r="X931" s="31">
        <v>0</v>
      </c>
      <c r="Y931" s="31">
        <v>0</v>
      </c>
      <c r="Z931" s="31">
        <v>0</v>
      </c>
      <c r="AA931" s="31">
        <v>0</v>
      </c>
      <c r="AB931" s="31">
        <v>0</v>
      </c>
      <c r="AC931" s="31">
        <f>ROUND(N931*1.5%,2)</f>
        <v>39161.51</v>
      </c>
      <c r="AD931" s="31">
        <v>150000</v>
      </c>
      <c r="AE931" s="31">
        <v>0</v>
      </c>
      <c r="AF931" s="34">
        <v>2021</v>
      </c>
      <c r="AG931" s="34">
        <v>2021</v>
      </c>
      <c r="AH931" s="35">
        <v>2021</v>
      </c>
      <c r="AT931" s="20" t="e">
        <f t="shared" si="271"/>
        <v>#N/A</v>
      </c>
      <c r="BZ931" s="71"/>
      <c r="CD931" s="20" t="e">
        <f t="shared" si="266"/>
        <v>#N/A</v>
      </c>
    </row>
    <row r="932" spans="1:82" ht="61.5" x14ac:dyDescent="0.85">
      <c r="A932" s="20">
        <v>1</v>
      </c>
      <c r="B932" s="66">
        <f>SUBTOTAL(103,$A$558:A932)</f>
        <v>332</v>
      </c>
      <c r="C932" s="24" t="s">
        <v>58</v>
      </c>
      <c r="D932" s="31">
        <f>E932+F932+G932+H932+I932+J932+L932+N932+P932+R932+T932+U932+V932+W932+X932+Y932+Z932+AA932+AB932+AC932+AD932+AE932</f>
        <v>3312780.06</v>
      </c>
      <c r="E932" s="31">
        <v>0</v>
      </c>
      <c r="F932" s="31">
        <v>0</v>
      </c>
      <c r="G932" s="31">
        <v>0</v>
      </c>
      <c r="H932" s="31">
        <v>0</v>
      </c>
      <c r="I932" s="31">
        <v>0</v>
      </c>
      <c r="J932" s="31">
        <v>0</v>
      </c>
      <c r="K932" s="33">
        <v>0</v>
      </c>
      <c r="L932" s="31">
        <v>0</v>
      </c>
      <c r="M932" s="31">
        <v>651.20000000000005</v>
      </c>
      <c r="N932" s="31">
        <f>3202400.16+61422.56</f>
        <v>3263822.72</v>
      </c>
      <c r="O932" s="31">
        <v>0</v>
      </c>
      <c r="P932" s="31">
        <v>0</v>
      </c>
      <c r="Q932" s="31">
        <v>0</v>
      </c>
      <c r="R932" s="31">
        <v>0</v>
      </c>
      <c r="S932" s="31">
        <v>0</v>
      </c>
      <c r="T932" s="31">
        <v>0</v>
      </c>
      <c r="U932" s="31">
        <v>0</v>
      </c>
      <c r="V932" s="31">
        <v>0</v>
      </c>
      <c r="W932" s="31">
        <v>0</v>
      </c>
      <c r="X932" s="31">
        <v>0</v>
      </c>
      <c r="Y932" s="31">
        <v>0</v>
      </c>
      <c r="Z932" s="31">
        <v>0</v>
      </c>
      <c r="AA932" s="31">
        <v>0</v>
      </c>
      <c r="AB932" s="31">
        <v>0</v>
      </c>
      <c r="AC932" s="31">
        <f>ROUND(N932*1.5%,2)</f>
        <v>48957.34</v>
      </c>
      <c r="AD932" s="31">
        <v>0</v>
      </c>
      <c r="AE932" s="31">
        <v>0</v>
      </c>
      <c r="AF932" s="34" t="s">
        <v>270</v>
      </c>
      <c r="AG932" s="34">
        <v>2021</v>
      </c>
      <c r="AH932" s="35">
        <v>2021</v>
      </c>
      <c r="AT932" s="20" t="e">
        <f t="shared" si="271"/>
        <v>#N/A</v>
      </c>
      <c r="BZ932" s="71"/>
      <c r="CD932" s="20" t="e">
        <f t="shared" si="266"/>
        <v>#N/A</v>
      </c>
    </row>
    <row r="933" spans="1:82" ht="61.5" x14ac:dyDescent="0.85">
      <c r="A933" s="20">
        <v>1</v>
      </c>
      <c r="B933" s="66">
        <f>SUBTOTAL(103,$A$558:A933)</f>
        <v>333</v>
      </c>
      <c r="C933" s="24" t="s">
        <v>1251</v>
      </c>
      <c r="D933" s="31">
        <f t="shared" ref="D933:D934" si="273">E933+F933+G933+H933+I933+J933+L933+N933+P933+R933+T933+U933+V933+W933+X933+Y933+Z933+AA933+AB933+AC933+AD933+AE933</f>
        <v>4373146.29</v>
      </c>
      <c r="E933" s="31">
        <v>0</v>
      </c>
      <c r="F933" s="31">
        <v>0</v>
      </c>
      <c r="G933" s="31">
        <v>0</v>
      </c>
      <c r="H933" s="31">
        <v>0</v>
      </c>
      <c r="I933" s="31">
        <v>0</v>
      </c>
      <c r="J933" s="31">
        <v>0</v>
      </c>
      <c r="K933" s="74">
        <v>0</v>
      </c>
      <c r="L933" s="31">
        <v>0</v>
      </c>
      <c r="M933" s="31">
        <v>0</v>
      </c>
      <c r="N933" s="31">
        <v>0</v>
      </c>
      <c r="O933" s="31">
        <v>0</v>
      </c>
      <c r="P933" s="31">
        <v>0</v>
      </c>
      <c r="Q933" s="31">
        <v>2886.45</v>
      </c>
      <c r="R933" s="31">
        <v>4308518.51</v>
      </c>
      <c r="S933" s="31">
        <v>0</v>
      </c>
      <c r="T933" s="31">
        <v>0</v>
      </c>
      <c r="U933" s="31">
        <v>0</v>
      </c>
      <c r="V933" s="31">
        <v>0</v>
      </c>
      <c r="W933" s="31">
        <v>0</v>
      </c>
      <c r="X933" s="31">
        <v>0</v>
      </c>
      <c r="Y933" s="31">
        <v>0</v>
      </c>
      <c r="Z933" s="31">
        <v>0</v>
      </c>
      <c r="AA933" s="31">
        <v>0</v>
      </c>
      <c r="AB933" s="31">
        <v>0</v>
      </c>
      <c r="AC933" s="31">
        <f>ROUND(R933*1.5%,2)</f>
        <v>64627.78</v>
      </c>
      <c r="AD933" s="31">
        <v>0</v>
      </c>
      <c r="AE933" s="31">
        <v>0</v>
      </c>
      <c r="AF933" s="34" t="s">
        <v>270</v>
      </c>
      <c r="AG933" s="34">
        <v>2021</v>
      </c>
      <c r="AH933" s="35">
        <v>2021</v>
      </c>
      <c r="BZ933" s="71"/>
      <c r="CD933" s="20" t="e">
        <f t="shared" si="266"/>
        <v>#N/A</v>
      </c>
    </row>
    <row r="934" spans="1:82" ht="61.5" x14ac:dyDescent="0.85">
      <c r="A934" s="20">
        <v>1</v>
      </c>
      <c r="B934" s="66">
        <f>SUBTOTAL(103,$A$558:A934)</f>
        <v>334</v>
      </c>
      <c r="C934" s="24" t="s">
        <v>49</v>
      </c>
      <c r="D934" s="31">
        <f t="shared" si="273"/>
        <v>5114026.3900000006</v>
      </c>
      <c r="E934" s="31">
        <v>0</v>
      </c>
      <c r="F934" s="31">
        <v>0</v>
      </c>
      <c r="G934" s="31">
        <v>0</v>
      </c>
      <c r="H934" s="31">
        <v>0</v>
      </c>
      <c r="I934" s="31">
        <v>0</v>
      </c>
      <c r="J934" s="31">
        <v>0</v>
      </c>
      <c r="K934" s="74">
        <v>0</v>
      </c>
      <c r="L934" s="31">
        <v>0</v>
      </c>
      <c r="M934" s="31">
        <v>896.9</v>
      </c>
      <c r="N934" s="31">
        <v>5038449.6500000004</v>
      </c>
      <c r="O934" s="31">
        <v>0</v>
      </c>
      <c r="P934" s="31">
        <v>0</v>
      </c>
      <c r="Q934" s="31">
        <v>0</v>
      </c>
      <c r="R934" s="31">
        <v>0</v>
      </c>
      <c r="S934" s="31">
        <v>0</v>
      </c>
      <c r="T934" s="31">
        <v>0</v>
      </c>
      <c r="U934" s="31">
        <v>0</v>
      </c>
      <c r="V934" s="31">
        <v>0</v>
      </c>
      <c r="W934" s="31">
        <v>0</v>
      </c>
      <c r="X934" s="31">
        <v>0</v>
      </c>
      <c r="Y934" s="31">
        <v>0</v>
      </c>
      <c r="Z934" s="31">
        <v>0</v>
      </c>
      <c r="AA934" s="31">
        <v>0</v>
      </c>
      <c r="AB934" s="31">
        <v>0</v>
      </c>
      <c r="AC934" s="31">
        <f t="shared" ref="AC934" si="274">ROUND(N934*1.5%,2)</f>
        <v>75576.740000000005</v>
      </c>
      <c r="AD934" s="31">
        <v>0</v>
      </c>
      <c r="AE934" s="31">
        <v>0</v>
      </c>
      <c r="AF934" s="34" t="s">
        <v>270</v>
      </c>
      <c r="AG934" s="34">
        <v>2021</v>
      </c>
      <c r="AH934" s="35">
        <v>2021</v>
      </c>
      <c r="AT934" s="20">
        <v>1</v>
      </c>
      <c r="BZ934" s="71"/>
      <c r="CD934" s="20" t="e">
        <v>#N/A</v>
      </c>
    </row>
    <row r="935" spans="1:82" ht="61.5" x14ac:dyDescent="0.85">
      <c r="B935" s="24" t="s">
        <v>853</v>
      </c>
      <c r="C935" s="108"/>
      <c r="D935" s="195">
        <f>SUM(D936:D938)</f>
        <v>8165392.25</v>
      </c>
      <c r="E935" s="31">
        <f t="shared" ref="E935:AE935" si="275">SUM(E936:E938)</f>
        <v>0</v>
      </c>
      <c r="F935" s="31">
        <f t="shared" si="275"/>
        <v>0</v>
      </c>
      <c r="G935" s="31">
        <f t="shared" si="275"/>
        <v>0</v>
      </c>
      <c r="H935" s="31">
        <f t="shared" si="275"/>
        <v>0</v>
      </c>
      <c r="I935" s="31">
        <f t="shared" si="275"/>
        <v>0</v>
      </c>
      <c r="J935" s="31">
        <f t="shared" si="275"/>
        <v>0</v>
      </c>
      <c r="K935" s="33">
        <f t="shared" si="275"/>
        <v>0</v>
      </c>
      <c r="L935" s="31">
        <f t="shared" si="275"/>
        <v>0</v>
      </c>
      <c r="M935" s="31">
        <f t="shared" si="275"/>
        <v>1783</v>
      </c>
      <c r="N935" s="31">
        <f t="shared" si="275"/>
        <v>7630928.3300000001</v>
      </c>
      <c r="O935" s="31">
        <f t="shared" si="275"/>
        <v>0</v>
      </c>
      <c r="P935" s="31">
        <f t="shared" si="275"/>
        <v>0</v>
      </c>
      <c r="Q935" s="31">
        <f t="shared" si="275"/>
        <v>0</v>
      </c>
      <c r="R935" s="31">
        <f t="shared" si="275"/>
        <v>0</v>
      </c>
      <c r="S935" s="31">
        <f t="shared" si="275"/>
        <v>0</v>
      </c>
      <c r="T935" s="31">
        <f t="shared" si="275"/>
        <v>0</v>
      </c>
      <c r="U935" s="31">
        <f t="shared" si="275"/>
        <v>0</v>
      </c>
      <c r="V935" s="31">
        <f t="shared" si="275"/>
        <v>0</v>
      </c>
      <c r="W935" s="31">
        <f t="shared" si="275"/>
        <v>0</v>
      </c>
      <c r="X935" s="31">
        <f t="shared" si="275"/>
        <v>0</v>
      </c>
      <c r="Y935" s="31">
        <f t="shared" si="275"/>
        <v>0</v>
      </c>
      <c r="Z935" s="31">
        <f t="shared" si="275"/>
        <v>0</v>
      </c>
      <c r="AA935" s="31">
        <f t="shared" si="275"/>
        <v>0</v>
      </c>
      <c r="AB935" s="31">
        <f t="shared" si="275"/>
        <v>0</v>
      </c>
      <c r="AC935" s="31">
        <f t="shared" si="275"/>
        <v>114463.92</v>
      </c>
      <c r="AD935" s="31">
        <f t="shared" si="275"/>
        <v>420000</v>
      </c>
      <c r="AE935" s="31">
        <f t="shared" si="275"/>
        <v>0</v>
      </c>
      <c r="AF935" s="72" t="s">
        <v>757</v>
      </c>
      <c r="AG935" s="72" t="s">
        <v>757</v>
      </c>
      <c r="AH935" s="87" t="s">
        <v>757</v>
      </c>
      <c r="AT935" s="20" t="e">
        <f>VLOOKUP(C935,AW:AX,2,FALSE)</f>
        <v>#N/A</v>
      </c>
      <c r="BZ935" s="71">
        <v>6032850.6600000001</v>
      </c>
      <c r="CD935" s="20" t="e">
        <f t="shared" ref="CD935:CD942" si="276">VLOOKUP(C935,CE:CF,2,FALSE)</f>
        <v>#N/A</v>
      </c>
    </row>
    <row r="936" spans="1:82" ht="61.5" x14ac:dyDescent="0.85">
      <c r="A936" s="20">
        <v>1</v>
      </c>
      <c r="B936" s="66">
        <f>SUBTOTAL(103,$A$558:A936)</f>
        <v>335</v>
      </c>
      <c r="C936" s="24" t="s">
        <v>230</v>
      </c>
      <c r="D936" s="31">
        <f>E936+F936+G936+H936+I936+J936+L936+N936+P936+R936+T936+U936+V936+W936+X936+Y936+Z936+AA936+AB936+AC936+AD936+AE936</f>
        <v>4231329.66</v>
      </c>
      <c r="E936" s="31">
        <v>0</v>
      </c>
      <c r="F936" s="31">
        <v>0</v>
      </c>
      <c r="G936" s="31">
        <v>0</v>
      </c>
      <c r="H936" s="31">
        <v>0</v>
      </c>
      <c r="I936" s="31">
        <v>0</v>
      </c>
      <c r="J936" s="31">
        <v>0</v>
      </c>
      <c r="K936" s="33">
        <v>0</v>
      </c>
      <c r="L936" s="31">
        <v>0</v>
      </c>
      <c r="M936" s="31">
        <v>858</v>
      </c>
      <c r="N936" s="31">
        <v>4021014.44</v>
      </c>
      <c r="O936" s="31">
        <v>0</v>
      </c>
      <c r="P936" s="31">
        <v>0</v>
      </c>
      <c r="Q936" s="31">
        <v>0</v>
      </c>
      <c r="R936" s="31">
        <v>0</v>
      </c>
      <c r="S936" s="31">
        <v>0</v>
      </c>
      <c r="T936" s="31">
        <v>0</v>
      </c>
      <c r="U936" s="31">
        <v>0</v>
      </c>
      <c r="V936" s="31">
        <v>0</v>
      </c>
      <c r="W936" s="31">
        <v>0</v>
      </c>
      <c r="X936" s="31">
        <v>0</v>
      </c>
      <c r="Y936" s="31">
        <v>0</v>
      </c>
      <c r="Z936" s="31">
        <v>0</v>
      </c>
      <c r="AA936" s="31">
        <v>0</v>
      </c>
      <c r="AB936" s="31">
        <v>0</v>
      </c>
      <c r="AC936" s="31">
        <f>ROUND(N936*1.5%,2)</f>
        <v>60315.22</v>
      </c>
      <c r="AD936" s="31">
        <v>150000</v>
      </c>
      <c r="AE936" s="31">
        <v>0</v>
      </c>
      <c r="AF936" s="34">
        <v>2021</v>
      </c>
      <c r="AG936" s="34">
        <v>2021</v>
      </c>
      <c r="AH936" s="35">
        <v>2021</v>
      </c>
      <c r="AT936" s="20" t="e">
        <f>VLOOKUP(C936,AW:AX,2,FALSE)</f>
        <v>#N/A</v>
      </c>
      <c r="BZ936" s="71"/>
      <c r="CD936" s="20" t="e">
        <f t="shared" si="276"/>
        <v>#N/A</v>
      </c>
    </row>
    <row r="937" spans="1:82" ht="61.5" x14ac:dyDescent="0.85">
      <c r="A937" s="20">
        <v>1</v>
      </c>
      <c r="B937" s="66">
        <f>SUBTOTAL(103,$A$558:A937)</f>
        <v>336</v>
      </c>
      <c r="C937" s="24" t="s">
        <v>229</v>
      </c>
      <c r="D937" s="31">
        <f>E937+F937+G937+H937+I937+J937+L937+N937+P937+R937+T937+U937+V937+W937+X937+Y937+Z937+AA937+AB937+AC937+AD937+AE937</f>
        <v>1801521</v>
      </c>
      <c r="E937" s="31">
        <v>0</v>
      </c>
      <c r="F937" s="31">
        <v>0</v>
      </c>
      <c r="G937" s="31">
        <v>0</v>
      </c>
      <c r="H937" s="31">
        <v>0</v>
      </c>
      <c r="I937" s="31">
        <v>0</v>
      </c>
      <c r="J937" s="31">
        <v>0</v>
      </c>
      <c r="K937" s="33">
        <v>0</v>
      </c>
      <c r="L937" s="31">
        <v>0</v>
      </c>
      <c r="M937" s="31">
        <v>345</v>
      </c>
      <c r="N937" s="31">
        <v>1656670.94</v>
      </c>
      <c r="O937" s="31">
        <v>0</v>
      </c>
      <c r="P937" s="31">
        <v>0</v>
      </c>
      <c r="Q937" s="31">
        <v>0</v>
      </c>
      <c r="R937" s="31">
        <v>0</v>
      </c>
      <c r="S937" s="31">
        <v>0</v>
      </c>
      <c r="T937" s="31">
        <v>0</v>
      </c>
      <c r="U937" s="31">
        <v>0</v>
      </c>
      <c r="V937" s="31">
        <v>0</v>
      </c>
      <c r="W937" s="31">
        <v>0</v>
      </c>
      <c r="X937" s="31">
        <v>0</v>
      </c>
      <c r="Y937" s="31">
        <v>0</v>
      </c>
      <c r="Z937" s="31">
        <v>0</v>
      </c>
      <c r="AA937" s="31">
        <v>0</v>
      </c>
      <c r="AB937" s="31">
        <v>0</v>
      </c>
      <c r="AC937" s="31">
        <f>ROUND(N937*1.5%,2)</f>
        <v>24850.06</v>
      </c>
      <c r="AD937" s="31">
        <v>120000</v>
      </c>
      <c r="AE937" s="31">
        <v>0</v>
      </c>
      <c r="AF937" s="34">
        <v>2021</v>
      </c>
      <c r="AG937" s="34">
        <v>2021</v>
      </c>
      <c r="AH937" s="35">
        <v>2021</v>
      </c>
      <c r="AT937" s="20" t="e">
        <f>VLOOKUP(C937,AW:AX,2,FALSE)</f>
        <v>#N/A</v>
      </c>
      <c r="BZ937" s="71"/>
      <c r="CD937" s="20" t="e">
        <f t="shared" si="276"/>
        <v>#N/A</v>
      </c>
    </row>
    <row r="938" spans="1:82" ht="61.5" x14ac:dyDescent="0.85">
      <c r="A938" s="20">
        <v>1</v>
      </c>
      <c r="B938" s="66">
        <f>SUBTOTAL(103,$A$558:A938)</f>
        <v>337</v>
      </c>
      <c r="C938" s="24" t="s">
        <v>1925</v>
      </c>
      <c r="D938" s="31">
        <f>E938+F938+G938+H938+I938+J938+L938+N938+P938+R938+T938+U938+V938+W938+X938+Y938+Z938+AA938+AB938+AC938+AD938+AE938</f>
        <v>2132541.59</v>
      </c>
      <c r="E938" s="31">
        <v>0</v>
      </c>
      <c r="F938" s="31">
        <v>0</v>
      </c>
      <c r="G938" s="31">
        <v>0</v>
      </c>
      <c r="H938" s="31">
        <v>0</v>
      </c>
      <c r="I938" s="31">
        <v>0</v>
      </c>
      <c r="J938" s="31">
        <v>0</v>
      </c>
      <c r="K938" s="33">
        <v>0</v>
      </c>
      <c r="L938" s="31">
        <v>0</v>
      </c>
      <c r="M938" s="31">
        <v>580</v>
      </c>
      <c r="N938" s="31">
        <v>1953242.95</v>
      </c>
      <c r="O938" s="31">
        <v>0</v>
      </c>
      <c r="P938" s="31">
        <v>0</v>
      </c>
      <c r="Q938" s="31">
        <v>0</v>
      </c>
      <c r="R938" s="31">
        <v>0</v>
      </c>
      <c r="S938" s="31">
        <v>0</v>
      </c>
      <c r="T938" s="31">
        <v>0</v>
      </c>
      <c r="U938" s="31">
        <v>0</v>
      </c>
      <c r="V938" s="31">
        <v>0</v>
      </c>
      <c r="W938" s="31">
        <v>0</v>
      </c>
      <c r="X938" s="31">
        <v>0</v>
      </c>
      <c r="Y938" s="31">
        <v>0</v>
      </c>
      <c r="Z938" s="31">
        <v>0</v>
      </c>
      <c r="AA938" s="31">
        <v>0</v>
      </c>
      <c r="AB938" s="31">
        <v>0</v>
      </c>
      <c r="AC938" s="31">
        <f>ROUND(N938*1.5%,2)</f>
        <v>29298.639999999999</v>
      </c>
      <c r="AD938" s="31">
        <v>150000</v>
      </c>
      <c r="AE938" s="31">
        <v>0</v>
      </c>
      <c r="AF938" s="34">
        <v>2021</v>
      </c>
      <c r="AG938" s="34">
        <v>2021</v>
      </c>
      <c r="AH938" s="35">
        <v>2021</v>
      </c>
      <c r="AT938" s="20" t="e">
        <f>VLOOKUP(C938,AW:AX,2,FALSE)</f>
        <v>#N/A</v>
      </c>
      <c r="BZ938" s="71"/>
      <c r="CD938" s="20" t="e">
        <f t="shared" si="276"/>
        <v>#N/A</v>
      </c>
    </row>
    <row r="939" spans="1:82" ht="61.5" x14ac:dyDescent="0.85">
      <c r="B939" s="24" t="s">
        <v>1295</v>
      </c>
      <c r="C939" s="108"/>
      <c r="D939" s="195">
        <f t="shared" ref="D939:AE939" si="277">D940</f>
        <v>4934808.43</v>
      </c>
      <c r="E939" s="31">
        <f t="shared" si="277"/>
        <v>0</v>
      </c>
      <c r="F939" s="31">
        <f t="shared" si="277"/>
        <v>0</v>
      </c>
      <c r="G939" s="31">
        <f t="shared" si="277"/>
        <v>0</v>
      </c>
      <c r="H939" s="31">
        <f t="shared" si="277"/>
        <v>0</v>
      </c>
      <c r="I939" s="31">
        <f t="shared" si="277"/>
        <v>0</v>
      </c>
      <c r="J939" s="31">
        <f t="shared" si="277"/>
        <v>0</v>
      </c>
      <c r="K939" s="33">
        <f t="shared" si="277"/>
        <v>0</v>
      </c>
      <c r="L939" s="31">
        <f t="shared" si="277"/>
        <v>0</v>
      </c>
      <c r="M939" s="31">
        <f t="shared" si="277"/>
        <v>735</v>
      </c>
      <c r="N939" s="31">
        <f t="shared" si="277"/>
        <v>4861880.2299999995</v>
      </c>
      <c r="O939" s="31">
        <f t="shared" si="277"/>
        <v>0</v>
      </c>
      <c r="P939" s="31">
        <f t="shared" si="277"/>
        <v>0</v>
      </c>
      <c r="Q939" s="31">
        <f t="shared" si="277"/>
        <v>0</v>
      </c>
      <c r="R939" s="31">
        <f t="shared" si="277"/>
        <v>0</v>
      </c>
      <c r="S939" s="31">
        <f t="shared" si="277"/>
        <v>0</v>
      </c>
      <c r="T939" s="31">
        <f t="shared" si="277"/>
        <v>0</v>
      </c>
      <c r="U939" s="31">
        <f t="shared" si="277"/>
        <v>0</v>
      </c>
      <c r="V939" s="31">
        <f t="shared" si="277"/>
        <v>0</v>
      </c>
      <c r="W939" s="31">
        <f t="shared" si="277"/>
        <v>0</v>
      </c>
      <c r="X939" s="31">
        <f t="shared" si="277"/>
        <v>0</v>
      </c>
      <c r="Y939" s="31">
        <f t="shared" si="277"/>
        <v>0</v>
      </c>
      <c r="Z939" s="31">
        <f t="shared" si="277"/>
        <v>0</v>
      </c>
      <c r="AA939" s="31">
        <f t="shared" si="277"/>
        <v>0</v>
      </c>
      <c r="AB939" s="31">
        <f t="shared" si="277"/>
        <v>0</v>
      </c>
      <c r="AC939" s="31">
        <f t="shared" si="277"/>
        <v>72928.2</v>
      </c>
      <c r="AD939" s="31">
        <f t="shared" si="277"/>
        <v>0</v>
      </c>
      <c r="AE939" s="31">
        <f t="shared" si="277"/>
        <v>0</v>
      </c>
      <c r="AF939" s="72" t="s">
        <v>757</v>
      </c>
      <c r="AG939" s="72" t="s">
        <v>757</v>
      </c>
      <c r="AH939" s="87" t="s">
        <v>757</v>
      </c>
      <c r="AT939" s="20" t="e">
        <f>VLOOKUP(C939,AW:AX,2,FALSE)</f>
        <v>#N/A</v>
      </c>
      <c r="BZ939" s="71">
        <v>1799918.22</v>
      </c>
      <c r="CD939" s="20" t="e">
        <f t="shared" si="276"/>
        <v>#N/A</v>
      </c>
    </row>
    <row r="940" spans="1:82" ht="61.5" x14ac:dyDescent="0.85">
      <c r="A940" s="20">
        <v>1</v>
      </c>
      <c r="B940" s="66">
        <f>SUBTOTAL(103,$A$558:A940)</f>
        <v>338</v>
      </c>
      <c r="C940" s="24" t="s">
        <v>1296</v>
      </c>
      <c r="D940" s="31">
        <f>E940+F940+G940+H940+I940+J940+L940+N940+P940+R940+T940+U940+V940+W940+X940+Y940+Z940+AA940+AB940+AC940+AD940+AE940</f>
        <v>4934808.43</v>
      </c>
      <c r="E940" s="31">
        <v>0</v>
      </c>
      <c r="F940" s="31">
        <v>0</v>
      </c>
      <c r="G940" s="31">
        <v>0</v>
      </c>
      <c r="H940" s="31">
        <v>0</v>
      </c>
      <c r="I940" s="31">
        <v>0</v>
      </c>
      <c r="J940" s="31">
        <v>0</v>
      </c>
      <c r="K940" s="74">
        <v>0</v>
      </c>
      <c r="L940" s="31">
        <v>0</v>
      </c>
      <c r="M940" s="31">
        <v>735</v>
      </c>
      <c r="N940" s="31">
        <f>4393152.47+ROUND(365920.58*100/101.5,2)+108214.87</f>
        <v>4861880.2299999995</v>
      </c>
      <c r="O940" s="31">
        <v>0</v>
      </c>
      <c r="P940" s="31">
        <v>0</v>
      </c>
      <c r="Q940" s="31">
        <v>0</v>
      </c>
      <c r="R940" s="31">
        <v>0</v>
      </c>
      <c r="S940" s="31">
        <v>0</v>
      </c>
      <c r="T940" s="31">
        <v>0</v>
      </c>
      <c r="U940" s="31">
        <v>0</v>
      </c>
      <c r="V940" s="31">
        <v>0</v>
      </c>
      <c r="W940" s="31">
        <v>0</v>
      </c>
      <c r="X940" s="31">
        <v>0</v>
      </c>
      <c r="Y940" s="31">
        <v>0</v>
      </c>
      <c r="Z940" s="31">
        <v>0</v>
      </c>
      <c r="AA940" s="31">
        <v>0</v>
      </c>
      <c r="AB940" s="31">
        <v>0</v>
      </c>
      <c r="AC940" s="31">
        <f>ROUND(N940*1.5%,2)</f>
        <v>72928.2</v>
      </c>
      <c r="AD940" s="31">
        <v>0</v>
      </c>
      <c r="AE940" s="31">
        <v>0</v>
      </c>
      <c r="AF940" s="34" t="s">
        <v>270</v>
      </c>
      <c r="AG940" s="34">
        <v>2021</v>
      </c>
      <c r="AH940" s="35">
        <v>2021</v>
      </c>
      <c r="BZ940" s="71"/>
      <c r="CD940" s="20">
        <f t="shared" si="276"/>
        <v>735</v>
      </c>
    </row>
    <row r="941" spans="1:82" ht="61.5" x14ac:dyDescent="0.85">
      <c r="B941" s="24" t="s">
        <v>855</v>
      </c>
      <c r="C941" s="108"/>
      <c r="D941" s="195">
        <f>SUM(D942:D943)</f>
        <v>7040608.0200000005</v>
      </c>
      <c r="E941" s="31">
        <f t="shared" ref="E941:AE941" si="278">SUM(E942:E943)</f>
        <v>0</v>
      </c>
      <c r="F941" s="31">
        <f t="shared" si="278"/>
        <v>0</v>
      </c>
      <c r="G941" s="31">
        <f t="shared" si="278"/>
        <v>0</v>
      </c>
      <c r="H941" s="31">
        <f t="shared" si="278"/>
        <v>0</v>
      </c>
      <c r="I941" s="31">
        <f t="shared" si="278"/>
        <v>367412.22</v>
      </c>
      <c r="J941" s="31">
        <f t="shared" si="278"/>
        <v>0</v>
      </c>
      <c r="K941" s="33">
        <f t="shared" si="278"/>
        <v>0</v>
      </c>
      <c r="L941" s="31">
        <f t="shared" si="278"/>
        <v>0</v>
      </c>
      <c r="M941" s="31">
        <f t="shared" si="278"/>
        <v>1280</v>
      </c>
      <c r="N941" s="31">
        <f t="shared" si="278"/>
        <v>6450920.7999999998</v>
      </c>
      <c r="O941" s="31">
        <f t="shared" si="278"/>
        <v>0</v>
      </c>
      <c r="P941" s="31">
        <f t="shared" si="278"/>
        <v>0</v>
      </c>
      <c r="Q941" s="31">
        <f t="shared" si="278"/>
        <v>0</v>
      </c>
      <c r="R941" s="31">
        <f t="shared" si="278"/>
        <v>0</v>
      </c>
      <c r="S941" s="31">
        <f t="shared" si="278"/>
        <v>0</v>
      </c>
      <c r="T941" s="31">
        <f t="shared" si="278"/>
        <v>0</v>
      </c>
      <c r="U941" s="31">
        <f t="shared" si="278"/>
        <v>0</v>
      </c>
      <c r="V941" s="31">
        <f t="shared" si="278"/>
        <v>0</v>
      </c>
      <c r="W941" s="31">
        <f t="shared" si="278"/>
        <v>0</v>
      </c>
      <c r="X941" s="31">
        <f t="shared" si="278"/>
        <v>0</v>
      </c>
      <c r="Y941" s="31">
        <f t="shared" si="278"/>
        <v>0</v>
      </c>
      <c r="Z941" s="31">
        <f t="shared" si="278"/>
        <v>0</v>
      </c>
      <c r="AA941" s="31">
        <f t="shared" si="278"/>
        <v>0</v>
      </c>
      <c r="AB941" s="31">
        <f t="shared" si="278"/>
        <v>0</v>
      </c>
      <c r="AC941" s="31">
        <f t="shared" si="278"/>
        <v>102275</v>
      </c>
      <c r="AD941" s="31">
        <f t="shared" si="278"/>
        <v>120000</v>
      </c>
      <c r="AE941" s="31">
        <f t="shared" si="278"/>
        <v>0</v>
      </c>
      <c r="AF941" s="72" t="s">
        <v>757</v>
      </c>
      <c r="AG941" s="72" t="s">
        <v>757</v>
      </c>
      <c r="AH941" s="87" t="s">
        <v>757</v>
      </c>
      <c r="AT941" s="20" t="e">
        <f>VLOOKUP(C941,AW:AX,2,FALSE)</f>
        <v>#N/A</v>
      </c>
      <c r="BZ941" s="71">
        <v>1799918.22</v>
      </c>
      <c r="CD941" s="20" t="e">
        <f t="shared" si="276"/>
        <v>#N/A</v>
      </c>
    </row>
    <row r="942" spans="1:82" ht="61.5" x14ac:dyDescent="0.85">
      <c r="A942" s="20">
        <v>1</v>
      </c>
      <c r="B942" s="66">
        <f>SUBTOTAL(103,$A$558:A942)</f>
        <v>339</v>
      </c>
      <c r="C942" s="24" t="s">
        <v>150</v>
      </c>
      <c r="D942" s="31">
        <f>E942+F942+G942+H942+I942+J942+L942+N942+P942+R942+T942+U942+V942+W942+X942+Y942+Z942+AA942+AB942+AC942+AD942+AE942</f>
        <v>1822040.62</v>
      </c>
      <c r="E942" s="31">
        <v>0</v>
      </c>
      <c r="F942" s="31">
        <v>0</v>
      </c>
      <c r="G942" s="31">
        <v>0</v>
      </c>
      <c r="H942" s="31">
        <v>0</v>
      </c>
      <c r="I942" s="31">
        <v>367412.22</v>
      </c>
      <c r="J942" s="31">
        <v>0</v>
      </c>
      <c r="K942" s="33">
        <v>0</v>
      </c>
      <c r="L942" s="31">
        <v>0</v>
      </c>
      <c r="M942" s="31">
        <v>300</v>
      </c>
      <c r="N942" s="31">
        <f>1287679.62+21795.47</f>
        <v>1309475.0900000001</v>
      </c>
      <c r="O942" s="31">
        <v>0</v>
      </c>
      <c r="P942" s="31">
        <v>0</v>
      </c>
      <c r="Q942" s="31">
        <v>0</v>
      </c>
      <c r="R942" s="31">
        <v>0</v>
      </c>
      <c r="S942" s="31">
        <v>0</v>
      </c>
      <c r="T942" s="31">
        <v>0</v>
      </c>
      <c r="U942" s="31">
        <v>0</v>
      </c>
      <c r="V942" s="31">
        <v>0</v>
      </c>
      <c r="W942" s="31">
        <v>0</v>
      </c>
      <c r="X942" s="31">
        <v>0</v>
      </c>
      <c r="Y942" s="31">
        <v>0</v>
      </c>
      <c r="Z942" s="31">
        <v>0</v>
      </c>
      <c r="AA942" s="31">
        <v>0</v>
      </c>
      <c r="AB942" s="31">
        <v>0</v>
      </c>
      <c r="AC942" s="31">
        <f>ROUND((N942+I942)*1.5%,2)</f>
        <v>25153.31</v>
      </c>
      <c r="AD942" s="31">
        <v>120000</v>
      </c>
      <c r="AE942" s="31">
        <v>0</v>
      </c>
      <c r="AF942" s="34">
        <v>2021</v>
      </c>
      <c r="AG942" s="34">
        <v>2021</v>
      </c>
      <c r="AH942" s="35">
        <v>2021</v>
      </c>
      <c r="AT942" s="20" t="e">
        <f>VLOOKUP(C942,AW:AX,2,FALSE)</f>
        <v>#N/A</v>
      </c>
      <c r="BZ942" s="71"/>
      <c r="CD942" s="20" t="e">
        <f t="shared" si="276"/>
        <v>#N/A</v>
      </c>
    </row>
    <row r="943" spans="1:82" ht="61.5" x14ac:dyDescent="0.85">
      <c r="A943" s="20">
        <v>1</v>
      </c>
      <c r="B943" s="66">
        <f>SUBTOTAL(103,$A$558:A943)</f>
        <v>340</v>
      </c>
      <c r="C943" s="24" t="s">
        <v>140</v>
      </c>
      <c r="D943" s="31">
        <f>E943+F943+G943+H943+I943+J943+L943+N943+P943+R943+T943+U943+V943+W943+X943+Y943+Z943+AA943+AB943+AC943+AD943+AE943</f>
        <v>5218567.4000000004</v>
      </c>
      <c r="E943" s="31">
        <v>0</v>
      </c>
      <c r="F943" s="31">
        <v>0</v>
      </c>
      <c r="G943" s="31">
        <v>0</v>
      </c>
      <c r="H943" s="31">
        <v>0</v>
      </c>
      <c r="I943" s="31">
        <v>0</v>
      </c>
      <c r="J943" s="31">
        <v>0</v>
      </c>
      <c r="K943" s="74">
        <v>0</v>
      </c>
      <c r="L943" s="31">
        <v>0</v>
      </c>
      <c r="M943" s="31">
        <v>980</v>
      </c>
      <c r="N943" s="31">
        <v>5141445.71</v>
      </c>
      <c r="O943" s="31">
        <v>0</v>
      </c>
      <c r="P943" s="31">
        <v>0</v>
      </c>
      <c r="Q943" s="31">
        <v>0</v>
      </c>
      <c r="R943" s="31">
        <v>0</v>
      </c>
      <c r="S943" s="31">
        <v>0</v>
      </c>
      <c r="T943" s="31">
        <v>0</v>
      </c>
      <c r="U943" s="31">
        <v>0</v>
      </c>
      <c r="V943" s="31">
        <v>0</v>
      </c>
      <c r="W943" s="31">
        <v>0</v>
      </c>
      <c r="X943" s="31">
        <v>0</v>
      </c>
      <c r="Y943" s="31">
        <v>0</v>
      </c>
      <c r="Z943" s="31">
        <v>0</v>
      </c>
      <c r="AA943" s="31">
        <v>0</v>
      </c>
      <c r="AB943" s="31">
        <v>0</v>
      </c>
      <c r="AC943" s="31">
        <f>ROUND(N943*1.5%,2)</f>
        <v>77121.69</v>
      </c>
      <c r="AD943" s="31">
        <v>0</v>
      </c>
      <c r="AE943" s="31">
        <v>0</v>
      </c>
      <c r="AF943" s="34" t="s">
        <v>270</v>
      </c>
      <c r="AG943" s="34">
        <v>2021</v>
      </c>
      <c r="AH943" s="35">
        <v>2021</v>
      </c>
      <c r="AT943" s="20" t="e">
        <v>#N/A</v>
      </c>
      <c r="BZ943" s="71"/>
      <c r="CD943" s="20" t="e">
        <v>#N/A</v>
      </c>
    </row>
    <row r="944" spans="1:82" ht="61.5" x14ac:dyDescent="0.85">
      <c r="B944" s="24" t="s">
        <v>883</v>
      </c>
      <c r="C944" s="24"/>
      <c r="D944" s="195">
        <f t="shared" ref="D944:AE944" si="279">D945</f>
        <v>3974620.0799999996</v>
      </c>
      <c r="E944" s="31">
        <f t="shared" si="279"/>
        <v>0</v>
      </c>
      <c r="F944" s="31">
        <f t="shared" si="279"/>
        <v>0</v>
      </c>
      <c r="G944" s="31">
        <f t="shared" si="279"/>
        <v>0</v>
      </c>
      <c r="H944" s="31">
        <f t="shared" si="279"/>
        <v>0</v>
      </c>
      <c r="I944" s="31">
        <f t="shared" si="279"/>
        <v>0</v>
      </c>
      <c r="J944" s="31">
        <f t="shared" si="279"/>
        <v>0</v>
      </c>
      <c r="K944" s="33">
        <f t="shared" si="279"/>
        <v>0</v>
      </c>
      <c r="L944" s="31">
        <f t="shared" si="279"/>
        <v>0</v>
      </c>
      <c r="M944" s="31">
        <f t="shared" si="279"/>
        <v>660</v>
      </c>
      <c r="N944" s="31">
        <f t="shared" si="279"/>
        <v>3768098.5999999996</v>
      </c>
      <c r="O944" s="31">
        <f t="shared" si="279"/>
        <v>0</v>
      </c>
      <c r="P944" s="31">
        <f t="shared" si="279"/>
        <v>0</v>
      </c>
      <c r="Q944" s="31">
        <f t="shared" si="279"/>
        <v>0</v>
      </c>
      <c r="R944" s="31">
        <f t="shared" si="279"/>
        <v>0</v>
      </c>
      <c r="S944" s="31">
        <f t="shared" si="279"/>
        <v>0</v>
      </c>
      <c r="T944" s="31">
        <f t="shared" si="279"/>
        <v>0</v>
      </c>
      <c r="U944" s="31">
        <f t="shared" si="279"/>
        <v>0</v>
      </c>
      <c r="V944" s="31">
        <f t="shared" si="279"/>
        <v>0</v>
      </c>
      <c r="W944" s="31">
        <f t="shared" si="279"/>
        <v>0</v>
      </c>
      <c r="X944" s="31">
        <f t="shared" si="279"/>
        <v>0</v>
      </c>
      <c r="Y944" s="31">
        <f t="shared" si="279"/>
        <v>0</v>
      </c>
      <c r="Z944" s="31">
        <f t="shared" si="279"/>
        <v>0</v>
      </c>
      <c r="AA944" s="31">
        <f t="shared" si="279"/>
        <v>0</v>
      </c>
      <c r="AB944" s="31">
        <f t="shared" si="279"/>
        <v>0</v>
      </c>
      <c r="AC944" s="31">
        <f t="shared" si="279"/>
        <v>56521.48</v>
      </c>
      <c r="AD944" s="31">
        <f t="shared" si="279"/>
        <v>150000</v>
      </c>
      <c r="AE944" s="31">
        <f t="shared" si="279"/>
        <v>0</v>
      </c>
      <c r="AF944" s="72" t="s">
        <v>757</v>
      </c>
      <c r="AG944" s="72" t="s">
        <v>757</v>
      </c>
      <c r="AH944" s="87" t="s">
        <v>757</v>
      </c>
      <c r="AT944" s="20" t="e">
        <f>VLOOKUP(C944,AW:AX,2,FALSE)</f>
        <v>#N/A</v>
      </c>
      <c r="BZ944" s="71">
        <v>3974620.0799999996</v>
      </c>
      <c r="CD944" s="20" t="e">
        <f>VLOOKUP(C944,CE:CF,2,FALSE)</f>
        <v>#N/A</v>
      </c>
    </row>
    <row r="945" spans="1:82" ht="61.5" x14ac:dyDescent="0.85">
      <c r="A945" s="20">
        <v>1</v>
      </c>
      <c r="B945" s="66">
        <f>SUBTOTAL(103,$A$558:A945)</f>
        <v>341</v>
      </c>
      <c r="C945" s="24" t="s">
        <v>151</v>
      </c>
      <c r="D945" s="31">
        <f>E945+F945+G945+H945+I945+J945+L945+N945+P945+R945+T945+U945+V945+W945+X945+Y945+Z945+AA945+AB945+AC945+AD945+AE945</f>
        <v>3974620.0799999996</v>
      </c>
      <c r="E945" s="31">
        <v>0</v>
      </c>
      <c r="F945" s="31">
        <v>0</v>
      </c>
      <c r="G945" s="31">
        <v>0</v>
      </c>
      <c r="H945" s="31">
        <v>0</v>
      </c>
      <c r="I945" s="31">
        <v>0</v>
      </c>
      <c r="J945" s="31">
        <v>0</v>
      </c>
      <c r="K945" s="33">
        <v>0</v>
      </c>
      <c r="L945" s="31">
        <v>0</v>
      </c>
      <c r="M945" s="31">
        <v>660</v>
      </c>
      <c r="N945" s="31">
        <f>3247692.88+520405.72</f>
        <v>3768098.5999999996</v>
      </c>
      <c r="O945" s="31">
        <v>0</v>
      </c>
      <c r="P945" s="31">
        <v>0</v>
      </c>
      <c r="Q945" s="31">
        <v>0</v>
      </c>
      <c r="R945" s="31">
        <v>0</v>
      </c>
      <c r="S945" s="31">
        <v>0</v>
      </c>
      <c r="T945" s="31">
        <v>0</v>
      </c>
      <c r="U945" s="31">
        <v>0</v>
      </c>
      <c r="V945" s="31">
        <v>0</v>
      </c>
      <c r="W945" s="31">
        <v>0</v>
      </c>
      <c r="X945" s="31">
        <v>0</v>
      </c>
      <c r="Y945" s="31">
        <v>0</v>
      </c>
      <c r="Z945" s="31">
        <v>0</v>
      </c>
      <c r="AA945" s="31">
        <v>0</v>
      </c>
      <c r="AB945" s="31">
        <v>0</v>
      </c>
      <c r="AC945" s="31">
        <f>ROUND(N945*1.5%,2)</f>
        <v>56521.48</v>
      </c>
      <c r="AD945" s="31">
        <v>150000</v>
      </c>
      <c r="AE945" s="31">
        <v>0</v>
      </c>
      <c r="AF945" s="34">
        <v>2021</v>
      </c>
      <c r="AG945" s="34">
        <v>2021</v>
      </c>
      <c r="AH945" s="35">
        <v>2021</v>
      </c>
      <c r="AT945" s="20" t="e">
        <f>VLOOKUP(C945,AW:AX,2,FALSE)</f>
        <v>#N/A</v>
      </c>
      <c r="BZ945" s="71"/>
      <c r="CD945" s="20" t="e">
        <f>VLOOKUP(C945,CE:CF,2,FALSE)</f>
        <v>#N/A</v>
      </c>
    </row>
    <row r="946" spans="1:82" ht="61.5" x14ac:dyDescent="0.85">
      <c r="B946" s="24" t="s">
        <v>884</v>
      </c>
      <c r="C946" s="24"/>
      <c r="D946" s="195">
        <f t="shared" ref="D946:AE948" si="280">D947</f>
        <v>2957808</v>
      </c>
      <c r="E946" s="31">
        <f t="shared" si="280"/>
        <v>0</v>
      </c>
      <c r="F946" s="31">
        <f t="shared" si="280"/>
        <v>0</v>
      </c>
      <c r="G946" s="31">
        <f t="shared" si="280"/>
        <v>0</v>
      </c>
      <c r="H946" s="31">
        <f t="shared" si="280"/>
        <v>0</v>
      </c>
      <c r="I946" s="31">
        <f t="shared" si="280"/>
        <v>0</v>
      </c>
      <c r="J946" s="31">
        <f t="shared" si="280"/>
        <v>0</v>
      </c>
      <c r="K946" s="33">
        <f t="shared" si="280"/>
        <v>0</v>
      </c>
      <c r="L946" s="31">
        <f t="shared" si="280"/>
        <v>0</v>
      </c>
      <c r="M946" s="31">
        <f t="shared" si="280"/>
        <v>600</v>
      </c>
      <c r="N946" s="31">
        <f t="shared" si="280"/>
        <v>2766313.3</v>
      </c>
      <c r="O946" s="31">
        <f t="shared" si="280"/>
        <v>0</v>
      </c>
      <c r="P946" s="31">
        <f t="shared" si="280"/>
        <v>0</v>
      </c>
      <c r="Q946" s="31">
        <f t="shared" si="280"/>
        <v>0</v>
      </c>
      <c r="R946" s="31">
        <f t="shared" si="280"/>
        <v>0</v>
      </c>
      <c r="S946" s="31">
        <f t="shared" si="280"/>
        <v>0</v>
      </c>
      <c r="T946" s="31">
        <f t="shared" si="280"/>
        <v>0</v>
      </c>
      <c r="U946" s="31">
        <f t="shared" si="280"/>
        <v>0</v>
      </c>
      <c r="V946" s="31">
        <f t="shared" si="280"/>
        <v>0</v>
      </c>
      <c r="W946" s="31">
        <f t="shared" si="280"/>
        <v>0</v>
      </c>
      <c r="X946" s="31">
        <f t="shared" si="280"/>
        <v>0</v>
      </c>
      <c r="Y946" s="31">
        <f t="shared" si="280"/>
        <v>0</v>
      </c>
      <c r="Z946" s="31">
        <f t="shared" si="280"/>
        <v>0</v>
      </c>
      <c r="AA946" s="31">
        <f t="shared" si="280"/>
        <v>0</v>
      </c>
      <c r="AB946" s="31">
        <f t="shared" si="280"/>
        <v>0</v>
      </c>
      <c r="AC946" s="31">
        <f t="shared" si="280"/>
        <v>41494.699999999997</v>
      </c>
      <c r="AD946" s="31">
        <f t="shared" si="280"/>
        <v>150000</v>
      </c>
      <c r="AE946" s="31">
        <f t="shared" si="280"/>
        <v>0</v>
      </c>
      <c r="AF946" s="72" t="s">
        <v>757</v>
      </c>
      <c r="AG946" s="72" t="s">
        <v>757</v>
      </c>
      <c r="AH946" s="87" t="s">
        <v>757</v>
      </c>
      <c r="AT946" s="20" t="e">
        <f>VLOOKUP(C946,AW:AX,2,FALSE)</f>
        <v>#N/A</v>
      </c>
      <c r="BZ946" s="71">
        <v>2957808</v>
      </c>
      <c r="CD946" s="20" t="e">
        <f>VLOOKUP(C946,CE:CF,2,FALSE)</f>
        <v>#N/A</v>
      </c>
    </row>
    <row r="947" spans="1:82" ht="61.5" x14ac:dyDescent="0.85">
      <c r="A947" s="20">
        <v>1</v>
      </c>
      <c r="B947" s="66">
        <f>SUBTOTAL(103,$A$558:A947)</f>
        <v>342</v>
      </c>
      <c r="C947" s="24" t="s">
        <v>156</v>
      </c>
      <c r="D947" s="31">
        <f>E947+F947+G947+H947+I947+J947+L947+N947+P947+R947+T947+U947+V947+W947+X947+Y947+Z947+AA947+AB947+AC947+AD947+AE947</f>
        <v>2957808</v>
      </c>
      <c r="E947" s="31">
        <v>0</v>
      </c>
      <c r="F947" s="31">
        <v>0</v>
      </c>
      <c r="G947" s="31">
        <v>0</v>
      </c>
      <c r="H947" s="31">
        <v>0</v>
      </c>
      <c r="I947" s="31">
        <v>0</v>
      </c>
      <c r="J947" s="31">
        <v>0</v>
      </c>
      <c r="K947" s="33">
        <v>0</v>
      </c>
      <c r="L947" s="31">
        <v>0</v>
      </c>
      <c r="M947" s="31">
        <v>600</v>
      </c>
      <c r="N947" s="31">
        <v>2766313.3</v>
      </c>
      <c r="O947" s="31">
        <v>0</v>
      </c>
      <c r="P947" s="31">
        <v>0</v>
      </c>
      <c r="Q947" s="31">
        <v>0</v>
      </c>
      <c r="R947" s="31">
        <v>0</v>
      </c>
      <c r="S947" s="31">
        <v>0</v>
      </c>
      <c r="T947" s="31">
        <v>0</v>
      </c>
      <c r="U947" s="31">
        <v>0</v>
      </c>
      <c r="V947" s="31">
        <v>0</v>
      </c>
      <c r="W947" s="31">
        <v>0</v>
      </c>
      <c r="X947" s="31">
        <v>0</v>
      </c>
      <c r="Y947" s="31">
        <v>0</v>
      </c>
      <c r="Z947" s="31">
        <v>0</v>
      </c>
      <c r="AA947" s="31">
        <v>0</v>
      </c>
      <c r="AB947" s="31">
        <v>0</v>
      </c>
      <c r="AC947" s="31">
        <f>ROUND(N947*1.5%,2)</f>
        <v>41494.699999999997</v>
      </c>
      <c r="AD947" s="31">
        <v>150000</v>
      </c>
      <c r="AE947" s="31">
        <v>0</v>
      </c>
      <c r="AF947" s="34">
        <v>2021</v>
      </c>
      <c r="AG947" s="34">
        <v>2021</v>
      </c>
      <c r="AH947" s="35">
        <v>2021</v>
      </c>
      <c r="AT947" s="20" t="e">
        <f>VLOOKUP(C947,AW:AX,2,FALSE)</f>
        <v>#N/A</v>
      </c>
      <c r="BZ947" s="71"/>
      <c r="CD947" s="20" t="e">
        <f>VLOOKUP(C947,CE:CF,2,FALSE)</f>
        <v>#N/A</v>
      </c>
    </row>
    <row r="948" spans="1:82" ht="61.5" x14ac:dyDescent="0.85">
      <c r="B948" s="24" t="s">
        <v>856</v>
      </c>
      <c r="C948" s="24"/>
      <c r="D948" s="195">
        <f t="shared" si="280"/>
        <v>2594808.33</v>
      </c>
      <c r="E948" s="31">
        <f t="shared" si="280"/>
        <v>0</v>
      </c>
      <c r="F948" s="31">
        <f t="shared" si="280"/>
        <v>0</v>
      </c>
      <c r="G948" s="31">
        <f t="shared" si="280"/>
        <v>0</v>
      </c>
      <c r="H948" s="31">
        <f t="shared" si="280"/>
        <v>0</v>
      </c>
      <c r="I948" s="31">
        <f t="shared" si="280"/>
        <v>0</v>
      </c>
      <c r="J948" s="31">
        <f t="shared" si="280"/>
        <v>0</v>
      </c>
      <c r="K948" s="33">
        <f t="shared" si="280"/>
        <v>0</v>
      </c>
      <c r="L948" s="31">
        <f t="shared" si="280"/>
        <v>0</v>
      </c>
      <c r="M948" s="31">
        <f t="shared" si="280"/>
        <v>629.1</v>
      </c>
      <c r="N948" s="31">
        <f t="shared" si="280"/>
        <v>2556461.41</v>
      </c>
      <c r="O948" s="31">
        <f t="shared" si="280"/>
        <v>0</v>
      </c>
      <c r="P948" s="31">
        <f t="shared" si="280"/>
        <v>0</v>
      </c>
      <c r="Q948" s="31">
        <f t="shared" si="280"/>
        <v>0</v>
      </c>
      <c r="R948" s="31">
        <f t="shared" si="280"/>
        <v>0</v>
      </c>
      <c r="S948" s="31">
        <f t="shared" si="280"/>
        <v>0</v>
      </c>
      <c r="T948" s="31">
        <f t="shared" si="280"/>
        <v>0</v>
      </c>
      <c r="U948" s="31">
        <f t="shared" si="280"/>
        <v>0</v>
      </c>
      <c r="V948" s="31">
        <f t="shared" si="280"/>
        <v>0</v>
      </c>
      <c r="W948" s="31">
        <f t="shared" si="280"/>
        <v>0</v>
      </c>
      <c r="X948" s="31">
        <f t="shared" si="280"/>
        <v>0</v>
      </c>
      <c r="Y948" s="31">
        <f t="shared" si="280"/>
        <v>0</v>
      </c>
      <c r="Z948" s="31">
        <f t="shared" si="280"/>
        <v>0</v>
      </c>
      <c r="AA948" s="31">
        <f t="shared" si="280"/>
        <v>0</v>
      </c>
      <c r="AB948" s="31">
        <f t="shared" si="280"/>
        <v>0</v>
      </c>
      <c r="AC948" s="31">
        <f t="shared" si="280"/>
        <v>38346.92</v>
      </c>
      <c r="AD948" s="31">
        <f t="shared" si="280"/>
        <v>0</v>
      </c>
      <c r="AE948" s="31">
        <f t="shared" si="280"/>
        <v>0</v>
      </c>
      <c r="AF948" s="72" t="s">
        <v>757</v>
      </c>
      <c r="AG948" s="72" t="s">
        <v>757</v>
      </c>
      <c r="AH948" s="87" t="s">
        <v>757</v>
      </c>
      <c r="AT948" s="20" t="e">
        <f>VLOOKUP(C948,AW:AX,2,FALSE)</f>
        <v>#N/A</v>
      </c>
      <c r="BZ948" s="71">
        <v>2957808</v>
      </c>
      <c r="CD948" s="20" t="e">
        <f>VLOOKUP(C948,CE:CF,2,FALSE)</f>
        <v>#N/A</v>
      </c>
    </row>
    <row r="949" spans="1:82" ht="61.5" x14ac:dyDescent="0.85">
      <c r="A949" s="20">
        <v>1</v>
      </c>
      <c r="B949" s="66">
        <f>SUBTOTAL(103,$A$558:A949)</f>
        <v>343</v>
      </c>
      <c r="C949" s="24" t="s">
        <v>145</v>
      </c>
      <c r="D949" s="31">
        <f>E949+F949+G949+H949+I949+J949+L949+N949+P949+R949+T949+U949+V949+W949+X949+Y949+Z949+AA949+AB949+AC949+AD949+AE949</f>
        <v>2594808.33</v>
      </c>
      <c r="E949" s="31">
        <v>0</v>
      </c>
      <c r="F949" s="31">
        <v>0</v>
      </c>
      <c r="G949" s="31">
        <v>0</v>
      </c>
      <c r="H949" s="31">
        <v>0</v>
      </c>
      <c r="I949" s="31">
        <v>0</v>
      </c>
      <c r="J949" s="31">
        <v>0</v>
      </c>
      <c r="K949" s="74">
        <v>0</v>
      </c>
      <c r="L949" s="31">
        <v>0</v>
      </c>
      <c r="M949" s="31">
        <v>629.1</v>
      </c>
      <c r="N949" s="31">
        <f>2494957.68+61503.73</f>
        <v>2556461.41</v>
      </c>
      <c r="O949" s="31">
        <v>0</v>
      </c>
      <c r="P949" s="31">
        <v>0</v>
      </c>
      <c r="Q949" s="31">
        <v>0</v>
      </c>
      <c r="R949" s="31">
        <v>0</v>
      </c>
      <c r="S949" s="31">
        <v>0</v>
      </c>
      <c r="T949" s="31">
        <v>0</v>
      </c>
      <c r="U949" s="31">
        <v>0</v>
      </c>
      <c r="V949" s="31">
        <v>0</v>
      </c>
      <c r="W949" s="31">
        <v>0</v>
      </c>
      <c r="X949" s="31">
        <v>0</v>
      </c>
      <c r="Y949" s="31">
        <v>0</v>
      </c>
      <c r="Z949" s="31">
        <v>0</v>
      </c>
      <c r="AA949" s="31">
        <v>0</v>
      </c>
      <c r="AB949" s="31">
        <v>0</v>
      </c>
      <c r="AC949" s="31">
        <f>ROUND(N949*1.5%,2)</f>
        <v>38346.92</v>
      </c>
      <c r="AD949" s="31">
        <v>0</v>
      </c>
      <c r="AE949" s="31">
        <v>0</v>
      </c>
      <c r="AF949" s="34" t="s">
        <v>270</v>
      </c>
      <c r="AG949" s="34">
        <v>2021</v>
      </c>
      <c r="AH949" s="35">
        <v>2021</v>
      </c>
      <c r="AT949" s="20" t="e">
        <v>#N/A</v>
      </c>
      <c r="BZ949" s="71"/>
      <c r="CD949" s="20" t="e">
        <v>#N/A</v>
      </c>
    </row>
    <row r="950" spans="1:82" ht="61.5" x14ac:dyDescent="0.85">
      <c r="B950" s="24" t="s">
        <v>857</v>
      </c>
      <c r="C950" s="24"/>
      <c r="D950" s="195">
        <f>SUM(D951:D953)</f>
        <v>11852193.1</v>
      </c>
      <c r="E950" s="31">
        <f t="shared" ref="E950:AE950" si="281">SUM(E951:E953)</f>
        <v>0</v>
      </c>
      <c r="F950" s="31">
        <f t="shared" si="281"/>
        <v>0</v>
      </c>
      <c r="G950" s="31">
        <f t="shared" si="281"/>
        <v>0</v>
      </c>
      <c r="H950" s="31">
        <f t="shared" si="281"/>
        <v>0</v>
      </c>
      <c r="I950" s="31">
        <f t="shared" si="281"/>
        <v>0</v>
      </c>
      <c r="J950" s="31">
        <f t="shared" si="281"/>
        <v>0</v>
      </c>
      <c r="K950" s="33">
        <f t="shared" si="281"/>
        <v>0</v>
      </c>
      <c r="L950" s="31">
        <f t="shared" si="281"/>
        <v>0</v>
      </c>
      <c r="M950" s="31">
        <f t="shared" si="281"/>
        <v>1381.8</v>
      </c>
      <c r="N950" s="31">
        <f t="shared" si="281"/>
        <v>6801924.4900000002</v>
      </c>
      <c r="O950" s="31">
        <f t="shared" si="281"/>
        <v>0</v>
      </c>
      <c r="P950" s="31">
        <f t="shared" si="281"/>
        <v>0</v>
      </c>
      <c r="Q950" s="31">
        <f t="shared" si="281"/>
        <v>0</v>
      </c>
      <c r="R950" s="31">
        <f t="shared" si="281"/>
        <v>0</v>
      </c>
      <c r="S950" s="31">
        <f t="shared" si="281"/>
        <v>0</v>
      </c>
      <c r="T950" s="31">
        <f t="shared" si="281"/>
        <v>0</v>
      </c>
      <c r="U950" s="31">
        <f t="shared" si="281"/>
        <v>4756801.37</v>
      </c>
      <c r="V950" s="31">
        <f t="shared" si="281"/>
        <v>0</v>
      </c>
      <c r="W950" s="31">
        <f t="shared" si="281"/>
        <v>0</v>
      </c>
      <c r="X950" s="31">
        <f t="shared" si="281"/>
        <v>0</v>
      </c>
      <c r="Y950" s="31">
        <f t="shared" si="281"/>
        <v>0</v>
      </c>
      <c r="Z950" s="31">
        <f t="shared" si="281"/>
        <v>0</v>
      </c>
      <c r="AA950" s="31">
        <f t="shared" si="281"/>
        <v>0</v>
      </c>
      <c r="AB950" s="31">
        <f t="shared" si="281"/>
        <v>0</v>
      </c>
      <c r="AC950" s="31">
        <f t="shared" si="281"/>
        <v>173380.88</v>
      </c>
      <c r="AD950" s="31">
        <f t="shared" si="281"/>
        <v>120086.36</v>
      </c>
      <c r="AE950" s="31">
        <f t="shared" si="281"/>
        <v>0</v>
      </c>
      <c r="AF950" s="72" t="s">
        <v>757</v>
      </c>
      <c r="AG950" s="72" t="s">
        <v>757</v>
      </c>
      <c r="AH950" s="87" t="s">
        <v>757</v>
      </c>
      <c r="AT950" s="20" t="e">
        <f>VLOOKUP(C950,AW:AX,2,FALSE)</f>
        <v>#N/A</v>
      </c>
      <c r="BZ950" s="71">
        <v>4651054.3499999996</v>
      </c>
      <c r="CD950" s="20" t="e">
        <f>VLOOKUP(C950,CE:CF,2,FALSE)</f>
        <v>#N/A</v>
      </c>
    </row>
    <row r="951" spans="1:82" ht="61.5" x14ac:dyDescent="0.85">
      <c r="A951" s="20">
        <v>1</v>
      </c>
      <c r="B951" s="66">
        <f>SUBTOTAL(103,$A$558:A951)</f>
        <v>344</v>
      </c>
      <c r="C951" s="24" t="s">
        <v>155</v>
      </c>
      <c r="D951" s="31">
        <f>E951+F951+G951+H951+I951+J951+L951+N951+P951+R951+T951+U951+V951+W951+X951+Y951+Z951+AA951+AB951+AC951+AD951+AE951</f>
        <v>4621140.71</v>
      </c>
      <c r="E951" s="31">
        <v>0</v>
      </c>
      <c r="F951" s="31">
        <v>0</v>
      </c>
      <c r="G951" s="31">
        <v>0</v>
      </c>
      <c r="H951" s="31">
        <v>0</v>
      </c>
      <c r="I951" s="31">
        <v>0</v>
      </c>
      <c r="J951" s="31">
        <v>0</v>
      </c>
      <c r="K951" s="33">
        <v>0</v>
      </c>
      <c r="L951" s="31">
        <v>0</v>
      </c>
      <c r="M951" s="31">
        <v>785</v>
      </c>
      <c r="N951" s="31">
        <v>4434536.3099999996</v>
      </c>
      <c r="O951" s="31">
        <v>0</v>
      </c>
      <c r="P951" s="31">
        <v>0</v>
      </c>
      <c r="Q951" s="31">
        <v>0</v>
      </c>
      <c r="R951" s="31">
        <v>0</v>
      </c>
      <c r="S951" s="31">
        <v>0</v>
      </c>
      <c r="T951" s="31">
        <v>0</v>
      </c>
      <c r="U951" s="31">
        <v>0</v>
      </c>
      <c r="V951" s="31">
        <v>0</v>
      </c>
      <c r="W951" s="31">
        <v>0</v>
      </c>
      <c r="X951" s="31">
        <v>0</v>
      </c>
      <c r="Y951" s="31">
        <v>0</v>
      </c>
      <c r="Z951" s="31">
        <v>0</v>
      </c>
      <c r="AA951" s="31">
        <v>0</v>
      </c>
      <c r="AB951" s="31">
        <v>0</v>
      </c>
      <c r="AC951" s="31">
        <f>ROUND(N951*1.5%,2)</f>
        <v>66518.039999999994</v>
      </c>
      <c r="AD951" s="31">
        <v>120086.36</v>
      </c>
      <c r="AE951" s="31">
        <v>0</v>
      </c>
      <c r="AF951" s="34">
        <v>2021</v>
      </c>
      <c r="AG951" s="34">
        <v>2021</v>
      </c>
      <c r="AH951" s="35">
        <v>2021</v>
      </c>
      <c r="AT951" s="20" t="e">
        <f>VLOOKUP(C951,AW:AX,2,FALSE)</f>
        <v>#N/A</v>
      </c>
      <c r="BZ951" s="71"/>
      <c r="CD951" s="20" t="e">
        <f>VLOOKUP(C951,CE:CF,2,FALSE)</f>
        <v>#N/A</v>
      </c>
    </row>
    <row r="952" spans="1:82" ht="61.5" x14ac:dyDescent="0.85">
      <c r="A952" s="20">
        <v>1</v>
      </c>
      <c r="B952" s="66">
        <f>SUBTOTAL(103,$A$558:A952)</f>
        <v>345</v>
      </c>
      <c r="C952" s="24" t="s">
        <v>143</v>
      </c>
      <c r="D952" s="31">
        <f>E952+F952+G952+H952+I952+J952+L952+N952+P952+R952+T952+U952+V952+W952+X952+Y952+Z952+AA952+AB952+AC952+AD952+AE952</f>
        <v>4828153.3899999997</v>
      </c>
      <c r="E952" s="31">
        <v>0</v>
      </c>
      <c r="F952" s="31">
        <v>0</v>
      </c>
      <c r="G952" s="31">
        <v>0</v>
      </c>
      <c r="H952" s="31">
        <v>0</v>
      </c>
      <c r="I952" s="31">
        <v>0</v>
      </c>
      <c r="J952" s="31">
        <v>0</v>
      </c>
      <c r="K952" s="74">
        <v>0</v>
      </c>
      <c r="L952" s="31">
        <v>0</v>
      </c>
      <c r="M952" s="31">
        <v>0</v>
      </c>
      <c r="N952" s="31">
        <v>0</v>
      </c>
      <c r="O952" s="31">
        <v>0</v>
      </c>
      <c r="P952" s="31">
        <v>0</v>
      </c>
      <c r="Q952" s="31">
        <v>0</v>
      </c>
      <c r="R952" s="31">
        <v>0</v>
      </c>
      <c r="S952" s="31">
        <v>0</v>
      </c>
      <c r="T952" s="31">
        <v>0</v>
      </c>
      <c r="U952" s="31">
        <f>4750000-23149.57+29950.94</f>
        <v>4756801.37</v>
      </c>
      <c r="V952" s="31">
        <v>0</v>
      </c>
      <c r="W952" s="31">
        <v>0</v>
      </c>
      <c r="X952" s="31">
        <v>0</v>
      </c>
      <c r="Y952" s="31">
        <v>0</v>
      </c>
      <c r="Z952" s="31">
        <v>0</v>
      </c>
      <c r="AA952" s="31">
        <v>0</v>
      </c>
      <c r="AB952" s="31">
        <v>0</v>
      </c>
      <c r="AC952" s="31">
        <f>ROUND(U952*1.5%,2)</f>
        <v>71352.02</v>
      </c>
      <c r="AD952" s="31">
        <v>0</v>
      </c>
      <c r="AE952" s="31">
        <v>0</v>
      </c>
      <c r="AF952" s="34" t="s">
        <v>270</v>
      </c>
      <c r="AG952" s="34">
        <v>2021</v>
      </c>
      <c r="AH952" s="35">
        <v>2021</v>
      </c>
      <c r="AT952" s="20" t="e">
        <v>#N/A</v>
      </c>
      <c r="BZ952" s="71"/>
      <c r="CD952" s="20" t="e">
        <v>#N/A</v>
      </c>
    </row>
    <row r="953" spans="1:82" ht="61.5" x14ac:dyDescent="0.85">
      <c r="A953" s="20">
        <v>1</v>
      </c>
      <c r="B953" s="66">
        <f>SUBTOTAL(103,$A$558:A953)</f>
        <v>346</v>
      </c>
      <c r="C953" s="24" t="s">
        <v>1302</v>
      </c>
      <c r="D953" s="31">
        <f>E953+F953+G953+H953+I953+J953+L953+N953+P953+R953+T953+U953+V953+W953+X953+Y953+Z953+AA953+AB953+AC953+AD953+AE953</f>
        <v>2402899</v>
      </c>
      <c r="E953" s="31">
        <v>0</v>
      </c>
      <c r="F953" s="31">
        <v>0</v>
      </c>
      <c r="G953" s="31">
        <v>0</v>
      </c>
      <c r="H953" s="31">
        <v>0</v>
      </c>
      <c r="I953" s="31">
        <v>0</v>
      </c>
      <c r="J953" s="31">
        <v>0</v>
      </c>
      <c r="K953" s="74">
        <v>0</v>
      </c>
      <c r="L953" s="31">
        <v>0</v>
      </c>
      <c r="M953" s="31">
        <v>596.79999999999995</v>
      </c>
      <c r="N953" s="31">
        <f>2367388.18</f>
        <v>2367388.1800000002</v>
      </c>
      <c r="O953" s="31">
        <v>0</v>
      </c>
      <c r="P953" s="31">
        <v>0</v>
      </c>
      <c r="Q953" s="31">
        <v>0</v>
      </c>
      <c r="R953" s="31">
        <v>0</v>
      </c>
      <c r="S953" s="31">
        <v>0</v>
      </c>
      <c r="T953" s="31">
        <v>0</v>
      </c>
      <c r="U953" s="31">
        <v>0</v>
      </c>
      <c r="V953" s="31">
        <v>0</v>
      </c>
      <c r="W953" s="31">
        <v>0</v>
      </c>
      <c r="X953" s="31">
        <v>0</v>
      </c>
      <c r="Y953" s="31">
        <v>0</v>
      </c>
      <c r="Z953" s="31">
        <v>0</v>
      </c>
      <c r="AA953" s="31">
        <v>0</v>
      </c>
      <c r="AB953" s="31">
        <v>0</v>
      </c>
      <c r="AC953" s="31">
        <f>ROUND(N953*1.5%,2)</f>
        <v>35510.82</v>
      </c>
      <c r="AD953" s="31">
        <v>0</v>
      </c>
      <c r="AE953" s="31">
        <v>0</v>
      </c>
      <c r="AF953" s="34" t="s">
        <v>270</v>
      </c>
      <c r="AG953" s="34">
        <v>2021</v>
      </c>
      <c r="AH953" s="35">
        <v>2021</v>
      </c>
      <c r="BZ953" s="71"/>
      <c r="CD953" s="20" t="e">
        <f t="shared" ref="CD953:CD962" si="282">VLOOKUP(C953,CE:CF,2,FALSE)</f>
        <v>#N/A</v>
      </c>
    </row>
    <row r="954" spans="1:82" ht="61.5" x14ac:dyDescent="0.85">
      <c r="B954" s="24" t="s">
        <v>858</v>
      </c>
      <c r="C954" s="24"/>
      <c r="D954" s="195">
        <f t="shared" ref="D954:AE954" si="283">SUM(D955:D959)</f>
        <v>17164297.239999998</v>
      </c>
      <c r="E954" s="31">
        <f t="shared" si="283"/>
        <v>0</v>
      </c>
      <c r="F954" s="31">
        <f t="shared" si="283"/>
        <v>0</v>
      </c>
      <c r="G954" s="31">
        <f t="shared" si="283"/>
        <v>0</v>
      </c>
      <c r="H954" s="31">
        <f t="shared" si="283"/>
        <v>0</v>
      </c>
      <c r="I954" s="31">
        <f t="shared" si="283"/>
        <v>0</v>
      </c>
      <c r="J954" s="31">
        <f t="shared" si="283"/>
        <v>0</v>
      </c>
      <c r="K954" s="33">
        <f t="shared" si="283"/>
        <v>0</v>
      </c>
      <c r="L954" s="31">
        <f t="shared" si="283"/>
        <v>0</v>
      </c>
      <c r="M954" s="31">
        <f t="shared" si="283"/>
        <v>3179.1099999999997</v>
      </c>
      <c r="N954" s="31">
        <f t="shared" si="283"/>
        <v>16086992.350000001</v>
      </c>
      <c r="O954" s="31">
        <f t="shared" si="283"/>
        <v>0</v>
      </c>
      <c r="P954" s="31">
        <f t="shared" si="283"/>
        <v>0</v>
      </c>
      <c r="Q954" s="31">
        <f t="shared" si="283"/>
        <v>0</v>
      </c>
      <c r="R954" s="31">
        <f t="shared" si="283"/>
        <v>0</v>
      </c>
      <c r="S954" s="31">
        <f t="shared" si="283"/>
        <v>0</v>
      </c>
      <c r="T954" s="31">
        <f t="shared" si="283"/>
        <v>0</v>
      </c>
      <c r="U954" s="31">
        <f t="shared" si="283"/>
        <v>0</v>
      </c>
      <c r="V954" s="31">
        <f t="shared" si="283"/>
        <v>0</v>
      </c>
      <c r="W954" s="31">
        <f t="shared" si="283"/>
        <v>0</v>
      </c>
      <c r="X954" s="31">
        <f t="shared" si="283"/>
        <v>0</v>
      </c>
      <c r="Y954" s="31">
        <f t="shared" si="283"/>
        <v>0</v>
      </c>
      <c r="Z954" s="31">
        <f t="shared" si="283"/>
        <v>0</v>
      </c>
      <c r="AA954" s="31">
        <f t="shared" si="283"/>
        <v>400000</v>
      </c>
      <c r="AB954" s="31">
        <f t="shared" si="283"/>
        <v>0</v>
      </c>
      <c r="AC954" s="31">
        <f t="shared" si="283"/>
        <v>247304.89</v>
      </c>
      <c r="AD954" s="31">
        <f t="shared" si="283"/>
        <v>430000</v>
      </c>
      <c r="AE954" s="31">
        <f t="shared" si="283"/>
        <v>0</v>
      </c>
      <c r="AF954" s="72" t="s">
        <v>757</v>
      </c>
      <c r="AG954" s="72" t="s">
        <v>757</v>
      </c>
      <c r="AH954" s="87" t="s">
        <v>757</v>
      </c>
      <c r="AT954" s="20" t="e">
        <f>VLOOKUP(C954,AW:AX,2,FALSE)</f>
        <v>#N/A</v>
      </c>
      <c r="BZ954" s="31">
        <v>3145116.58</v>
      </c>
      <c r="CA954" s="31"/>
      <c r="CB954" s="31">
        <f>BZ954-D954</f>
        <v>-14019180.659999998</v>
      </c>
      <c r="CD954" s="20" t="e">
        <f t="shared" si="282"/>
        <v>#N/A</v>
      </c>
    </row>
    <row r="955" spans="1:82" ht="61.5" x14ac:dyDescent="0.85">
      <c r="A955" s="20">
        <v>1</v>
      </c>
      <c r="B955" s="66">
        <f>SUBTOTAL(103,$A$558:A955)</f>
        <v>347</v>
      </c>
      <c r="C955" s="24" t="s">
        <v>154</v>
      </c>
      <c r="D955" s="31">
        <f>E955+F955+G955+H955+I955+J955+L955+N955+P955+R955+T955+U955+V955+W955+X955+Y955+Z955+AA955+AB955+AC955+AD955+AE955</f>
        <v>3145116.58</v>
      </c>
      <c r="E955" s="31">
        <v>0</v>
      </c>
      <c r="F955" s="31">
        <v>0</v>
      </c>
      <c r="G955" s="31">
        <v>0</v>
      </c>
      <c r="H955" s="31">
        <v>0</v>
      </c>
      <c r="I955" s="31">
        <v>0</v>
      </c>
      <c r="J955" s="31">
        <v>0</v>
      </c>
      <c r="K955" s="33">
        <v>0</v>
      </c>
      <c r="L955" s="31">
        <v>0</v>
      </c>
      <c r="M955" s="31">
        <v>602.30999999999995</v>
      </c>
      <c r="N955" s="31">
        <v>2950853.77</v>
      </c>
      <c r="O955" s="31">
        <v>0</v>
      </c>
      <c r="P955" s="31">
        <v>0</v>
      </c>
      <c r="Q955" s="31">
        <v>0</v>
      </c>
      <c r="R955" s="31">
        <v>0</v>
      </c>
      <c r="S955" s="31">
        <v>0</v>
      </c>
      <c r="T955" s="31">
        <v>0</v>
      </c>
      <c r="U955" s="31">
        <v>0</v>
      </c>
      <c r="V955" s="31">
        <v>0</v>
      </c>
      <c r="W955" s="31">
        <v>0</v>
      </c>
      <c r="X955" s="31">
        <v>0</v>
      </c>
      <c r="Y955" s="31">
        <v>0</v>
      </c>
      <c r="Z955" s="31">
        <v>0</v>
      </c>
      <c r="AA955" s="31">
        <v>0</v>
      </c>
      <c r="AB955" s="31">
        <v>0</v>
      </c>
      <c r="AC955" s="31">
        <f>ROUND(N955*1.5%,2)</f>
        <v>44262.81</v>
      </c>
      <c r="AD955" s="31">
        <v>150000</v>
      </c>
      <c r="AE955" s="31">
        <v>0</v>
      </c>
      <c r="AF955" s="34">
        <v>2021</v>
      </c>
      <c r="AG955" s="34">
        <v>2021</v>
      </c>
      <c r="AH955" s="35">
        <v>2021</v>
      </c>
      <c r="AT955" s="20" t="e">
        <f>VLOOKUP(C955,AW:AX,2,FALSE)</f>
        <v>#N/A</v>
      </c>
      <c r="BZ955" s="71"/>
      <c r="CD955" s="20" t="e">
        <f t="shared" si="282"/>
        <v>#N/A</v>
      </c>
    </row>
    <row r="956" spans="1:82" ht="61.5" x14ac:dyDescent="0.85">
      <c r="A956" s="20">
        <v>1</v>
      </c>
      <c r="B956" s="66">
        <f>SUBTOTAL(103,$A$558:A956)</f>
        <v>348</v>
      </c>
      <c r="C956" s="24" t="s">
        <v>1260</v>
      </c>
      <c r="D956" s="31">
        <f t="shared" ref="D956:D957" si="284">E956+F956+G956+H956+I956+J956+L956+N956+P956+R956+T956+U956+V956+W956+X956+Y956+Z956+AA956+AB956+AC956+AD956+AE956</f>
        <v>506000</v>
      </c>
      <c r="E956" s="31">
        <v>0</v>
      </c>
      <c r="F956" s="31">
        <v>0</v>
      </c>
      <c r="G956" s="31">
        <v>0</v>
      </c>
      <c r="H956" s="31">
        <v>0</v>
      </c>
      <c r="I956" s="31">
        <v>0</v>
      </c>
      <c r="J956" s="31">
        <v>0</v>
      </c>
      <c r="K956" s="33">
        <v>0</v>
      </c>
      <c r="L956" s="31">
        <v>0</v>
      </c>
      <c r="M956" s="31">
        <v>0</v>
      </c>
      <c r="N956" s="31">
        <v>0</v>
      </c>
      <c r="O956" s="31">
        <v>0</v>
      </c>
      <c r="P956" s="31">
        <v>0</v>
      </c>
      <c r="Q956" s="31">
        <v>0</v>
      </c>
      <c r="R956" s="31">
        <v>0</v>
      </c>
      <c r="S956" s="31">
        <v>0</v>
      </c>
      <c r="T956" s="31">
        <v>0</v>
      </c>
      <c r="U956" s="31">
        <v>0</v>
      </c>
      <c r="V956" s="31">
        <v>0</v>
      </c>
      <c r="W956" s="31">
        <v>0</v>
      </c>
      <c r="X956" s="31">
        <v>0</v>
      </c>
      <c r="Y956" s="31">
        <v>0</v>
      </c>
      <c r="Z956" s="31">
        <v>0</v>
      </c>
      <c r="AA956" s="31">
        <v>400000</v>
      </c>
      <c r="AB956" s="31">
        <v>0</v>
      </c>
      <c r="AC956" s="31">
        <f>ROUND(AA956*1.5%,2)</f>
        <v>6000</v>
      </c>
      <c r="AD956" s="31">
        <v>100000</v>
      </c>
      <c r="AE956" s="31">
        <v>0</v>
      </c>
      <c r="AF956" s="34">
        <v>2021</v>
      </c>
      <c r="AG956" s="34">
        <v>2021</v>
      </c>
      <c r="AH956" s="35">
        <v>2021</v>
      </c>
      <c r="BZ956" s="71"/>
      <c r="CD956" s="20" t="e">
        <f t="shared" si="282"/>
        <v>#N/A</v>
      </c>
    </row>
    <row r="957" spans="1:82" ht="61.5" x14ac:dyDescent="0.85">
      <c r="A957" s="20">
        <v>1</v>
      </c>
      <c r="B957" s="66">
        <f>SUBTOTAL(103,$A$558:A957)</f>
        <v>349</v>
      </c>
      <c r="C957" s="24" t="s">
        <v>1288</v>
      </c>
      <c r="D957" s="31">
        <f t="shared" si="284"/>
        <v>3777135.1</v>
      </c>
      <c r="E957" s="31">
        <v>0</v>
      </c>
      <c r="F957" s="31">
        <v>0</v>
      </c>
      <c r="G957" s="31">
        <v>0</v>
      </c>
      <c r="H957" s="31">
        <v>0</v>
      </c>
      <c r="I957" s="31">
        <v>0</v>
      </c>
      <c r="J957" s="31">
        <v>0</v>
      </c>
      <c r="K957" s="74">
        <v>0</v>
      </c>
      <c r="L957" s="31">
        <v>0</v>
      </c>
      <c r="M957" s="31">
        <v>500</v>
      </c>
      <c r="N957" s="31">
        <v>3721315.37</v>
      </c>
      <c r="O957" s="31">
        <v>0</v>
      </c>
      <c r="P957" s="31">
        <v>0</v>
      </c>
      <c r="Q957" s="31">
        <v>0</v>
      </c>
      <c r="R957" s="31">
        <v>0</v>
      </c>
      <c r="S957" s="31">
        <v>0</v>
      </c>
      <c r="T957" s="31">
        <v>0</v>
      </c>
      <c r="U957" s="31">
        <v>0</v>
      </c>
      <c r="V957" s="31">
        <v>0</v>
      </c>
      <c r="W957" s="31">
        <v>0</v>
      </c>
      <c r="X957" s="31">
        <v>0</v>
      </c>
      <c r="Y957" s="31">
        <v>0</v>
      </c>
      <c r="Z957" s="31">
        <v>0</v>
      </c>
      <c r="AA957" s="31">
        <v>0</v>
      </c>
      <c r="AB957" s="31">
        <v>0</v>
      </c>
      <c r="AC957" s="31">
        <f>ROUND(N957*1.5%,2)</f>
        <v>55819.73</v>
      </c>
      <c r="AD957" s="31">
        <v>0</v>
      </c>
      <c r="AE957" s="31">
        <v>0</v>
      </c>
      <c r="AF957" s="34" t="s">
        <v>270</v>
      </c>
      <c r="AG957" s="34">
        <v>2021</v>
      </c>
      <c r="AH957" s="35">
        <v>2021</v>
      </c>
      <c r="BZ957" s="71"/>
      <c r="CD957" s="20">
        <f t="shared" si="282"/>
        <v>500</v>
      </c>
    </row>
    <row r="958" spans="1:82" ht="61.5" x14ac:dyDescent="0.85">
      <c r="A958" s="20">
        <v>1</v>
      </c>
      <c r="B958" s="66">
        <f>SUBTOTAL(103,$A$558:A958)</f>
        <v>350</v>
      </c>
      <c r="C958" s="24" t="s">
        <v>1289</v>
      </c>
      <c r="D958" s="31">
        <f>E958+F958+G958+H958+I958+J958+L958+N958+P958+R958+T958+U958+V958+W958+X958+Y958+Z958+AA958+AB958+AC958+AD958+AE958</f>
        <v>4895345</v>
      </c>
      <c r="E958" s="31">
        <v>0</v>
      </c>
      <c r="F958" s="31">
        <v>0</v>
      </c>
      <c r="G958" s="31">
        <v>0</v>
      </c>
      <c r="H958" s="31">
        <v>0</v>
      </c>
      <c r="I958" s="31">
        <v>0</v>
      </c>
      <c r="J958" s="31">
        <v>0</v>
      </c>
      <c r="K958" s="74">
        <v>0</v>
      </c>
      <c r="L958" s="31">
        <v>0</v>
      </c>
      <c r="M958" s="31">
        <v>958</v>
      </c>
      <c r="N958" s="31">
        <v>4823000</v>
      </c>
      <c r="O958" s="31">
        <v>0</v>
      </c>
      <c r="P958" s="31">
        <v>0</v>
      </c>
      <c r="Q958" s="31">
        <v>0</v>
      </c>
      <c r="R958" s="31">
        <v>0</v>
      </c>
      <c r="S958" s="31">
        <v>0</v>
      </c>
      <c r="T958" s="31">
        <v>0</v>
      </c>
      <c r="U958" s="31">
        <v>0</v>
      </c>
      <c r="V958" s="31">
        <v>0</v>
      </c>
      <c r="W958" s="31">
        <v>0</v>
      </c>
      <c r="X958" s="31">
        <v>0</v>
      </c>
      <c r="Y958" s="31">
        <v>0</v>
      </c>
      <c r="Z958" s="31">
        <v>0</v>
      </c>
      <c r="AA958" s="31">
        <v>0</v>
      </c>
      <c r="AB958" s="31">
        <v>0</v>
      </c>
      <c r="AC958" s="31">
        <f>ROUND(N958*1.5%,2)</f>
        <v>72345</v>
      </c>
      <c r="AD958" s="31">
        <v>0</v>
      </c>
      <c r="AE958" s="31">
        <v>0</v>
      </c>
      <c r="AF958" s="34" t="s">
        <v>270</v>
      </c>
      <c r="AG958" s="34">
        <v>2021</v>
      </c>
      <c r="AH958" s="35">
        <v>2021</v>
      </c>
      <c r="BZ958" s="71"/>
      <c r="CD958" s="20">
        <f t="shared" si="282"/>
        <v>958</v>
      </c>
    </row>
    <row r="959" spans="1:82" ht="61.5" x14ac:dyDescent="0.85">
      <c r="A959" s="20">
        <v>1</v>
      </c>
      <c r="B959" s="66">
        <f>SUBTOTAL(103,$A$558:A959)</f>
        <v>351</v>
      </c>
      <c r="C959" s="24" t="s">
        <v>1964</v>
      </c>
      <c r="D959" s="31">
        <f>E959+F959+G959+H959+I959+J959+L959+N959+P959+R959+T959+U959+V959+W959+X959+Y959+Z959+AA959+AB959+AC959+AD959+AE959</f>
        <v>4840700.5599999996</v>
      </c>
      <c r="E959" s="31">
        <v>0</v>
      </c>
      <c r="F959" s="31">
        <v>0</v>
      </c>
      <c r="G959" s="31">
        <v>0</v>
      </c>
      <c r="H959" s="31">
        <v>0</v>
      </c>
      <c r="I959" s="31">
        <v>0</v>
      </c>
      <c r="J959" s="31">
        <v>0</v>
      </c>
      <c r="K959" s="33">
        <v>0</v>
      </c>
      <c r="L959" s="31">
        <v>0</v>
      </c>
      <c r="M959" s="31">
        <v>1118.8</v>
      </c>
      <c r="N959" s="31">
        <f>4264392.52+327430.69</f>
        <v>4591823.21</v>
      </c>
      <c r="O959" s="31">
        <v>0</v>
      </c>
      <c r="P959" s="31">
        <v>0</v>
      </c>
      <c r="Q959" s="31">
        <v>0</v>
      </c>
      <c r="R959" s="31">
        <v>0</v>
      </c>
      <c r="S959" s="31">
        <v>0</v>
      </c>
      <c r="T959" s="31">
        <v>0</v>
      </c>
      <c r="U959" s="31">
        <v>0</v>
      </c>
      <c r="V959" s="31">
        <v>0</v>
      </c>
      <c r="W959" s="31">
        <v>0</v>
      </c>
      <c r="X959" s="31">
        <v>0</v>
      </c>
      <c r="Y959" s="31">
        <v>0</v>
      </c>
      <c r="Z959" s="31">
        <v>0</v>
      </c>
      <c r="AA959" s="31">
        <v>0</v>
      </c>
      <c r="AB959" s="31">
        <v>0</v>
      </c>
      <c r="AC959" s="31">
        <f>ROUND(N959*1.5%,2)</f>
        <v>68877.350000000006</v>
      </c>
      <c r="AD959" s="31">
        <v>180000</v>
      </c>
      <c r="AE959" s="31">
        <v>0</v>
      </c>
      <c r="AF959" s="34">
        <v>2021</v>
      </c>
      <c r="AG959" s="34">
        <v>2021</v>
      </c>
      <c r="AH959" s="35">
        <v>2021</v>
      </c>
      <c r="AT959" s="20" t="e">
        <f>VLOOKUP(C959,AW:AX,2,FALSE)</f>
        <v>#N/A</v>
      </c>
      <c r="BZ959" s="71"/>
      <c r="CD959" s="20" t="e">
        <f t="shared" si="282"/>
        <v>#N/A</v>
      </c>
    </row>
    <row r="960" spans="1:82" ht="61.5" x14ac:dyDescent="0.85">
      <c r="B960" s="24" t="s">
        <v>859</v>
      </c>
      <c r="C960" s="24"/>
      <c r="D960" s="195">
        <f t="shared" ref="D960:AE960" si="285">SUM(D961:D965)</f>
        <v>28025089.940000001</v>
      </c>
      <c r="E960" s="31">
        <f t="shared" si="285"/>
        <v>0</v>
      </c>
      <c r="F960" s="31">
        <f t="shared" si="285"/>
        <v>0</v>
      </c>
      <c r="G960" s="31">
        <f t="shared" si="285"/>
        <v>0</v>
      </c>
      <c r="H960" s="31">
        <f t="shared" si="285"/>
        <v>0</v>
      </c>
      <c r="I960" s="31">
        <f t="shared" si="285"/>
        <v>0</v>
      </c>
      <c r="J960" s="31">
        <f t="shared" si="285"/>
        <v>0</v>
      </c>
      <c r="K960" s="76">
        <f t="shared" si="285"/>
        <v>0</v>
      </c>
      <c r="L960" s="31">
        <f t="shared" si="285"/>
        <v>0</v>
      </c>
      <c r="M960" s="31">
        <f t="shared" si="285"/>
        <v>5723.66</v>
      </c>
      <c r="N960" s="31">
        <f t="shared" si="285"/>
        <v>27010653.23</v>
      </c>
      <c r="O960" s="31">
        <f t="shared" si="285"/>
        <v>0</v>
      </c>
      <c r="P960" s="31">
        <f t="shared" si="285"/>
        <v>0</v>
      </c>
      <c r="Q960" s="31">
        <f t="shared" si="285"/>
        <v>0</v>
      </c>
      <c r="R960" s="31">
        <f t="shared" si="285"/>
        <v>0</v>
      </c>
      <c r="S960" s="31">
        <f t="shared" si="285"/>
        <v>0</v>
      </c>
      <c r="T960" s="31">
        <f t="shared" si="285"/>
        <v>0</v>
      </c>
      <c r="U960" s="31">
        <f t="shared" si="285"/>
        <v>0</v>
      </c>
      <c r="V960" s="31">
        <f t="shared" si="285"/>
        <v>0</v>
      </c>
      <c r="W960" s="31">
        <f t="shared" si="285"/>
        <v>0</v>
      </c>
      <c r="X960" s="31">
        <f t="shared" si="285"/>
        <v>0</v>
      </c>
      <c r="Y960" s="31">
        <f t="shared" si="285"/>
        <v>0</v>
      </c>
      <c r="Z960" s="31">
        <f t="shared" si="285"/>
        <v>0</v>
      </c>
      <c r="AA960" s="31">
        <f t="shared" si="285"/>
        <v>0</v>
      </c>
      <c r="AB960" s="31">
        <f t="shared" si="285"/>
        <v>0</v>
      </c>
      <c r="AC960" s="31">
        <f t="shared" si="285"/>
        <v>405159.79</v>
      </c>
      <c r="AD960" s="31">
        <f t="shared" si="285"/>
        <v>489276.92</v>
      </c>
      <c r="AE960" s="31">
        <f t="shared" si="285"/>
        <v>120000</v>
      </c>
      <c r="AF960" s="72" t="s">
        <v>757</v>
      </c>
      <c r="AG960" s="72" t="s">
        <v>757</v>
      </c>
      <c r="AH960" s="87" t="s">
        <v>757</v>
      </c>
      <c r="AT960" s="20" t="e">
        <f>VLOOKUP(C960,AW:AX,2,FALSE)</f>
        <v>#N/A</v>
      </c>
      <c r="BZ960" s="71">
        <v>13767321.040000001</v>
      </c>
      <c r="CD960" s="20" t="e">
        <f t="shared" si="282"/>
        <v>#N/A</v>
      </c>
    </row>
    <row r="961" spans="1:82" ht="61.5" x14ac:dyDescent="0.85">
      <c r="A961" s="20">
        <v>1</v>
      </c>
      <c r="B961" s="66">
        <f>SUBTOTAL(103,$A$558:A961)</f>
        <v>352</v>
      </c>
      <c r="C961" s="24" t="s">
        <v>147</v>
      </c>
      <c r="D961" s="31">
        <f>E961+F961+G961+H961+I961+J961+L961+N961+P961+R961+T961+U961+V961+W961+X961+Y961+Z961+AA961+AB961+AC961+AD961+AE961</f>
        <v>6331475.6600000011</v>
      </c>
      <c r="E961" s="31">
        <v>0</v>
      </c>
      <c r="F961" s="31">
        <v>0</v>
      </c>
      <c r="G961" s="31">
        <v>0</v>
      </c>
      <c r="H961" s="31">
        <v>0</v>
      </c>
      <c r="I961" s="31">
        <v>0</v>
      </c>
      <c r="J961" s="31">
        <v>0</v>
      </c>
      <c r="K961" s="33">
        <v>0</v>
      </c>
      <c r="L961" s="31">
        <v>0</v>
      </c>
      <c r="M961" s="31">
        <v>1101.8</v>
      </c>
      <c r="N961" s="31">
        <v>6119495.9400000004</v>
      </c>
      <c r="O961" s="31">
        <v>0</v>
      </c>
      <c r="P961" s="31">
        <v>0</v>
      </c>
      <c r="Q961" s="31">
        <v>0</v>
      </c>
      <c r="R961" s="31">
        <v>0</v>
      </c>
      <c r="S961" s="31">
        <v>0</v>
      </c>
      <c r="T961" s="31">
        <v>0</v>
      </c>
      <c r="U961" s="31">
        <v>0</v>
      </c>
      <c r="V961" s="31">
        <v>0</v>
      </c>
      <c r="W961" s="31">
        <v>0</v>
      </c>
      <c r="X961" s="31">
        <v>0</v>
      </c>
      <c r="Y961" s="31">
        <v>0</v>
      </c>
      <c r="Z961" s="31">
        <v>0</v>
      </c>
      <c r="AA961" s="31">
        <v>0</v>
      </c>
      <c r="AB961" s="31">
        <v>0</v>
      </c>
      <c r="AC961" s="31">
        <f>ROUND(N961*1.5%,2)</f>
        <v>91792.44</v>
      </c>
      <c r="AD961" s="31">
        <v>120187.28</v>
      </c>
      <c r="AE961" s="31">
        <v>0</v>
      </c>
      <c r="AF961" s="34">
        <v>2021</v>
      </c>
      <c r="AG961" s="34">
        <v>2021</v>
      </c>
      <c r="AH961" s="35">
        <v>2021</v>
      </c>
      <c r="AT961" s="20" t="e">
        <f>VLOOKUP(C961,AW:AX,2,FALSE)</f>
        <v>#N/A</v>
      </c>
      <c r="BZ961" s="71"/>
      <c r="CD961" s="20" t="e">
        <f t="shared" si="282"/>
        <v>#N/A</v>
      </c>
    </row>
    <row r="962" spans="1:82" ht="61.5" x14ac:dyDescent="0.85">
      <c r="A962" s="20">
        <v>1</v>
      </c>
      <c r="B962" s="66">
        <f>SUBTOTAL(103,$A$558:A962)</f>
        <v>353</v>
      </c>
      <c r="C962" s="24" t="s">
        <v>158</v>
      </c>
      <c r="D962" s="31">
        <f>E962+F962+G962+H962+I962+J962+L962+N962+P962+R962+T962+U962+V962+W962+X962+Y962+Z962+AA962+AB962+AC962+AD962+AE962</f>
        <v>6774880.0600000005</v>
      </c>
      <c r="E962" s="31">
        <v>0</v>
      </c>
      <c r="F962" s="31">
        <v>0</v>
      </c>
      <c r="G962" s="31">
        <v>0</v>
      </c>
      <c r="H962" s="31">
        <v>0</v>
      </c>
      <c r="I962" s="31">
        <v>0</v>
      </c>
      <c r="J962" s="31">
        <v>0</v>
      </c>
      <c r="K962" s="33">
        <v>0</v>
      </c>
      <c r="L962" s="31">
        <v>0</v>
      </c>
      <c r="M962" s="31">
        <v>1541.85</v>
      </c>
      <c r="N962" s="31">
        <v>6556429.21</v>
      </c>
      <c r="O962" s="31">
        <v>0</v>
      </c>
      <c r="P962" s="31">
        <v>0</v>
      </c>
      <c r="Q962" s="31">
        <v>0</v>
      </c>
      <c r="R962" s="31">
        <v>0</v>
      </c>
      <c r="S962" s="31">
        <v>0</v>
      </c>
      <c r="T962" s="31">
        <v>0</v>
      </c>
      <c r="U962" s="31">
        <v>0</v>
      </c>
      <c r="V962" s="31">
        <v>0</v>
      </c>
      <c r="W962" s="31">
        <v>0</v>
      </c>
      <c r="X962" s="31">
        <v>0</v>
      </c>
      <c r="Y962" s="31">
        <v>0</v>
      </c>
      <c r="Z962" s="31">
        <v>0</v>
      </c>
      <c r="AA962" s="31">
        <v>0</v>
      </c>
      <c r="AB962" s="31">
        <v>0</v>
      </c>
      <c r="AC962" s="31">
        <f>ROUND(N962*1.5%,2)</f>
        <v>98346.44</v>
      </c>
      <c r="AD962" s="31">
        <v>120104.41</v>
      </c>
      <c r="AE962" s="31">
        <v>0</v>
      </c>
      <c r="AF962" s="34">
        <v>2021</v>
      </c>
      <c r="AG962" s="34">
        <v>2021</v>
      </c>
      <c r="AH962" s="35">
        <v>2021</v>
      </c>
      <c r="AT962" s="20" t="e">
        <f>VLOOKUP(C962,AW$962:AX$962,2,FALSE)</f>
        <v>#N/A</v>
      </c>
      <c r="BZ962" s="71"/>
      <c r="CD962" s="20" t="e">
        <f t="shared" si="282"/>
        <v>#N/A</v>
      </c>
    </row>
    <row r="963" spans="1:82" ht="61.5" x14ac:dyDescent="0.85">
      <c r="A963" s="20">
        <v>1</v>
      </c>
      <c r="B963" s="66">
        <f>SUBTOTAL(103,$A$558:A963)</f>
        <v>354</v>
      </c>
      <c r="C963" s="122" t="s">
        <v>159</v>
      </c>
      <c r="D963" s="31">
        <f>E963+F963+G963+H963+I963+J963+L963+N963+P963+R963+T963+U963+V963+W963+X963+Y963+Z963+AA963+AB963+AC963+AD963+AE963</f>
        <v>3822464.25</v>
      </c>
      <c r="E963" s="31">
        <v>0</v>
      </c>
      <c r="F963" s="31">
        <v>0</v>
      </c>
      <c r="G963" s="31">
        <v>0</v>
      </c>
      <c r="H963" s="31">
        <v>0</v>
      </c>
      <c r="I963" s="31">
        <v>0</v>
      </c>
      <c r="J963" s="31">
        <v>0</v>
      </c>
      <c r="K963" s="33">
        <v>0</v>
      </c>
      <c r="L963" s="31">
        <v>0</v>
      </c>
      <c r="M963" s="31">
        <v>741.79</v>
      </c>
      <c r="N963" s="31">
        <f>3668452.24</f>
        <v>3668452.24</v>
      </c>
      <c r="O963" s="31">
        <v>0</v>
      </c>
      <c r="P963" s="31">
        <v>0</v>
      </c>
      <c r="Q963" s="31">
        <v>0</v>
      </c>
      <c r="R963" s="31">
        <v>0</v>
      </c>
      <c r="S963" s="31">
        <v>0</v>
      </c>
      <c r="T963" s="31">
        <v>0</v>
      </c>
      <c r="U963" s="31">
        <v>0</v>
      </c>
      <c r="V963" s="31">
        <v>0</v>
      </c>
      <c r="W963" s="31">
        <v>0</v>
      </c>
      <c r="X963" s="31">
        <v>0</v>
      </c>
      <c r="Y963" s="31">
        <v>0</v>
      </c>
      <c r="Z963" s="31">
        <v>0</v>
      </c>
      <c r="AA963" s="31">
        <v>0</v>
      </c>
      <c r="AB963" s="31">
        <v>0</v>
      </c>
      <c r="AC963" s="31">
        <f>ROUND(N963*1.5%,2)</f>
        <v>55026.78</v>
      </c>
      <c r="AD963" s="31">
        <v>98985.23</v>
      </c>
      <c r="AE963" s="31">
        <v>0</v>
      </c>
      <c r="AF963" s="34">
        <v>2021</v>
      </c>
      <c r="AG963" s="34">
        <v>2021</v>
      </c>
      <c r="AH963" s="35">
        <v>2021</v>
      </c>
      <c r="AT963" s="20" t="e">
        <f>VLOOKUP(C963,AW:AX,2,FALSE)</f>
        <v>#N/A</v>
      </c>
      <c r="BZ963" s="71"/>
    </row>
    <row r="964" spans="1:82" ht="61.5" x14ac:dyDescent="0.85">
      <c r="A964" s="20">
        <v>1</v>
      </c>
      <c r="B964" s="66">
        <f>SUBTOTAL(103,$A$558:A964)</f>
        <v>355</v>
      </c>
      <c r="C964" s="24" t="s">
        <v>1263</v>
      </c>
      <c r="D964" s="31">
        <f t="shared" ref="D964:D965" si="286">E964+F964+G964+H964+I964+J964+L964+N964+P964+R964+T964+U964+V964+W964+X964+Y964+Z964+AA964+AB964+AC964+AD964+AE964</f>
        <v>4749951.8099999996</v>
      </c>
      <c r="E964" s="31">
        <v>0</v>
      </c>
      <c r="F964" s="31">
        <v>0</v>
      </c>
      <c r="G964" s="31">
        <v>0</v>
      </c>
      <c r="H964" s="31">
        <v>0</v>
      </c>
      <c r="I964" s="31">
        <v>0</v>
      </c>
      <c r="J964" s="31">
        <v>0</v>
      </c>
      <c r="K964" s="74">
        <v>0</v>
      </c>
      <c r="L964" s="31">
        <v>0</v>
      </c>
      <c r="M964" s="31">
        <v>1105</v>
      </c>
      <c r="N964" s="31">
        <f>4517697.52+533230.86-489399.5</f>
        <v>4561528.88</v>
      </c>
      <c r="O964" s="31">
        <v>0</v>
      </c>
      <c r="P964" s="31">
        <v>0</v>
      </c>
      <c r="Q964" s="31">
        <v>0</v>
      </c>
      <c r="R964" s="31">
        <v>0</v>
      </c>
      <c r="S964" s="31">
        <v>0</v>
      </c>
      <c r="T964" s="31">
        <v>0</v>
      </c>
      <c r="U964" s="31">
        <v>0</v>
      </c>
      <c r="V964" s="31">
        <v>0</v>
      </c>
      <c r="W964" s="31">
        <v>0</v>
      </c>
      <c r="X964" s="31">
        <v>0</v>
      </c>
      <c r="Y964" s="31">
        <v>0</v>
      </c>
      <c r="Z964" s="31">
        <v>0</v>
      </c>
      <c r="AA964" s="31">
        <v>0</v>
      </c>
      <c r="AB964" s="31">
        <v>0</v>
      </c>
      <c r="AC964" s="31">
        <f t="shared" ref="AC964" si="287">ROUND(N964*1.5%,2)</f>
        <v>68422.929999999993</v>
      </c>
      <c r="AD964" s="39">
        <v>0</v>
      </c>
      <c r="AE964" s="31">
        <v>120000</v>
      </c>
      <c r="AF964" s="34" t="s">
        <v>270</v>
      </c>
      <c r="AG964" s="34">
        <v>2021</v>
      </c>
      <c r="AH964" s="35">
        <v>2021</v>
      </c>
      <c r="BZ964" s="71"/>
      <c r="CD964" s="20">
        <f t="shared" ref="CD964:CD996" si="288">VLOOKUP(C964,CE:CF,2,FALSE)</f>
        <v>1105</v>
      </c>
    </row>
    <row r="965" spans="1:82" ht="61.5" x14ac:dyDescent="0.85">
      <c r="A965" s="20">
        <v>1</v>
      </c>
      <c r="B965" s="66">
        <f>SUBTOTAL(103,$A$558:A965)</f>
        <v>356</v>
      </c>
      <c r="C965" s="122" t="s">
        <v>1975</v>
      </c>
      <c r="D965" s="31">
        <f t="shared" si="286"/>
        <v>6346318.1600000001</v>
      </c>
      <c r="E965" s="31">
        <v>0</v>
      </c>
      <c r="F965" s="31">
        <v>0</v>
      </c>
      <c r="G965" s="31">
        <v>0</v>
      </c>
      <c r="H965" s="31">
        <v>0</v>
      </c>
      <c r="I965" s="31">
        <v>0</v>
      </c>
      <c r="J965" s="31">
        <v>0</v>
      </c>
      <c r="K965" s="33">
        <v>0</v>
      </c>
      <c r="L965" s="31">
        <v>0</v>
      </c>
      <c r="M965" s="31">
        <v>1233.22</v>
      </c>
      <c r="N965" s="31">
        <v>6104746.96</v>
      </c>
      <c r="O965" s="31">
        <v>0</v>
      </c>
      <c r="P965" s="31">
        <v>0</v>
      </c>
      <c r="Q965" s="31">
        <v>0</v>
      </c>
      <c r="R965" s="31">
        <v>0</v>
      </c>
      <c r="S965" s="31">
        <v>0</v>
      </c>
      <c r="T965" s="31">
        <v>0</v>
      </c>
      <c r="U965" s="31">
        <v>0</v>
      </c>
      <c r="V965" s="31">
        <v>0</v>
      </c>
      <c r="W965" s="31">
        <v>0</v>
      </c>
      <c r="X965" s="31">
        <v>0</v>
      </c>
      <c r="Y965" s="31">
        <v>0</v>
      </c>
      <c r="Z965" s="31">
        <v>0</v>
      </c>
      <c r="AA965" s="31">
        <v>0</v>
      </c>
      <c r="AB965" s="31">
        <v>0</v>
      </c>
      <c r="AC965" s="31">
        <f>ROUND(N965*1.5%,2)</f>
        <v>91571.199999999997</v>
      </c>
      <c r="AD965" s="31">
        <v>150000</v>
      </c>
      <c r="AE965" s="31">
        <v>0</v>
      </c>
      <c r="AF965" s="34">
        <v>2021</v>
      </c>
      <c r="AG965" s="34">
        <v>2021</v>
      </c>
      <c r="AH965" s="35">
        <v>2021</v>
      </c>
      <c r="AT965" s="20" t="e">
        <f>VLOOKUP(C965,AW:AX,2,FALSE)</f>
        <v>#N/A</v>
      </c>
      <c r="BZ965" s="71"/>
      <c r="CD965" s="20" t="e">
        <f t="shared" si="288"/>
        <v>#N/A</v>
      </c>
    </row>
    <row r="966" spans="1:82" ht="61.5" x14ac:dyDescent="0.85">
      <c r="B966" s="24" t="s">
        <v>860</v>
      </c>
      <c r="C966" s="108"/>
      <c r="D966" s="195">
        <f>SUM(D967:D969)</f>
        <v>14805803.309999999</v>
      </c>
      <c r="E966" s="31">
        <f t="shared" ref="E966:AE966" si="289">SUM(E967:E969)</f>
        <v>0</v>
      </c>
      <c r="F966" s="31">
        <f t="shared" si="289"/>
        <v>0</v>
      </c>
      <c r="G966" s="31">
        <f t="shared" si="289"/>
        <v>0</v>
      </c>
      <c r="H966" s="31">
        <f t="shared" si="289"/>
        <v>0</v>
      </c>
      <c r="I966" s="31">
        <f t="shared" si="289"/>
        <v>0</v>
      </c>
      <c r="J966" s="31">
        <f t="shared" si="289"/>
        <v>0</v>
      </c>
      <c r="K966" s="33">
        <f t="shared" si="289"/>
        <v>0</v>
      </c>
      <c r="L966" s="31">
        <f t="shared" si="289"/>
        <v>0</v>
      </c>
      <c r="M966" s="31">
        <f t="shared" si="289"/>
        <v>2086.42</v>
      </c>
      <c r="N966" s="31">
        <f t="shared" si="289"/>
        <v>11551700.469999999</v>
      </c>
      <c r="O966" s="31">
        <f t="shared" si="289"/>
        <v>0</v>
      </c>
      <c r="P966" s="31">
        <f t="shared" si="289"/>
        <v>0</v>
      </c>
      <c r="Q966" s="31">
        <f t="shared" si="289"/>
        <v>729.1</v>
      </c>
      <c r="R966" s="31">
        <f t="shared" si="289"/>
        <v>2503278.17</v>
      </c>
      <c r="S966" s="31">
        <f t="shared" si="289"/>
        <v>0</v>
      </c>
      <c r="T966" s="31">
        <f t="shared" si="289"/>
        <v>0</v>
      </c>
      <c r="U966" s="31">
        <f t="shared" si="289"/>
        <v>0</v>
      </c>
      <c r="V966" s="31">
        <f t="shared" si="289"/>
        <v>0</v>
      </c>
      <c r="W966" s="31">
        <f t="shared" si="289"/>
        <v>0</v>
      </c>
      <c r="X966" s="31">
        <f t="shared" si="289"/>
        <v>0</v>
      </c>
      <c r="Y966" s="31">
        <f t="shared" si="289"/>
        <v>0</v>
      </c>
      <c r="Z966" s="31">
        <f t="shared" si="289"/>
        <v>0</v>
      </c>
      <c r="AA966" s="31">
        <f t="shared" si="289"/>
        <v>0</v>
      </c>
      <c r="AB966" s="31">
        <f t="shared" si="289"/>
        <v>0</v>
      </c>
      <c r="AC966" s="31">
        <f t="shared" si="289"/>
        <v>210824.67</v>
      </c>
      <c r="AD966" s="31">
        <f t="shared" si="289"/>
        <v>300000</v>
      </c>
      <c r="AE966" s="31">
        <f t="shared" si="289"/>
        <v>240000</v>
      </c>
      <c r="AF966" s="72" t="s">
        <v>757</v>
      </c>
      <c r="AG966" s="72" t="s">
        <v>757</v>
      </c>
      <c r="AH966" s="87" t="s">
        <v>757</v>
      </c>
      <c r="AT966" s="20" t="e">
        <f>VLOOKUP(C966,AW:AX,2,FALSE)</f>
        <v>#N/A</v>
      </c>
      <c r="BZ966" s="71">
        <v>9023270.3999999985</v>
      </c>
      <c r="CD966" s="20" t="e">
        <f t="shared" si="288"/>
        <v>#N/A</v>
      </c>
    </row>
    <row r="967" spans="1:82" ht="61.5" x14ac:dyDescent="0.85">
      <c r="A967" s="20">
        <v>1</v>
      </c>
      <c r="B967" s="66">
        <f>SUBTOTAL(103,$A$558:A967)</f>
        <v>357</v>
      </c>
      <c r="C967" s="24" t="s">
        <v>96</v>
      </c>
      <c r="D967" s="31">
        <f>E967+F967+G967+H967+I967+J967+L967+N967+P967+R967+T967+U967+V967+W967+X967+Y967+Z967+AA967+AB967+AC967+AD967+AE967</f>
        <v>4020786</v>
      </c>
      <c r="E967" s="31">
        <v>0</v>
      </c>
      <c r="F967" s="31">
        <v>0</v>
      </c>
      <c r="G967" s="31">
        <v>0</v>
      </c>
      <c r="H967" s="31">
        <v>0</v>
      </c>
      <c r="I967" s="31">
        <v>0</v>
      </c>
      <c r="J967" s="31">
        <v>0</v>
      </c>
      <c r="K967" s="33">
        <v>0</v>
      </c>
      <c r="L967" s="31">
        <v>0</v>
      </c>
      <c r="M967" s="31">
        <v>770</v>
      </c>
      <c r="N967" s="31">
        <v>3813582.27</v>
      </c>
      <c r="O967" s="31">
        <v>0</v>
      </c>
      <c r="P967" s="31">
        <v>0</v>
      </c>
      <c r="Q967" s="31">
        <v>0</v>
      </c>
      <c r="R967" s="31">
        <v>0</v>
      </c>
      <c r="S967" s="31">
        <v>0</v>
      </c>
      <c r="T967" s="31">
        <v>0</v>
      </c>
      <c r="U967" s="31">
        <v>0</v>
      </c>
      <c r="V967" s="31">
        <v>0</v>
      </c>
      <c r="W967" s="31">
        <v>0</v>
      </c>
      <c r="X967" s="31">
        <v>0</v>
      </c>
      <c r="Y967" s="31">
        <v>0</v>
      </c>
      <c r="Z967" s="31">
        <v>0</v>
      </c>
      <c r="AA967" s="31">
        <v>0</v>
      </c>
      <c r="AB967" s="31">
        <v>0</v>
      </c>
      <c r="AC967" s="31">
        <f>ROUND(N967*1.5%,2)</f>
        <v>57203.73</v>
      </c>
      <c r="AD967" s="31">
        <v>150000</v>
      </c>
      <c r="AE967" s="31">
        <v>0</v>
      </c>
      <c r="AF967" s="34">
        <v>2021</v>
      </c>
      <c r="AG967" s="34">
        <v>2021</v>
      </c>
      <c r="AH967" s="35">
        <v>2021</v>
      </c>
      <c r="AT967" s="20" t="e">
        <f>VLOOKUP(C967,AW:AX,2,FALSE)</f>
        <v>#N/A</v>
      </c>
      <c r="BZ967" s="71"/>
      <c r="CD967" s="20" t="e">
        <f t="shared" si="288"/>
        <v>#N/A</v>
      </c>
    </row>
    <row r="968" spans="1:82" ht="61.5" x14ac:dyDescent="0.85">
      <c r="A968" s="20">
        <v>1</v>
      </c>
      <c r="B968" s="66">
        <f>SUBTOTAL(103,$A$558:A968)</f>
        <v>358</v>
      </c>
      <c r="C968" s="24" t="s">
        <v>95</v>
      </c>
      <c r="D968" s="31">
        <f>E968+F968+G968+H968+I968+J968+L968+N968+P968+R968+T968+U968+V968+W968+X968+Y968+Z968+AA968+AB968+AC968+AD968+AE968</f>
        <v>5002484.3999999994</v>
      </c>
      <c r="E968" s="31">
        <v>0</v>
      </c>
      <c r="F968" s="31">
        <v>0</v>
      </c>
      <c r="G968" s="31">
        <v>0</v>
      </c>
      <c r="H968" s="31">
        <v>0</v>
      </c>
      <c r="I968" s="31">
        <v>0</v>
      </c>
      <c r="J968" s="31">
        <v>0</v>
      </c>
      <c r="K968" s="33">
        <v>0</v>
      </c>
      <c r="L968" s="31">
        <v>0</v>
      </c>
      <c r="M968" s="31">
        <v>958</v>
      </c>
      <c r="N968" s="31">
        <v>4780772.8099999996</v>
      </c>
      <c r="O968" s="31">
        <v>0</v>
      </c>
      <c r="P968" s="31">
        <v>0</v>
      </c>
      <c r="Q968" s="31">
        <v>0</v>
      </c>
      <c r="R968" s="31">
        <v>0</v>
      </c>
      <c r="S968" s="31">
        <v>0</v>
      </c>
      <c r="T968" s="31">
        <v>0</v>
      </c>
      <c r="U968" s="31">
        <v>0</v>
      </c>
      <c r="V968" s="31">
        <v>0</v>
      </c>
      <c r="W968" s="31">
        <v>0</v>
      </c>
      <c r="X968" s="31">
        <v>0</v>
      </c>
      <c r="Y968" s="31">
        <v>0</v>
      </c>
      <c r="Z968" s="31">
        <v>0</v>
      </c>
      <c r="AA968" s="31">
        <v>0</v>
      </c>
      <c r="AB968" s="31">
        <v>0</v>
      </c>
      <c r="AC968" s="31">
        <f>ROUND(N968*1.5%,2)</f>
        <v>71711.59</v>
      </c>
      <c r="AD968" s="31">
        <v>150000</v>
      </c>
      <c r="AE968" s="31">
        <v>0</v>
      </c>
      <c r="AF968" s="34">
        <v>2021</v>
      </c>
      <c r="AG968" s="34">
        <v>2021</v>
      </c>
      <c r="AH968" s="35">
        <v>2021</v>
      </c>
      <c r="AT968" s="20" t="e">
        <f>VLOOKUP(C968,AW:AX,2,FALSE)</f>
        <v>#N/A</v>
      </c>
      <c r="BZ968" s="71"/>
      <c r="CD968" s="20" t="e">
        <f t="shared" si="288"/>
        <v>#N/A</v>
      </c>
    </row>
    <row r="969" spans="1:82" ht="61.5" x14ac:dyDescent="0.85">
      <c r="A969" s="20">
        <v>1</v>
      </c>
      <c r="B969" s="66">
        <f>SUBTOTAL(103,$A$558:A969)</f>
        <v>359</v>
      </c>
      <c r="C969" s="24" t="s">
        <v>1269</v>
      </c>
      <c r="D969" s="31">
        <f>E969+F969+G969+H969+I969+J969+L969+N969+P969+R969+T969+U969+V969+W969+X969+Y969+Z969+AA969+AB969+AC969+AD969+AE969</f>
        <v>5782532.9099999992</v>
      </c>
      <c r="E969" s="31">
        <v>0</v>
      </c>
      <c r="F969" s="31">
        <v>0</v>
      </c>
      <c r="G969" s="31">
        <v>0</v>
      </c>
      <c r="H969" s="31">
        <v>0</v>
      </c>
      <c r="I969" s="31">
        <v>0</v>
      </c>
      <c r="J969" s="31">
        <v>0</v>
      </c>
      <c r="K969" s="33">
        <v>0</v>
      </c>
      <c r="L969" s="31">
        <v>0</v>
      </c>
      <c r="M969" s="31">
        <v>358.42</v>
      </c>
      <c r="N969" s="31">
        <f>1852079.29+1040558.72+64707.38</f>
        <v>2957345.3899999997</v>
      </c>
      <c r="O969" s="31">
        <v>0</v>
      </c>
      <c r="P969" s="31">
        <v>0</v>
      </c>
      <c r="Q969" s="31">
        <v>729.1</v>
      </c>
      <c r="R969" s="31">
        <f>1721236.56+ROUND(1721236.56*0.15,2)+523856.13</f>
        <v>2503278.17</v>
      </c>
      <c r="S969" s="31">
        <v>0</v>
      </c>
      <c r="T969" s="31">
        <v>0</v>
      </c>
      <c r="U969" s="31">
        <v>0</v>
      </c>
      <c r="V969" s="31">
        <v>0</v>
      </c>
      <c r="W969" s="31">
        <v>0</v>
      </c>
      <c r="X969" s="31">
        <v>0</v>
      </c>
      <c r="Y969" s="31">
        <v>0</v>
      </c>
      <c r="Z969" s="31">
        <v>0</v>
      </c>
      <c r="AA969" s="31">
        <v>0</v>
      </c>
      <c r="AB969" s="31">
        <v>0</v>
      </c>
      <c r="AC969" s="31">
        <f>ROUND((N969+R969)*1.5%,2)</f>
        <v>81909.350000000006</v>
      </c>
      <c r="AD969" s="31">
        <v>0</v>
      </c>
      <c r="AE969" s="31">
        <v>240000</v>
      </c>
      <c r="AF969" s="34" t="s">
        <v>270</v>
      </c>
      <c r="AG969" s="34">
        <v>2021</v>
      </c>
      <c r="AH969" s="35">
        <v>2021</v>
      </c>
      <c r="BZ969" s="71"/>
      <c r="CD969" s="20" t="e">
        <f t="shared" si="288"/>
        <v>#N/A</v>
      </c>
    </row>
    <row r="970" spans="1:82" ht="61.5" x14ac:dyDescent="0.85">
      <c r="B970" s="24" t="s">
        <v>861</v>
      </c>
      <c r="C970" s="24"/>
      <c r="D970" s="195">
        <f>D971</f>
        <v>3019912.79</v>
      </c>
      <c r="E970" s="31">
        <f t="shared" ref="E970:AE970" si="290">E971</f>
        <v>0</v>
      </c>
      <c r="F970" s="31">
        <f t="shared" si="290"/>
        <v>0</v>
      </c>
      <c r="G970" s="31">
        <f t="shared" si="290"/>
        <v>0</v>
      </c>
      <c r="H970" s="31">
        <f t="shared" si="290"/>
        <v>0</v>
      </c>
      <c r="I970" s="31">
        <f t="shared" si="290"/>
        <v>0</v>
      </c>
      <c r="J970" s="31">
        <f t="shared" si="290"/>
        <v>0</v>
      </c>
      <c r="K970" s="33">
        <f t="shared" si="290"/>
        <v>0</v>
      </c>
      <c r="L970" s="31">
        <f t="shared" si="290"/>
        <v>0</v>
      </c>
      <c r="M970" s="31">
        <f t="shared" si="290"/>
        <v>590</v>
      </c>
      <c r="N970" s="31">
        <f t="shared" si="290"/>
        <v>2975283.54</v>
      </c>
      <c r="O970" s="31">
        <f t="shared" si="290"/>
        <v>0</v>
      </c>
      <c r="P970" s="31">
        <f t="shared" si="290"/>
        <v>0</v>
      </c>
      <c r="Q970" s="31">
        <f t="shared" si="290"/>
        <v>0</v>
      </c>
      <c r="R970" s="31">
        <f t="shared" si="290"/>
        <v>0</v>
      </c>
      <c r="S970" s="31">
        <f t="shared" si="290"/>
        <v>0</v>
      </c>
      <c r="T970" s="31">
        <f t="shared" si="290"/>
        <v>0</v>
      </c>
      <c r="U970" s="31">
        <f t="shared" si="290"/>
        <v>0</v>
      </c>
      <c r="V970" s="31">
        <f t="shared" si="290"/>
        <v>0</v>
      </c>
      <c r="W970" s="31">
        <f t="shared" si="290"/>
        <v>0</v>
      </c>
      <c r="X970" s="31">
        <f t="shared" si="290"/>
        <v>0</v>
      </c>
      <c r="Y970" s="31">
        <f t="shared" si="290"/>
        <v>0</v>
      </c>
      <c r="Z970" s="31">
        <f t="shared" si="290"/>
        <v>0</v>
      </c>
      <c r="AA970" s="31">
        <f t="shared" si="290"/>
        <v>0</v>
      </c>
      <c r="AB970" s="31">
        <f t="shared" si="290"/>
        <v>0</v>
      </c>
      <c r="AC970" s="31">
        <f t="shared" si="290"/>
        <v>44629.25</v>
      </c>
      <c r="AD970" s="31">
        <f t="shared" si="290"/>
        <v>0</v>
      </c>
      <c r="AE970" s="31">
        <f t="shared" si="290"/>
        <v>0</v>
      </c>
      <c r="AF970" s="72" t="s">
        <v>757</v>
      </c>
      <c r="AG970" s="72" t="s">
        <v>757</v>
      </c>
      <c r="AH970" s="87" t="s">
        <v>757</v>
      </c>
      <c r="AT970" s="20" t="e">
        <f>VLOOKUP(C970,AW:AX,2,FALSE)</f>
        <v>#N/A</v>
      </c>
      <c r="BZ970" s="71">
        <v>3080862</v>
      </c>
      <c r="CD970" s="20" t="e">
        <f t="shared" si="288"/>
        <v>#N/A</v>
      </c>
    </row>
    <row r="971" spans="1:82" ht="61.5" x14ac:dyDescent="0.85">
      <c r="A971" s="20">
        <v>1</v>
      </c>
      <c r="B971" s="66">
        <f>SUBTOTAL(103,$A$558:A971)</f>
        <v>360</v>
      </c>
      <c r="C971" s="24" t="s">
        <v>97</v>
      </c>
      <c r="D971" s="31">
        <f>E971+F971+G971+H971+I971+J971+L971+N971+P971+R971+T971+U971+V971+W971+X971+Y971+Z971+AA971+AB971+AC971+AD971+AE971</f>
        <v>3019912.79</v>
      </c>
      <c r="E971" s="31">
        <v>0</v>
      </c>
      <c r="F971" s="31">
        <v>0</v>
      </c>
      <c r="G971" s="31">
        <v>0</v>
      </c>
      <c r="H971" s="31">
        <v>0</v>
      </c>
      <c r="I971" s="31">
        <v>0</v>
      </c>
      <c r="J971" s="31">
        <v>0</v>
      </c>
      <c r="K971" s="33">
        <v>0</v>
      </c>
      <c r="L971" s="31">
        <v>0</v>
      </c>
      <c r="M971" s="31">
        <v>590</v>
      </c>
      <c r="N971" s="31">
        <f>2887548.77+22124.08+1669+62272.69+1669</f>
        <v>2975283.54</v>
      </c>
      <c r="O971" s="31">
        <v>0</v>
      </c>
      <c r="P971" s="31">
        <v>0</v>
      </c>
      <c r="Q971" s="31">
        <v>0</v>
      </c>
      <c r="R971" s="31">
        <v>0</v>
      </c>
      <c r="S971" s="31">
        <v>0</v>
      </c>
      <c r="T971" s="31">
        <v>0</v>
      </c>
      <c r="U971" s="31">
        <v>0</v>
      </c>
      <c r="V971" s="31">
        <v>0</v>
      </c>
      <c r="W971" s="31">
        <v>0</v>
      </c>
      <c r="X971" s="31">
        <v>0</v>
      </c>
      <c r="Y971" s="31">
        <v>0</v>
      </c>
      <c r="Z971" s="31">
        <v>0</v>
      </c>
      <c r="AA971" s="31">
        <v>0</v>
      </c>
      <c r="AB971" s="31">
        <v>0</v>
      </c>
      <c r="AC971" s="31">
        <f>ROUND(N971*1.5%,2)</f>
        <v>44629.25</v>
      </c>
      <c r="AD971" s="31">
        <v>0</v>
      </c>
      <c r="AE971" s="31">
        <v>0</v>
      </c>
      <c r="AF971" s="34" t="s">
        <v>270</v>
      </c>
      <c r="AG971" s="34">
        <v>2021</v>
      </c>
      <c r="AH971" s="35">
        <v>2021</v>
      </c>
      <c r="AT971" s="20" t="e">
        <f>VLOOKUP(C971,AW:AX,2,FALSE)</f>
        <v>#N/A</v>
      </c>
      <c r="BZ971" s="71"/>
      <c r="CD971" s="20" t="e">
        <f t="shared" si="288"/>
        <v>#N/A</v>
      </c>
    </row>
    <row r="972" spans="1:82" ht="61.5" x14ac:dyDescent="0.85">
      <c r="B972" s="24" t="s">
        <v>885</v>
      </c>
      <c r="C972" s="24"/>
      <c r="D972" s="195">
        <f>D973</f>
        <v>3567977.1799999997</v>
      </c>
      <c r="E972" s="31">
        <f t="shared" ref="E972:AA972" si="291">E973</f>
        <v>0</v>
      </c>
      <c r="F972" s="31">
        <f t="shared" si="291"/>
        <v>0</v>
      </c>
      <c r="G972" s="31">
        <f t="shared" si="291"/>
        <v>0</v>
      </c>
      <c r="H972" s="31">
        <f t="shared" si="291"/>
        <v>0</v>
      </c>
      <c r="I972" s="31">
        <f t="shared" si="291"/>
        <v>0</v>
      </c>
      <c r="J972" s="31">
        <f t="shared" si="291"/>
        <v>0</v>
      </c>
      <c r="K972" s="33">
        <f t="shared" si="291"/>
        <v>0</v>
      </c>
      <c r="L972" s="31">
        <f t="shared" si="291"/>
        <v>0</v>
      </c>
      <c r="M972" s="31">
        <f t="shared" si="291"/>
        <v>700</v>
      </c>
      <c r="N972" s="31">
        <f t="shared" si="291"/>
        <v>3515248.4499999997</v>
      </c>
      <c r="O972" s="31">
        <f t="shared" si="291"/>
        <v>0</v>
      </c>
      <c r="P972" s="31">
        <f t="shared" si="291"/>
        <v>0</v>
      </c>
      <c r="Q972" s="31">
        <f t="shared" si="291"/>
        <v>0</v>
      </c>
      <c r="R972" s="31">
        <f t="shared" si="291"/>
        <v>0</v>
      </c>
      <c r="S972" s="31">
        <f t="shared" si="291"/>
        <v>0</v>
      </c>
      <c r="T972" s="31">
        <f t="shared" si="291"/>
        <v>0</v>
      </c>
      <c r="U972" s="31">
        <f t="shared" si="291"/>
        <v>0</v>
      </c>
      <c r="V972" s="31">
        <f t="shared" si="291"/>
        <v>0</v>
      </c>
      <c r="W972" s="31">
        <f t="shared" si="291"/>
        <v>0</v>
      </c>
      <c r="X972" s="31">
        <f t="shared" si="291"/>
        <v>0</v>
      </c>
      <c r="Y972" s="31">
        <f t="shared" si="291"/>
        <v>0</v>
      </c>
      <c r="Z972" s="31">
        <f t="shared" si="291"/>
        <v>0</v>
      </c>
      <c r="AA972" s="31">
        <f t="shared" si="291"/>
        <v>0</v>
      </c>
      <c r="AB972" s="31">
        <f>AB973</f>
        <v>0</v>
      </c>
      <c r="AC972" s="31">
        <f>AC973</f>
        <v>52728.73</v>
      </c>
      <c r="AD972" s="31">
        <f>AD973</f>
        <v>0</v>
      </c>
      <c r="AE972" s="31">
        <f>AE973</f>
        <v>0</v>
      </c>
      <c r="AF972" s="72" t="s">
        <v>757</v>
      </c>
      <c r="AG972" s="72" t="s">
        <v>757</v>
      </c>
      <c r="AH972" s="87" t="s">
        <v>757</v>
      </c>
      <c r="AT972" s="20" t="e">
        <f>VLOOKUP(C972,AW:AX,2,FALSE)</f>
        <v>#N/A</v>
      </c>
      <c r="BZ972" s="71">
        <v>3655260</v>
      </c>
      <c r="CD972" s="20" t="e">
        <f t="shared" si="288"/>
        <v>#N/A</v>
      </c>
    </row>
    <row r="973" spans="1:82" ht="61.5" x14ac:dyDescent="0.85">
      <c r="A973" s="20">
        <v>1</v>
      </c>
      <c r="B973" s="66">
        <f>SUBTOTAL(103,$A$558:A973)</f>
        <v>361</v>
      </c>
      <c r="C973" s="24" t="s">
        <v>98</v>
      </c>
      <c r="D973" s="31">
        <f>E973+F973+G973+H973+I973+J973+L973+N973+P973+R973+T973+U973+V973+W973+X973+Y973+Z973+AA973+AB973+AC973+AD973+AE973</f>
        <v>3567977.1799999997</v>
      </c>
      <c r="E973" s="31">
        <v>0</v>
      </c>
      <c r="F973" s="31">
        <v>0</v>
      </c>
      <c r="G973" s="31">
        <v>0</v>
      </c>
      <c r="H973" s="31">
        <v>0</v>
      </c>
      <c r="I973" s="31">
        <v>0</v>
      </c>
      <c r="J973" s="31">
        <v>0</v>
      </c>
      <c r="K973" s="33">
        <v>0</v>
      </c>
      <c r="L973" s="31">
        <v>0</v>
      </c>
      <c r="M973" s="31">
        <v>700</v>
      </c>
      <c r="N973" s="31">
        <f>3453458.13+61790.32</f>
        <v>3515248.4499999997</v>
      </c>
      <c r="O973" s="31">
        <v>0</v>
      </c>
      <c r="P973" s="31">
        <v>0</v>
      </c>
      <c r="Q973" s="31">
        <v>0</v>
      </c>
      <c r="R973" s="31">
        <v>0</v>
      </c>
      <c r="S973" s="31">
        <v>0</v>
      </c>
      <c r="T973" s="31">
        <v>0</v>
      </c>
      <c r="U973" s="31">
        <v>0</v>
      </c>
      <c r="V973" s="31">
        <v>0</v>
      </c>
      <c r="W973" s="31">
        <v>0</v>
      </c>
      <c r="X973" s="31">
        <v>0</v>
      </c>
      <c r="Y973" s="31">
        <v>0</v>
      </c>
      <c r="Z973" s="31">
        <v>0</v>
      </c>
      <c r="AA973" s="31">
        <v>0</v>
      </c>
      <c r="AB973" s="31">
        <v>0</v>
      </c>
      <c r="AC973" s="31">
        <f>ROUND(N973*1.5%,2)</f>
        <v>52728.73</v>
      </c>
      <c r="AD973" s="31">
        <v>0</v>
      </c>
      <c r="AE973" s="31">
        <v>0</v>
      </c>
      <c r="AF973" s="34" t="s">
        <v>270</v>
      </c>
      <c r="AG973" s="34">
        <v>2021</v>
      </c>
      <c r="AH973" s="35">
        <v>2021</v>
      </c>
      <c r="AT973" s="20" t="e">
        <f>VLOOKUP(C973,AW:AX,2,FALSE)</f>
        <v>#N/A</v>
      </c>
      <c r="BZ973" s="71"/>
      <c r="CD973" s="20" t="e">
        <f t="shared" si="288"/>
        <v>#N/A</v>
      </c>
    </row>
    <row r="974" spans="1:82" ht="61.5" x14ac:dyDescent="0.85">
      <c r="B974" s="24" t="s">
        <v>862</v>
      </c>
      <c r="C974" s="24"/>
      <c r="D974" s="195">
        <f>D975</f>
        <v>877727.45000000007</v>
      </c>
      <c r="E974" s="31">
        <f t="shared" ref="E974:AE976" si="292">E975</f>
        <v>0</v>
      </c>
      <c r="F974" s="31">
        <f t="shared" si="292"/>
        <v>0</v>
      </c>
      <c r="G974" s="31">
        <f t="shared" si="292"/>
        <v>0</v>
      </c>
      <c r="H974" s="31">
        <f t="shared" si="292"/>
        <v>864756.1100000001</v>
      </c>
      <c r="I974" s="31">
        <f t="shared" si="292"/>
        <v>0</v>
      </c>
      <c r="J974" s="31">
        <f t="shared" si="292"/>
        <v>0</v>
      </c>
      <c r="K974" s="33">
        <f t="shared" si="292"/>
        <v>0</v>
      </c>
      <c r="L974" s="31">
        <f t="shared" si="292"/>
        <v>0</v>
      </c>
      <c r="M974" s="31">
        <f t="shared" si="292"/>
        <v>0</v>
      </c>
      <c r="N974" s="31">
        <f t="shared" si="292"/>
        <v>0</v>
      </c>
      <c r="O974" s="31">
        <f t="shared" si="292"/>
        <v>0</v>
      </c>
      <c r="P974" s="31">
        <f t="shared" si="292"/>
        <v>0</v>
      </c>
      <c r="Q974" s="31">
        <f t="shared" si="292"/>
        <v>0</v>
      </c>
      <c r="R974" s="31">
        <f t="shared" si="292"/>
        <v>0</v>
      </c>
      <c r="S974" s="31">
        <f t="shared" si="292"/>
        <v>0</v>
      </c>
      <c r="T974" s="31">
        <f t="shared" si="292"/>
        <v>0</v>
      </c>
      <c r="U974" s="31">
        <f t="shared" si="292"/>
        <v>0</v>
      </c>
      <c r="V974" s="31">
        <f t="shared" si="292"/>
        <v>0</v>
      </c>
      <c r="W974" s="31">
        <f t="shared" si="292"/>
        <v>0</v>
      </c>
      <c r="X974" s="31">
        <f t="shared" si="292"/>
        <v>0</v>
      </c>
      <c r="Y974" s="31">
        <f t="shared" si="292"/>
        <v>0</v>
      </c>
      <c r="Z974" s="31">
        <f t="shared" si="292"/>
        <v>0</v>
      </c>
      <c r="AA974" s="31">
        <f t="shared" si="292"/>
        <v>0</v>
      </c>
      <c r="AB974" s="31">
        <f t="shared" si="292"/>
        <v>0</v>
      </c>
      <c r="AC974" s="31">
        <f t="shared" si="292"/>
        <v>12971.34</v>
      </c>
      <c r="AD974" s="31">
        <f t="shared" si="292"/>
        <v>0</v>
      </c>
      <c r="AE974" s="31">
        <f t="shared" si="292"/>
        <v>0</v>
      </c>
      <c r="AF974" s="72" t="s">
        <v>757</v>
      </c>
      <c r="AG974" s="72" t="s">
        <v>757</v>
      </c>
      <c r="AH974" s="87" t="s">
        <v>757</v>
      </c>
      <c r="AT974" s="20" t="e">
        <f>VLOOKUP(C974,AW:AX,2,FALSE)</f>
        <v>#N/A</v>
      </c>
      <c r="BZ974" s="71">
        <v>3080862</v>
      </c>
      <c r="CD974" s="20" t="e">
        <f t="shared" si="288"/>
        <v>#N/A</v>
      </c>
    </row>
    <row r="975" spans="1:82" ht="61.5" x14ac:dyDescent="0.85">
      <c r="A975" s="20">
        <v>1</v>
      </c>
      <c r="B975" s="66">
        <f>SUBTOTAL(103,$A$558:A975)</f>
        <v>362</v>
      </c>
      <c r="C975" s="24" t="s">
        <v>1621</v>
      </c>
      <c r="D975" s="31">
        <f>E975+F975+G975+H975+I975+J975+L975+N975+P975+R975+T975+U975+V975+W975+X975+Y975+Z975+AA975+AB975+AC975+AD975+AE975</f>
        <v>877727.45000000007</v>
      </c>
      <c r="E975" s="31">
        <v>0</v>
      </c>
      <c r="F975" s="31">
        <v>0</v>
      </c>
      <c r="G975" s="31">
        <v>0</v>
      </c>
      <c r="H975" s="31">
        <f>818295.28+39111.04+7349.79</f>
        <v>864756.1100000001</v>
      </c>
      <c r="I975" s="31">
        <v>0</v>
      </c>
      <c r="J975" s="31">
        <v>0</v>
      </c>
      <c r="K975" s="74">
        <v>0</v>
      </c>
      <c r="L975" s="31">
        <v>0</v>
      </c>
      <c r="M975" s="31">
        <v>0</v>
      </c>
      <c r="N975" s="31">
        <v>0</v>
      </c>
      <c r="O975" s="31">
        <v>0</v>
      </c>
      <c r="P975" s="31">
        <v>0</v>
      </c>
      <c r="Q975" s="31">
        <v>0</v>
      </c>
      <c r="R975" s="31">
        <v>0</v>
      </c>
      <c r="S975" s="31">
        <v>0</v>
      </c>
      <c r="T975" s="31">
        <v>0</v>
      </c>
      <c r="U975" s="31">
        <v>0</v>
      </c>
      <c r="V975" s="31">
        <v>0</v>
      </c>
      <c r="W975" s="31">
        <v>0</v>
      </c>
      <c r="X975" s="31">
        <v>0</v>
      </c>
      <c r="Y975" s="31">
        <v>0</v>
      </c>
      <c r="Z975" s="31">
        <v>0</v>
      </c>
      <c r="AA975" s="31">
        <v>0</v>
      </c>
      <c r="AB975" s="31">
        <v>0</v>
      </c>
      <c r="AC975" s="31">
        <f>ROUND(H975*1.5%,2)</f>
        <v>12971.34</v>
      </c>
      <c r="AD975" s="31">
        <v>0</v>
      </c>
      <c r="AE975" s="31">
        <v>0</v>
      </c>
      <c r="AF975" s="34" t="s">
        <v>270</v>
      </c>
      <c r="AG975" s="34">
        <v>2021</v>
      </c>
      <c r="AH975" s="35">
        <v>2021</v>
      </c>
      <c r="BZ975" s="71"/>
      <c r="CD975" s="20" t="e">
        <f t="shared" si="288"/>
        <v>#N/A</v>
      </c>
    </row>
    <row r="976" spans="1:82" ht="61.5" x14ac:dyDescent="0.85">
      <c r="B976" s="24" t="s">
        <v>863</v>
      </c>
      <c r="C976" s="24"/>
      <c r="D976" s="195">
        <f>D977</f>
        <v>3108475.73</v>
      </c>
      <c r="E976" s="31">
        <f t="shared" si="292"/>
        <v>0</v>
      </c>
      <c r="F976" s="31">
        <f t="shared" si="292"/>
        <v>0</v>
      </c>
      <c r="G976" s="31">
        <f t="shared" si="292"/>
        <v>0</v>
      </c>
      <c r="H976" s="31">
        <f t="shared" si="292"/>
        <v>0</v>
      </c>
      <c r="I976" s="31">
        <f t="shared" si="292"/>
        <v>0</v>
      </c>
      <c r="J976" s="31">
        <f t="shared" si="292"/>
        <v>0</v>
      </c>
      <c r="K976" s="33">
        <f t="shared" si="292"/>
        <v>0</v>
      </c>
      <c r="L976" s="31">
        <f t="shared" si="292"/>
        <v>0</v>
      </c>
      <c r="M976" s="31">
        <f t="shared" si="292"/>
        <v>590</v>
      </c>
      <c r="N976" s="31">
        <f t="shared" si="292"/>
        <v>2914754.41</v>
      </c>
      <c r="O976" s="31">
        <f t="shared" si="292"/>
        <v>0</v>
      </c>
      <c r="P976" s="31">
        <f t="shared" si="292"/>
        <v>0</v>
      </c>
      <c r="Q976" s="31">
        <f t="shared" si="292"/>
        <v>0</v>
      </c>
      <c r="R976" s="31">
        <f t="shared" si="292"/>
        <v>0</v>
      </c>
      <c r="S976" s="31">
        <f t="shared" si="292"/>
        <v>0</v>
      </c>
      <c r="T976" s="31">
        <f t="shared" si="292"/>
        <v>0</v>
      </c>
      <c r="U976" s="31">
        <f t="shared" si="292"/>
        <v>0</v>
      </c>
      <c r="V976" s="31">
        <f t="shared" si="292"/>
        <v>0</v>
      </c>
      <c r="W976" s="31">
        <f t="shared" si="292"/>
        <v>0</v>
      </c>
      <c r="X976" s="31">
        <f t="shared" si="292"/>
        <v>0</v>
      </c>
      <c r="Y976" s="31">
        <f t="shared" si="292"/>
        <v>0</v>
      </c>
      <c r="Z976" s="31">
        <f t="shared" si="292"/>
        <v>0</v>
      </c>
      <c r="AA976" s="31">
        <f t="shared" si="292"/>
        <v>0</v>
      </c>
      <c r="AB976" s="31">
        <f t="shared" si="292"/>
        <v>0</v>
      </c>
      <c r="AC976" s="31">
        <f t="shared" si="292"/>
        <v>43721.32</v>
      </c>
      <c r="AD976" s="31">
        <f t="shared" si="292"/>
        <v>150000</v>
      </c>
      <c r="AE976" s="31">
        <f t="shared" si="292"/>
        <v>0</v>
      </c>
      <c r="AF976" s="72" t="s">
        <v>757</v>
      </c>
      <c r="AG976" s="72" t="s">
        <v>757</v>
      </c>
      <c r="AH976" s="87" t="s">
        <v>757</v>
      </c>
      <c r="AT976" s="20" t="e">
        <f t="shared" ref="AT976:AT982" si="293">VLOOKUP(C976,AW:AX,2,FALSE)</f>
        <v>#N/A</v>
      </c>
      <c r="BZ976" s="71">
        <v>3080862</v>
      </c>
      <c r="CD976" s="20" t="e">
        <f t="shared" si="288"/>
        <v>#N/A</v>
      </c>
    </row>
    <row r="977" spans="1:82" ht="61.5" x14ac:dyDescent="0.85">
      <c r="A977" s="20">
        <v>1</v>
      </c>
      <c r="B977" s="66">
        <f>SUBTOTAL(103,$A$558:A977)</f>
        <v>363</v>
      </c>
      <c r="C977" s="24" t="s">
        <v>99</v>
      </c>
      <c r="D977" s="31">
        <f>E977+F977+G977+H977+I977+J977+L977+N977+P977+R977+T977+U977+V977+W977+X977+Y977+Z977+AA977+AB977+AC977+AD977+AE977</f>
        <v>3108475.73</v>
      </c>
      <c r="E977" s="31">
        <v>0</v>
      </c>
      <c r="F977" s="31">
        <v>0</v>
      </c>
      <c r="G977" s="31">
        <v>0</v>
      </c>
      <c r="H977" s="31">
        <v>0</v>
      </c>
      <c r="I977" s="31">
        <v>0</v>
      </c>
      <c r="J977" s="31">
        <v>0</v>
      </c>
      <c r="K977" s="33">
        <v>0</v>
      </c>
      <c r="L977" s="31">
        <v>0</v>
      </c>
      <c r="M977" s="31">
        <v>590</v>
      </c>
      <c r="N977" s="31">
        <f>2887548.77+27205.64</f>
        <v>2914754.41</v>
      </c>
      <c r="O977" s="31">
        <v>0</v>
      </c>
      <c r="P977" s="31">
        <v>0</v>
      </c>
      <c r="Q977" s="31">
        <v>0</v>
      </c>
      <c r="R977" s="31">
        <v>0</v>
      </c>
      <c r="S977" s="31">
        <v>0</v>
      </c>
      <c r="T977" s="31">
        <v>0</v>
      </c>
      <c r="U977" s="31">
        <v>0</v>
      </c>
      <c r="V977" s="31">
        <v>0</v>
      </c>
      <c r="W977" s="31">
        <v>0</v>
      </c>
      <c r="X977" s="31">
        <v>0</v>
      </c>
      <c r="Y977" s="31">
        <v>0</v>
      </c>
      <c r="Z977" s="31">
        <v>0</v>
      </c>
      <c r="AA977" s="31">
        <v>0</v>
      </c>
      <c r="AB977" s="31">
        <v>0</v>
      </c>
      <c r="AC977" s="31">
        <f>ROUND(N977*1.5%,2)</f>
        <v>43721.32</v>
      </c>
      <c r="AD977" s="31">
        <v>150000</v>
      </c>
      <c r="AE977" s="31">
        <v>0</v>
      </c>
      <c r="AF977" s="34">
        <v>2021</v>
      </c>
      <c r="AG977" s="34">
        <v>2021</v>
      </c>
      <c r="AH977" s="35">
        <v>2021</v>
      </c>
      <c r="AT977" s="20" t="e">
        <f t="shared" si="293"/>
        <v>#N/A</v>
      </c>
      <c r="BZ977" s="71"/>
      <c r="CD977" s="20" t="e">
        <f t="shared" si="288"/>
        <v>#N/A</v>
      </c>
    </row>
    <row r="978" spans="1:82" ht="61.5" x14ac:dyDescent="0.85">
      <c r="B978" s="24" t="s">
        <v>864</v>
      </c>
      <c r="C978" s="108"/>
      <c r="D978" s="195">
        <f>SUM(D979:D983)</f>
        <v>10106938.780000001</v>
      </c>
      <c r="E978" s="31">
        <f t="shared" ref="E978:AE978" si="294">SUM(E979:E983)</f>
        <v>0</v>
      </c>
      <c r="F978" s="31">
        <f t="shared" si="294"/>
        <v>0</v>
      </c>
      <c r="G978" s="31">
        <f t="shared" si="294"/>
        <v>0</v>
      </c>
      <c r="H978" s="31">
        <f t="shared" si="294"/>
        <v>0</v>
      </c>
      <c r="I978" s="31">
        <f t="shared" si="294"/>
        <v>715768.27</v>
      </c>
      <c r="J978" s="31">
        <f t="shared" si="294"/>
        <v>0</v>
      </c>
      <c r="K978" s="33">
        <f t="shared" si="294"/>
        <v>0</v>
      </c>
      <c r="L978" s="31">
        <f t="shared" si="294"/>
        <v>0</v>
      </c>
      <c r="M978" s="31">
        <f t="shared" si="294"/>
        <v>1508</v>
      </c>
      <c r="N978" s="31">
        <f t="shared" si="294"/>
        <v>7153995.5300000003</v>
      </c>
      <c r="O978" s="31">
        <f t="shared" si="294"/>
        <v>0</v>
      </c>
      <c r="P978" s="31">
        <f t="shared" si="294"/>
        <v>0</v>
      </c>
      <c r="Q978" s="31">
        <f t="shared" si="294"/>
        <v>531</v>
      </c>
      <c r="R978" s="31">
        <f t="shared" si="294"/>
        <v>1471743.09</v>
      </c>
      <c r="S978" s="31">
        <f t="shared" si="294"/>
        <v>0</v>
      </c>
      <c r="T978" s="31">
        <f t="shared" si="294"/>
        <v>0</v>
      </c>
      <c r="U978" s="31">
        <f t="shared" si="294"/>
        <v>0</v>
      </c>
      <c r="V978" s="31">
        <f t="shared" si="294"/>
        <v>0</v>
      </c>
      <c r="W978" s="31">
        <f t="shared" si="294"/>
        <v>0</v>
      </c>
      <c r="X978" s="31">
        <f t="shared" si="294"/>
        <v>0</v>
      </c>
      <c r="Y978" s="31">
        <f t="shared" si="294"/>
        <v>0</v>
      </c>
      <c r="Z978" s="31">
        <f t="shared" si="294"/>
        <v>0</v>
      </c>
      <c r="AA978" s="31">
        <f t="shared" si="294"/>
        <v>0</v>
      </c>
      <c r="AB978" s="31">
        <f t="shared" si="294"/>
        <v>0</v>
      </c>
      <c r="AC978" s="31">
        <f t="shared" si="294"/>
        <v>140122.6</v>
      </c>
      <c r="AD978" s="31">
        <f t="shared" si="294"/>
        <v>385309.29000000004</v>
      </c>
      <c r="AE978" s="31">
        <f t="shared" si="294"/>
        <v>240000</v>
      </c>
      <c r="AF978" s="72" t="s">
        <v>757</v>
      </c>
      <c r="AG978" s="72" t="s">
        <v>757</v>
      </c>
      <c r="AH978" s="87" t="s">
        <v>757</v>
      </c>
      <c r="AT978" s="20" t="e">
        <f t="shared" si="293"/>
        <v>#N/A</v>
      </c>
      <c r="BZ978" s="71">
        <v>7774419.2400000002</v>
      </c>
      <c r="CD978" s="20" t="e">
        <f t="shared" si="288"/>
        <v>#N/A</v>
      </c>
    </row>
    <row r="979" spans="1:82" ht="61.5" x14ac:dyDescent="0.85">
      <c r="A979" s="20">
        <v>1</v>
      </c>
      <c r="B979" s="66">
        <f>SUBTOTAL(103,$A$558:A979)</f>
        <v>364</v>
      </c>
      <c r="C979" s="24" t="s">
        <v>189</v>
      </c>
      <c r="D979" s="31">
        <f>E979+F979+G979+H979+I979+J979+L979+N979+P979+R979+T979+U979+V979+W979+X979+Y979+Z979+AA979+AB979+AC979+AD979+AE979</f>
        <v>3524909.29</v>
      </c>
      <c r="E979" s="31">
        <v>0</v>
      </c>
      <c r="F979" s="31">
        <v>0</v>
      </c>
      <c r="G979" s="31">
        <v>0</v>
      </c>
      <c r="H979" s="31">
        <v>0</v>
      </c>
      <c r="I979" s="31">
        <v>0</v>
      </c>
      <c r="J979" s="31">
        <v>0</v>
      </c>
      <c r="K979" s="33">
        <v>0</v>
      </c>
      <c r="L979" s="31">
        <v>0</v>
      </c>
      <c r="M979" s="31">
        <v>696</v>
      </c>
      <c r="N979" s="31">
        <v>3349359.61</v>
      </c>
      <c r="O979" s="31">
        <v>0</v>
      </c>
      <c r="P979" s="31">
        <v>0</v>
      </c>
      <c r="Q979" s="31">
        <v>0</v>
      </c>
      <c r="R979" s="31">
        <v>0</v>
      </c>
      <c r="S979" s="31">
        <v>0</v>
      </c>
      <c r="T979" s="31">
        <v>0</v>
      </c>
      <c r="U979" s="31">
        <v>0</v>
      </c>
      <c r="V979" s="31">
        <v>0</v>
      </c>
      <c r="W979" s="31">
        <v>0</v>
      </c>
      <c r="X979" s="31">
        <v>0</v>
      </c>
      <c r="Y979" s="31">
        <v>0</v>
      </c>
      <c r="Z979" s="31">
        <v>0</v>
      </c>
      <c r="AA979" s="31">
        <v>0</v>
      </c>
      <c r="AB979" s="31">
        <v>0</v>
      </c>
      <c r="AC979" s="31">
        <f>ROUND(N979*1.5%,2)</f>
        <v>50240.39</v>
      </c>
      <c r="AD979" s="31">
        <f>150000-24690.71</f>
        <v>125309.29000000001</v>
      </c>
      <c r="AE979" s="31">
        <v>0</v>
      </c>
      <c r="AF979" s="34">
        <v>2021</v>
      </c>
      <c r="AG979" s="34">
        <v>2021</v>
      </c>
      <c r="AH979" s="35">
        <v>2021</v>
      </c>
      <c r="AT979" s="20" t="e">
        <f t="shared" si="293"/>
        <v>#N/A</v>
      </c>
      <c r="BZ979" s="71"/>
      <c r="CD979" s="20" t="e">
        <f t="shared" si="288"/>
        <v>#N/A</v>
      </c>
    </row>
    <row r="980" spans="1:82" ht="61.5" x14ac:dyDescent="0.85">
      <c r="A980" s="20">
        <v>1</v>
      </c>
      <c r="B980" s="66">
        <f>SUBTOTAL(103,$A$558:A980)</f>
        <v>365</v>
      </c>
      <c r="C980" s="24" t="s">
        <v>190</v>
      </c>
      <c r="D980" s="31">
        <f>E980+F980+G980+H980+I980+J980+L980+N980+P980+R980+T980+U980+V980+W980+X980+Y980+Z980+AA980+AB980+AC980+AD980+AE980</f>
        <v>2601000</v>
      </c>
      <c r="E980" s="31">
        <v>0</v>
      </c>
      <c r="F980" s="31">
        <v>0</v>
      </c>
      <c r="G980" s="31">
        <v>0</v>
      </c>
      <c r="H980" s="31">
        <v>0</v>
      </c>
      <c r="I980" s="31">
        <v>0</v>
      </c>
      <c r="J980" s="31">
        <v>0</v>
      </c>
      <c r="K980" s="33">
        <v>0</v>
      </c>
      <c r="L980" s="31">
        <v>0</v>
      </c>
      <c r="M980" s="31">
        <v>510</v>
      </c>
      <c r="N980" s="31">
        <f>2414778.33-118226.61</f>
        <v>2296551.7200000002</v>
      </c>
      <c r="O980" s="31">
        <v>0</v>
      </c>
      <c r="P980" s="31">
        <v>0</v>
      </c>
      <c r="Q980" s="31">
        <v>0</v>
      </c>
      <c r="R980" s="31">
        <v>0</v>
      </c>
      <c r="S980" s="31">
        <v>0</v>
      </c>
      <c r="T980" s="31">
        <v>0</v>
      </c>
      <c r="U980" s="31">
        <v>0</v>
      </c>
      <c r="V980" s="31">
        <v>0</v>
      </c>
      <c r="W980" s="31">
        <v>0</v>
      </c>
      <c r="X980" s="31">
        <v>0</v>
      </c>
      <c r="Y980" s="31">
        <v>0</v>
      </c>
      <c r="Z980" s="31">
        <v>0</v>
      </c>
      <c r="AA980" s="31">
        <v>0</v>
      </c>
      <c r="AB980" s="31">
        <v>0</v>
      </c>
      <c r="AC980" s="31">
        <f>ROUND(N980*1.5%,2)</f>
        <v>34448.28</v>
      </c>
      <c r="AD980" s="31">
        <v>150000</v>
      </c>
      <c r="AE980" s="31">
        <v>120000</v>
      </c>
      <c r="AF980" s="34">
        <v>2021</v>
      </c>
      <c r="AG980" s="34">
        <v>2021</v>
      </c>
      <c r="AH980" s="35">
        <v>2021</v>
      </c>
      <c r="AT980" s="20" t="e">
        <f t="shared" si="293"/>
        <v>#N/A</v>
      </c>
      <c r="BZ980" s="71"/>
      <c r="CD980" s="20" t="e">
        <f t="shared" si="288"/>
        <v>#N/A</v>
      </c>
    </row>
    <row r="981" spans="1:82" ht="61.5" x14ac:dyDescent="0.85">
      <c r="A981" s="20">
        <v>1</v>
      </c>
      <c r="B981" s="66">
        <f>SUBTOTAL(103,$A$558:A981)</f>
        <v>366</v>
      </c>
      <c r="C981" s="24" t="s">
        <v>191</v>
      </c>
      <c r="D981" s="31">
        <f>E981+F981+G981+H981+I981+J981+L981+N981+P981+R981+T981+U981+V981+W981+X981+Y981+Z981+AA981+AB981+AC981+AD981+AE981</f>
        <v>1603819.24</v>
      </c>
      <c r="E981" s="31">
        <v>0</v>
      </c>
      <c r="F981" s="31">
        <v>0</v>
      </c>
      <c r="G981" s="31">
        <v>0</v>
      </c>
      <c r="H981" s="31">
        <v>0</v>
      </c>
      <c r="I981" s="31">
        <v>0</v>
      </c>
      <c r="J981" s="31">
        <v>0</v>
      </c>
      <c r="K981" s="33">
        <v>0</v>
      </c>
      <c r="L981" s="31">
        <v>0</v>
      </c>
      <c r="M981" s="31">
        <v>0</v>
      </c>
      <c r="N981" s="31">
        <v>0</v>
      </c>
      <c r="O981" s="31">
        <v>0</v>
      </c>
      <c r="P981" s="31">
        <v>0</v>
      </c>
      <c r="Q981" s="31">
        <v>531</v>
      </c>
      <c r="R981" s="31">
        <v>1471743.09</v>
      </c>
      <c r="S981" s="31">
        <v>0</v>
      </c>
      <c r="T981" s="31">
        <v>0</v>
      </c>
      <c r="U981" s="31">
        <v>0</v>
      </c>
      <c r="V981" s="31">
        <v>0</v>
      </c>
      <c r="W981" s="31">
        <v>0</v>
      </c>
      <c r="X981" s="31">
        <v>0</v>
      </c>
      <c r="Y981" s="31">
        <v>0</v>
      </c>
      <c r="Z981" s="31">
        <v>0</v>
      </c>
      <c r="AA981" s="31">
        <v>0</v>
      </c>
      <c r="AB981" s="31">
        <v>0</v>
      </c>
      <c r="AC981" s="31">
        <f>ROUND(R981*1.5%,2)</f>
        <v>22076.15</v>
      </c>
      <c r="AD981" s="31">
        <v>110000</v>
      </c>
      <c r="AE981" s="31">
        <v>0</v>
      </c>
      <c r="AF981" s="34">
        <v>2021</v>
      </c>
      <c r="AG981" s="34">
        <v>2021</v>
      </c>
      <c r="AH981" s="35">
        <v>2021</v>
      </c>
      <c r="AT981" s="20" t="e">
        <f t="shared" si="293"/>
        <v>#N/A</v>
      </c>
      <c r="BZ981" s="71"/>
      <c r="CD981" s="20" t="e">
        <f t="shared" si="288"/>
        <v>#N/A</v>
      </c>
    </row>
    <row r="982" spans="1:82" ht="61.5" x14ac:dyDescent="0.85">
      <c r="A982" s="20">
        <v>1</v>
      </c>
      <c r="B982" s="66">
        <f>SUBTOTAL(103,$A$558:A982)</f>
        <v>367</v>
      </c>
      <c r="C982" s="24" t="s">
        <v>184</v>
      </c>
      <c r="D982" s="31">
        <f t="shared" ref="D982:D983" si="295">E982+F982+G982+H982+I982+J982+L982+N982+P982+R982+T982+U982+V982+W982+X982+Y982+Z982+AA982+AB982+AC982+AD982+AE982</f>
        <v>1650705.4600000002</v>
      </c>
      <c r="E982" s="31">
        <v>0</v>
      </c>
      <c r="F982" s="31">
        <v>0</v>
      </c>
      <c r="G982" s="31">
        <v>0</v>
      </c>
      <c r="H982" s="31">
        <v>0</v>
      </c>
      <c r="I982" s="31">
        <v>0</v>
      </c>
      <c r="J982" s="31">
        <v>0</v>
      </c>
      <c r="K982" s="33">
        <v>0</v>
      </c>
      <c r="L982" s="31">
        <v>0</v>
      </c>
      <c r="M982" s="31">
        <v>302</v>
      </c>
      <c r="N982" s="31">
        <f>1502078.33+6005.87</f>
        <v>1508084.2000000002</v>
      </c>
      <c r="O982" s="31">
        <v>0</v>
      </c>
      <c r="P982" s="31">
        <v>0</v>
      </c>
      <c r="Q982" s="31">
        <v>0</v>
      </c>
      <c r="R982" s="31">
        <v>0</v>
      </c>
      <c r="S982" s="31">
        <v>0</v>
      </c>
      <c r="T982" s="31">
        <v>0</v>
      </c>
      <c r="U982" s="31">
        <v>0</v>
      </c>
      <c r="V982" s="31">
        <v>0</v>
      </c>
      <c r="W982" s="31">
        <v>0</v>
      </c>
      <c r="X982" s="31">
        <v>0</v>
      </c>
      <c r="Y982" s="31">
        <v>0</v>
      </c>
      <c r="Z982" s="31">
        <v>0</v>
      </c>
      <c r="AA982" s="31">
        <v>0</v>
      </c>
      <c r="AB982" s="31">
        <v>0</v>
      </c>
      <c r="AC982" s="31">
        <f>ROUND(N982*1.5%,2)</f>
        <v>22621.26</v>
      </c>
      <c r="AD982" s="39">
        <v>0</v>
      </c>
      <c r="AE982" s="31">
        <v>120000</v>
      </c>
      <c r="AF982" s="34" t="s">
        <v>270</v>
      </c>
      <c r="AG982" s="34">
        <v>2021</v>
      </c>
      <c r="AH982" s="34">
        <v>2021</v>
      </c>
      <c r="AT982" s="20" t="e">
        <f t="shared" si="293"/>
        <v>#N/A</v>
      </c>
      <c r="BZ982" s="71"/>
      <c r="CD982" s="20" t="e">
        <f t="shared" si="288"/>
        <v>#N/A</v>
      </c>
    </row>
    <row r="983" spans="1:82" ht="61.5" x14ac:dyDescent="0.85">
      <c r="A983" s="20">
        <v>1</v>
      </c>
      <c r="B983" s="66">
        <f>SUBTOTAL(103,$A$558:A983)</f>
        <v>368</v>
      </c>
      <c r="C983" s="24" t="s">
        <v>1276</v>
      </c>
      <c r="D983" s="31">
        <f t="shared" si="295"/>
        <v>726504.79</v>
      </c>
      <c r="E983" s="31">
        <v>0</v>
      </c>
      <c r="F983" s="31">
        <v>0</v>
      </c>
      <c r="G983" s="31">
        <v>0</v>
      </c>
      <c r="H983" s="31">
        <v>0</v>
      </c>
      <c r="I983" s="31">
        <v>715768.27</v>
      </c>
      <c r="J983" s="31">
        <v>0</v>
      </c>
      <c r="K983" s="74">
        <v>0</v>
      </c>
      <c r="L983" s="31">
        <v>0</v>
      </c>
      <c r="M983" s="31">
        <v>0</v>
      </c>
      <c r="N983" s="31">
        <v>0</v>
      </c>
      <c r="O983" s="31">
        <v>0</v>
      </c>
      <c r="P983" s="31">
        <v>0</v>
      </c>
      <c r="Q983" s="31">
        <v>0</v>
      </c>
      <c r="R983" s="31">
        <v>0</v>
      </c>
      <c r="S983" s="31">
        <v>0</v>
      </c>
      <c r="T983" s="31">
        <v>0</v>
      </c>
      <c r="U983" s="31">
        <v>0</v>
      </c>
      <c r="V983" s="31">
        <v>0</v>
      </c>
      <c r="W983" s="31">
        <v>0</v>
      </c>
      <c r="X983" s="31">
        <v>0</v>
      </c>
      <c r="Y983" s="31">
        <v>0</v>
      </c>
      <c r="Z983" s="31">
        <v>0</v>
      </c>
      <c r="AA983" s="31">
        <v>0</v>
      </c>
      <c r="AB983" s="31">
        <v>0</v>
      </c>
      <c r="AC983" s="31">
        <f>ROUND(I983*1.5%,2)</f>
        <v>10736.52</v>
      </c>
      <c r="AD983" s="31">
        <v>0</v>
      </c>
      <c r="AE983" s="31">
        <v>0</v>
      </c>
      <c r="AF983" s="34" t="s">
        <v>270</v>
      </c>
      <c r="AG983" s="34">
        <v>2021</v>
      </c>
      <c r="AH983" s="35">
        <v>2021</v>
      </c>
      <c r="BZ983" s="71"/>
      <c r="CD983" s="20" t="e">
        <f t="shared" si="288"/>
        <v>#N/A</v>
      </c>
    </row>
    <row r="984" spans="1:82" ht="61.5" x14ac:dyDescent="0.85">
      <c r="B984" s="24" t="s">
        <v>866</v>
      </c>
      <c r="C984" s="24"/>
      <c r="D984" s="195">
        <f>D985</f>
        <v>4758057.87</v>
      </c>
      <c r="E984" s="31">
        <f t="shared" ref="E984:AE986" si="296">E985</f>
        <v>0</v>
      </c>
      <c r="F984" s="31">
        <f t="shared" si="296"/>
        <v>0</v>
      </c>
      <c r="G984" s="31">
        <f t="shared" si="296"/>
        <v>0</v>
      </c>
      <c r="H984" s="31">
        <f t="shared" si="296"/>
        <v>0</v>
      </c>
      <c r="I984" s="31">
        <f t="shared" si="296"/>
        <v>0</v>
      </c>
      <c r="J984" s="31">
        <f t="shared" si="296"/>
        <v>0</v>
      </c>
      <c r="K984" s="33">
        <f t="shared" si="296"/>
        <v>0</v>
      </c>
      <c r="L984" s="31">
        <f t="shared" si="296"/>
        <v>0</v>
      </c>
      <c r="M984" s="31">
        <f t="shared" si="296"/>
        <v>838.33</v>
      </c>
      <c r="N984" s="31">
        <f t="shared" si="296"/>
        <v>4539958.49</v>
      </c>
      <c r="O984" s="31">
        <f t="shared" si="296"/>
        <v>0</v>
      </c>
      <c r="P984" s="31">
        <f t="shared" si="296"/>
        <v>0</v>
      </c>
      <c r="Q984" s="31">
        <f t="shared" si="296"/>
        <v>0</v>
      </c>
      <c r="R984" s="31">
        <f t="shared" si="296"/>
        <v>0</v>
      </c>
      <c r="S984" s="31">
        <f t="shared" si="296"/>
        <v>0</v>
      </c>
      <c r="T984" s="31">
        <f t="shared" si="296"/>
        <v>0</v>
      </c>
      <c r="U984" s="31">
        <f t="shared" si="296"/>
        <v>0</v>
      </c>
      <c r="V984" s="31">
        <f t="shared" si="296"/>
        <v>0</v>
      </c>
      <c r="W984" s="31">
        <f t="shared" si="296"/>
        <v>0</v>
      </c>
      <c r="X984" s="31">
        <f t="shared" si="296"/>
        <v>0</v>
      </c>
      <c r="Y984" s="31">
        <f t="shared" si="296"/>
        <v>0</v>
      </c>
      <c r="Z984" s="31">
        <f t="shared" si="296"/>
        <v>0</v>
      </c>
      <c r="AA984" s="31">
        <f t="shared" si="296"/>
        <v>0</v>
      </c>
      <c r="AB984" s="31">
        <f t="shared" si="296"/>
        <v>0</v>
      </c>
      <c r="AC984" s="31">
        <f t="shared" si="296"/>
        <v>68099.38</v>
      </c>
      <c r="AD984" s="31">
        <f t="shared" si="296"/>
        <v>150000</v>
      </c>
      <c r="AE984" s="31">
        <f t="shared" si="296"/>
        <v>0</v>
      </c>
      <c r="AF984" s="72" t="s">
        <v>757</v>
      </c>
      <c r="AG984" s="72" t="s">
        <v>757</v>
      </c>
      <c r="AH984" s="87" t="s">
        <v>757</v>
      </c>
      <c r="AT984" s="20" t="e">
        <f t="shared" ref="AT984:AT991" si="297">VLOOKUP(C984,AW:AX,2,FALSE)</f>
        <v>#N/A</v>
      </c>
      <c r="BZ984" s="71">
        <v>4275483</v>
      </c>
      <c r="CD984" s="20" t="e">
        <f t="shared" si="288"/>
        <v>#N/A</v>
      </c>
    </row>
    <row r="985" spans="1:82" ht="61.5" x14ac:dyDescent="0.85">
      <c r="A985" s="20">
        <v>1</v>
      </c>
      <c r="B985" s="66">
        <f>SUBTOTAL(103,$A$558:A985)</f>
        <v>369</v>
      </c>
      <c r="C985" s="24" t="s">
        <v>193</v>
      </c>
      <c r="D985" s="31">
        <f>E985+F985+G985+H985+I985+J985+L985+N985+P985+R985+T985+U985+V985+W985+X985+Y985+Z985+AA985+AB985+AC985+AD985+AE985</f>
        <v>4758057.87</v>
      </c>
      <c r="E985" s="31">
        <v>0</v>
      </c>
      <c r="F985" s="31">
        <v>0</v>
      </c>
      <c r="G985" s="31">
        <v>0</v>
      </c>
      <c r="H985" s="31">
        <v>0</v>
      </c>
      <c r="I985" s="31">
        <v>0</v>
      </c>
      <c r="J985" s="31">
        <v>0</v>
      </c>
      <c r="K985" s="33">
        <v>0</v>
      </c>
      <c r="L985" s="31">
        <v>0</v>
      </c>
      <c r="M985" s="31">
        <v>838.33</v>
      </c>
      <c r="N985" s="31">
        <f>4064515.27+475443.22</f>
        <v>4539958.49</v>
      </c>
      <c r="O985" s="31">
        <v>0</v>
      </c>
      <c r="P985" s="31">
        <v>0</v>
      </c>
      <c r="Q985" s="31">
        <v>0</v>
      </c>
      <c r="R985" s="31">
        <v>0</v>
      </c>
      <c r="S985" s="31">
        <v>0</v>
      </c>
      <c r="T985" s="31">
        <v>0</v>
      </c>
      <c r="U985" s="31">
        <v>0</v>
      </c>
      <c r="V985" s="31">
        <v>0</v>
      </c>
      <c r="W985" s="31">
        <v>0</v>
      </c>
      <c r="X985" s="31">
        <v>0</v>
      </c>
      <c r="Y985" s="31">
        <v>0</v>
      </c>
      <c r="Z985" s="31">
        <v>0</v>
      </c>
      <c r="AA985" s="31">
        <v>0</v>
      </c>
      <c r="AB985" s="31">
        <v>0</v>
      </c>
      <c r="AC985" s="31">
        <f>ROUND(N985*1.5%,2)</f>
        <v>68099.38</v>
      </c>
      <c r="AD985" s="31">
        <v>150000</v>
      </c>
      <c r="AE985" s="31">
        <v>0</v>
      </c>
      <c r="AF985" s="34">
        <v>2021</v>
      </c>
      <c r="AG985" s="34">
        <v>2021</v>
      </c>
      <c r="AH985" s="35">
        <v>2021</v>
      </c>
      <c r="AT985" s="20" t="e">
        <f t="shared" si="297"/>
        <v>#N/A</v>
      </c>
      <c r="BZ985" s="71"/>
      <c r="CD985" s="20" t="e">
        <f t="shared" si="288"/>
        <v>#N/A</v>
      </c>
    </row>
    <row r="986" spans="1:82" ht="61.5" x14ac:dyDescent="0.85">
      <c r="B986" s="24" t="s">
        <v>867</v>
      </c>
      <c r="C986" s="24"/>
      <c r="D986" s="195">
        <f>D987</f>
        <v>1403643.06</v>
      </c>
      <c r="E986" s="31">
        <f t="shared" si="296"/>
        <v>0</v>
      </c>
      <c r="F986" s="31">
        <f t="shared" si="296"/>
        <v>0</v>
      </c>
      <c r="G986" s="31">
        <f t="shared" si="296"/>
        <v>0</v>
      </c>
      <c r="H986" s="31">
        <f t="shared" si="296"/>
        <v>0</v>
      </c>
      <c r="I986" s="31">
        <f t="shared" si="296"/>
        <v>0</v>
      </c>
      <c r="J986" s="31">
        <f t="shared" si="296"/>
        <v>0</v>
      </c>
      <c r="K986" s="33">
        <f t="shared" si="296"/>
        <v>0</v>
      </c>
      <c r="L986" s="31">
        <f t="shared" si="296"/>
        <v>0</v>
      </c>
      <c r="M986" s="31">
        <f t="shared" si="296"/>
        <v>333.73</v>
      </c>
      <c r="N986" s="31">
        <f t="shared" si="296"/>
        <v>1235116.32</v>
      </c>
      <c r="O986" s="31">
        <f t="shared" si="296"/>
        <v>0</v>
      </c>
      <c r="P986" s="31">
        <f t="shared" si="296"/>
        <v>0</v>
      </c>
      <c r="Q986" s="31">
        <f t="shared" si="296"/>
        <v>0</v>
      </c>
      <c r="R986" s="31">
        <f t="shared" si="296"/>
        <v>0</v>
      </c>
      <c r="S986" s="31">
        <f t="shared" si="296"/>
        <v>0</v>
      </c>
      <c r="T986" s="31">
        <f t="shared" si="296"/>
        <v>0</v>
      </c>
      <c r="U986" s="31">
        <f t="shared" si="296"/>
        <v>0</v>
      </c>
      <c r="V986" s="31">
        <f t="shared" si="296"/>
        <v>0</v>
      </c>
      <c r="W986" s="31">
        <f t="shared" si="296"/>
        <v>0</v>
      </c>
      <c r="X986" s="31">
        <f t="shared" si="296"/>
        <v>0</v>
      </c>
      <c r="Y986" s="31">
        <f t="shared" si="296"/>
        <v>0</v>
      </c>
      <c r="Z986" s="31">
        <f t="shared" si="296"/>
        <v>0</v>
      </c>
      <c r="AA986" s="31">
        <f t="shared" si="296"/>
        <v>0</v>
      </c>
      <c r="AB986" s="31">
        <f t="shared" si="296"/>
        <v>0</v>
      </c>
      <c r="AC986" s="31">
        <f t="shared" si="296"/>
        <v>18526.740000000002</v>
      </c>
      <c r="AD986" s="31">
        <f t="shared" si="296"/>
        <v>150000</v>
      </c>
      <c r="AE986" s="31">
        <f t="shared" si="296"/>
        <v>0</v>
      </c>
      <c r="AF986" s="72" t="s">
        <v>757</v>
      </c>
      <c r="AG986" s="72" t="s">
        <v>757</v>
      </c>
      <c r="AH986" s="87" t="s">
        <v>757</v>
      </c>
      <c r="AT986" s="20" t="e">
        <f t="shared" si="297"/>
        <v>#N/A</v>
      </c>
      <c r="BZ986" s="71">
        <v>4275483</v>
      </c>
      <c r="CD986" s="20" t="e">
        <f t="shared" si="288"/>
        <v>#N/A</v>
      </c>
    </row>
    <row r="987" spans="1:82" ht="61.5" x14ac:dyDescent="0.85">
      <c r="A987" s="20">
        <v>1</v>
      </c>
      <c r="B987" s="66">
        <f>SUBTOTAL(103,$A$558:A987)</f>
        <v>370</v>
      </c>
      <c r="C987" s="24" t="s">
        <v>800</v>
      </c>
      <c r="D987" s="31">
        <f>E987+F987+G987+H987+I987+J987+L987+N987+P987+R987+T987+U987+V987+W987+X987+Y987+Z987+AA987+AB987+AC987+AD987+AE987</f>
        <v>1403643.06</v>
      </c>
      <c r="E987" s="31">
        <v>0</v>
      </c>
      <c r="F987" s="31">
        <v>0</v>
      </c>
      <c r="G987" s="31">
        <v>0</v>
      </c>
      <c r="H987" s="31">
        <v>0</v>
      </c>
      <c r="I987" s="31">
        <v>0</v>
      </c>
      <c r="J987" s="31">
        <v>0</v>
      </c>
      <c r="K987" s="33">
        <v>0</v>
      </c>
      <c r="L987" s="31">
        <v>0</v>
      </c>
      <c r="M987" s="31">
        <v>333.73</v>
      </c>
      <c r="N987" s="31">
        <v>1235116.32</v>
      </c>
      <c r="O987" s="31">
        <v>0</v>
      </c>
      <c r="P987" s="31">
        <v>0</v>
      </c>
      <c r="Q987" s="31">
        <v>0</v>
      </c>
      <c r="R987" s="31">
        <v>0</v>
      </c>
      <c r="S987" s="31">
        <v>0</v>
      </c>
      <c r="T987" s="31">
        <v>0</v>
      </c>
      <c r="U987" s="31">
        <v>0</v>
      </c>
      <c r="V987" s="31">
        <v>0</v>
      </c>
      <c r="W987" s="31">
        <v>0</v>
      </c>
      <c r="X987" s="31">
        <v>0</v>
      </c>
      <c r="Y987" s="31">
        <v>0</v>
      </c>
      <c r="Z987" s="31">
        <v>0</v>
      </c>
      <c r="AA987" s="31">
        <v>0</v>
      </c>
      <c r="AB987" s="31">
        <v>0</v>
      </c>
      <c r="AC987" s="31">
        <f>ROUND(N987*1.5%,2)</f>
        <v>18526.740000000002</v>
      </c>
      <c r="AD987" s="31">
        <v>150000</v>
      </c>
      <c r="AE987" s="31">
        <v>0</v>
      </c>
      <c r="AF987" s="34">
        <v>2021</v>
      </c>
      <c r="AG987" s="34">
        <v>2021</v>
      </c>
      <c r="AH987" s="35">
        <v>2021</v>
      </c>
      <c r="AT987" s="20" t="e">
        <f t="shared" si="297"/>
        <v>#N/A</v>
      </c>
      <c r="BZ987" s="71"/>
      <c r="CD987" s="20" t="e">
        <f t="shared" si="288"/>
        <v>#N/A</v>
      </c>
    </row>
    <row r="988" spans="1:82" ht="61.5" x14ac:dyDescent="0.85">
      <c r="B988" s="24" t="s">
        <v>868</v>
      </c>
      <c r="C988" s="108"/>
      <c r="D988" s="195">
        <f>SUM(D989:D994)</f>
        <v>15229676.24</v>
      </c>
      <c r="E988" s="31">
        <f t="shared" ref="E988:AE988" si="298">SUM(E989:E994)</f>
        <v>0</v>
      </c>
      <c r="F988" s="31">
        <f t="shared" si="298"/>
        <v>0</v>
      </c>
      <c r="G988" s="31">
        <f t="shared" si="298"/>
        <v>6135136.5800000001</v>
      </c>
      <c r="H988" s="31">
        <f t="shared" si="298"/>
        <v>0</v>
      </c>
      <c r="I988" s="31">
        <f t="shared" si="298"/>
        <v>0</v>
      </c>
      <c r="J988" s="31">
        <f t="shared" si="298"/>
        <v>0</v>
      </c>
      <c r="K988" s="33">
        <f t="shared" si="298"/>
        <v>0</v>
      </c>
      <c r="L988" s="31">
        <f t="shared" si="298"/>
        <v>0</v>
      </c>
      <c r="M988" s="31">
        <f t="shared" si="298"/>
        <v>1787</v>
      </c>
      <c r="N988" s="31">
        <f t="shared" si="298"/>
        <v>8869470.5499999989</v>
      </c>
      <c r="O988" s="31">
        <f t="shared" si="298"/>
        <v>0</v>
      </c>
      <c r="P988" s="31">
        <f t="shared" si="298"/>
        <v>0</v>
      </c>
      <c r="Q988" s="31">
        <f t="shared" si="298"/>
        <v>0</v>
      </c>
      <c r="R988" s="31">
        <f t="shared" si="298"/>
        <v>0</v>
      </c>
      <c r="S988" s="31">
        <f t="shared" si="298"/>
        <v>0</v>
      </c>
      <c r="T988" s="31">
        <f t="shared" si="298"/>
        <v>0</v>
      </c>
      <c r="U988" s="31">
        <f t="shared" si="298"/>
        <v>0</v>
      </c>
      <c r="V988" s="31">
        <f t="shared" si="298"/>
        <v>0</v>
      </c>
      <c r="W988" s="31">
        <f t="shared" si="298"/>
        <v>0</v>
      </c>
      <c r="X988" s="31">
        <f t="shared" si="298"/>
        <v>0</v>
      </c>
      <c r="Y988" s="31">
        <f t="shared" si="298"/>
        <v>0</v>
      </c>
      <c r="Z988" s="31">
        <f t="shared" si="298"/>
        <v>0</v>
      </c>
      <c r="AA988" s="31">
        <f t="shared" si="298"/>
        <v>0</v>
      </c>
      <c r="AB988" s="31">
        <f t="shared" si="298"/>
        <v>0</v>
      </c>
      <c r="AC988" s="31">
        <f t="shared" si="298"/>
        <v>225069.11000000002</v>
      </c>
      <c r="AD988" s="31">
        <f t="shared" si="298"/>
        <v>0</v>
      </c>
      <c r="AE988" s="31">
        <f t="shared" si="298"/>
        <v>0</v>
      </c>
      <c r="AF988" s="72" t="s">
        <v>757</v>
      </c>
      <c r="AG988" s="72" t="s">
        <v>757</v>
      </c>
      <c r="AH988" s="87" t="s">
        <v>757</v>
      </c>
      <c r="AT988" s="20" t="e">
        <f t="shared" si="297"/>
        <v>#N/A</v>
      </c>
      <c r="BZ988" s="71">
        <v>9113700</v>
      </c>
      <c r="CD988" s="20" t="e">
        <f t="shared" si="288"/>
        <v>#N/A</v>
      </c>
    </row>
    <row r="989" spans="1:82" ht="61.5" x14ac:dyDescent="0.85">
      <c r="A989" s="20">
        <v>1</v>
      </c>
      <c r="B989" s="66">
        <f>SUBTOTAL(103,$A$558:A989)</f>
        <v>371</v>
      </c>
      <c r="C989" s="24" t="s">
        <v>212</v>
      </c>
      <c r="D989" s="31">
        <f>E989+F989+G989+H989+I989+J989+L989+N989+P989+R989+T989+U989+V989+W989+X989+Y989+Z989+AA989+AB989+AC989+AD989+AE989</f>
        <v>6058289.959999999</v>
      </c>
      <c r="E989" s="31">
        <v>0</v>
      </c>
      <c r="F989" s="31">
        <v>0</v>
      </c>
      <c r="G989" s="31">
        <v>0</v>
      </c>
      <c r="H989" s="31">
        <v>0</v>
      </c>
      <c r="I989" s="31">
        <v>0</v>
      </c>
      <c r="J989" s="31">
        <v>0</v>
      </c>
      <c r="K989" s="33">
        <v>0</v>
      </c>
      <c r="L989" s="31">
        <v>0</v>
      </c>
      <c r="M989" s="31">
        <v>1203</v>
      </c>
      <c r="N989" s="31">
        <f>5867290.64+30001.55+71466.39</f>
        <v>5968758.5799999991</v>
      </c>
      <c r="O989" s="31">
        <v>0</v>
      </c>
      <c r="P989" s="31">
        <v>0</v>
      </c>
      <c r="Q989" s="31">
        <v>0</v>
      </c>
      <c r="R989" s="31">
        <v>0</v>
      </c>
      <c r="S989" s="31">
        <v>0</v>
      </c>
      <c r="T989" s="31">
        <v>0</v>
      </c>
      <c r="U989" s="31">
        <v>0</v>
      </c>
      <c r="V989" s="31">
        <v>0</v>
      </c>
      <c r="W989" s="31">
        <v>0</v>
      </c>
      <c r="X989" s="31">
        <v>0</v>
      </c>
      <c r="Y989" s="31">
        <v>0</v>
      </c>
      <c r="Z989" s="31">
        <v>0</v>
      </c>
      <c r="AA989" s="31">
        <v>0</v>
      </c>
      <c r="AB989" s="31">
        <v>0</v>
      </c>
      <c r="AC989" s="31">
        <f>ROUND(N989*1.5%,2)</f>
        <v>89531.38</v>
      </c>
      <c r="AD989" s="31">
        <v>0</v>
      </c>
      <c r="AE989" s="31">
        <v>0</v>
      </c>
      <c r="AF989" s="34" t="s">
        <v>270</v>
      </c>
      <c r="AG989" s="34">
        <v>2021</v>
      </c>
      <c r="AH989" s="35">
        <v>2021</v>
      </c>
      <c r="AT989" s="20" t="e">
        <f t="shared" si="297"/>
        <v>#N/A</v>
      </c>
      <c r="BZ989" s="71"/>
      <c r="CD989" s="20" t="e">
        <f t="shared" si="288"/>
        <v>#N/A</v>
      </c>
    </row>
    <row r="990" spans="1:82" ht="61.5" x14ac:dyDescent="0.85">
      <c r="A990" s="20">
        <v>1</v>
      </c>
      <c r="B990" s="66">
        <f>SUBTOTAL(103,$A$558:A990)</f>
        <v>372</v>
      </c>
      <c r="C990" s="24" t="s">
        <v>213</v>
      </c>
      <c r="D990" s="31">
        <f>E990+F990+G990+H990+I990+J990+L990+N990+P990+R990+T990+U990+V990+W990+X990+Y990+Z990+AA990+AB990+AC990+AD990+AE990</f>
        <v>2944222.6500000004</v>
      </c>
      <c r="E990" s="31">
        <v>0</v>
      </c>
      <c r="F990" s="31">
        <v>0</v>
      </c>
      <c r="G990" s="31">
        <v>0</v>
      </c>
      <c r="H990" s="31">
        <v>0</v>
      </c>
      <c r="I990" s="31">
        <v>0</v>
      </c>
      <c r="J990" s="31">
        <v>0</v>
      </c>
      <c r="K990" s="33">
        <v>0</v>
      </c>
      <c r="L990" s="31">
        <v>0</v>
      </c>
      <c r="M990" s="31">
        <v>584</v>
      </c>
      <c r="N990" s="31">
        <f>2786600.99+82393.91+31717.07</f>
        <v>2900711.97</v>
      </c>
      <c r="O990" s="31">
        <v>0</v>
      </c>
      <c r="P990" s="31">
        <v>0</v>
      </c>
      <c r="Q990" s="31">
        <v>0</v>
      </c>
      <c r="R990" s="31">
        <v>0</v>
      </c>
      <c r="S990" s="31">
        <v>0</v>
      </c>
      <c r="T990" s="31">
        <v>0</v>
      </c>
      <c r="U990" s="31">
        <v>0</v>
      </c>
      <c r="V990" s="31">
        <v>0</v>
      </c>
      <c r="W990" s="31">
        <v>0</v>
      </c>
      <c r="X990" s="31">
        <v>0</v>
      </c>
      <c r="Y990" s="31">
        <v>0</v>
      </c>
      <c r="Z990" s="31">
        <v>0</v>
      </c>
      <c r="AA990" s="31">
        <v>0</v>
      </c>
      <c r="AB990" s="31">
        <v>0</v>
      </c>
      <c r="AC990" s="31">
        <f>ROUND(N990*1.5%,2)</f>
        <v>43510.68</v>
      </c>
      <c r="AD990" s="31">
        <v>0</v>
      </c>
      <c r="AE990" s="31">
        <v>0</v>
      </c>
      <c r="AF990" s="34" t="s">
        <v>270</v>
      </c>
      <c r="AG990" s="34">
        <v>2021</v>
      </c>
      <c r="AH990" s="35">
        <v>2021</v>
      </c>
      <c r="AT990" s="20" t="e">
        <f t="shared" si="297"/>
        <v>#N/A</v>
      </c>
      <c r="BZ990" s="71"/>
      <c r="CD990" s="20" t="e">
        <f t="shared" si="288"/>
        <v>#N/A</v>
      </c>
    </row>
    <row r="991" spans="1:82" ht="61.5" x14ac:dyDescent="0.85">
      <c r="A991" s="20">
        <v>1</v>
      </c>
      <c r="B991" s="66">
        <f>SUBTOTAL(103,$A$558:A991)</f>
        <v>373</v>
      </c>
      <c r="C991" s="24" t="s">
        <v>218</v>
      </c>
      <c r="D991" s="31">
        <f>E991+F991+G991+H991+I991+J991+L991+N991+P991+R991+T991+U991+V991+W991+X991+Y991+Z991+AA991+AB991+AC991+AD991+AE991</f>
        <v>653859.32000000007</v>
      </c>
      <c r="E991" s="31">
        <v>0</v>
      </c>
      <c r="F991" s="31">
        <v>0</v>
      </c>
      <c r="G991" s="31">
        <f>378568.09+265628.28</f>
        <v>644196.37000000011</v>
      </c>
      <c r="H991" s="31">
        <v>0</v>
      </c>
      <c r="I991" s="31">
        <v>0</v>
      </c>
      <c r="J991" s="31">
        <v>0</v>
      </c>
      <c r="K991" s="33">
        <v>0</v>
      </c>
      <c r="L991" s="31">
        <v>0</v>
      </c>
      <c r="M991" s="31">
        <v>0</v>
      </c>
      <c r="N991" s="31">
        <v>0</v>
      </c>
      <c r="O991" s="31">
        <v>0</v>
      </c>
      <c r="P991" s="31">
        <v>0</v>
      </c>
      <c r="Q991" s="31">
        <v>0</v>
      </c>
      <c r="R991" s="31">
        <v>0</v>
      </c>
      <c r="S991" s="31">
        <v>0</v>
      </c>
      <c r="T991" s="31">
        <v>0</v>
      </c>
      <c r="U991" s="31">
        <v>0</v>
      </c>
      <c r="V991" s="31">
        <v>0</v>
      </c>
      <c r="W991" s="31">
        <v>0</v>
      </c>
      <c r="X991" s="31">
        <v>0</v>
      </c>
      <c r="Y991" s="31">
        <v>0</v>
      </c>
      <c r="Z991" s="31">
        <v>0</v>
      </c>
      <c r="AA991" s="31">
        <v>0</v>
      </c>
      <c r="AB991" s="31">
        <v>0</v>
      </c>
      <c r="AC991" s="31">
        <f>ROUND((E991+F991+G991+H991+I991+J991)*1.5%,2)</f>
        <v>9662.9500000000007</v>
      </c>
      <c r="AD991" s="31">
        <v>0</v>
      </c>
      <c r="AE991" s="31">
        <v>0</v>
      </c>
      <c r="AF991" s="34" t="s">
        <v>270</v>
      </c>
      <c r="AG991" s="34">
        <v>2021</v>
      </c>
      <c r="AH991" s="34">
        <v>2021</v>
      </c>
      <c r="AT991" s="20" t="e">
        <f t="shared" si="297"/>
        <v>#N/A</v>
      </c>
      <c r="BZ991" s="71"/>
      <c r="CD991" s="20" t="e">
        <f t="shared" si="288"/>
        <v>#N/A</v>
      </c>
    </row>
    <row r="992" spans="1:82" ht="61.5" x14ac:dyDescent="0.85">
      <c r="A992" s="20">
        <v>1</v>
      </c>
      <c r="B992" s="66">
        <f>SUBTOTAL(103,$A$558:A992)</f>
        <v>374</v>
      </c>
      <c r="C992" s="24" t="s">
        <v>1570</v>
      </c>
      <c r="D992" s="31">
        <f t="shared" ref="D992" si="299">E992+F992+G992+H992+I992+J992+L992+N992+P992+R992+T992+U992+V992+W992+X992+Y992+Z992+AA992+AB992+AC992+AD992+AE992</f>
        <v>1015000</v>
      </c>
      <c r="E992" s="31">
        <v>0</v>
      </c>
      <c r="F992" s="31">
        <v>0</v>
      </c>
      <c r="G992" s="31">
        <v>1000000</v>
      </c>
      <c r="H992" s="31">
        <v>0</v>
      </c>
      <c r="I992" s="31">
        <v>0</v>
      </c>
      <c r="J992" s="31">
        <v>0</v>
      </c>
      <c r="K992" s="33">
        <v>0</v>
      </c>
      <c r="L992" s="31">
        <v>0</v>
      </c>
      <c r="M992" s="31">
        <v>0</v>
      </c>
      <c r="N992" s="31">
        <v>0</v>
      </c>
      <c r="O992" s="31">
        <v>0</v>
      </c>
      <c r="P992" s="31">
        <v>0</v>
      </c>
      <c r="Q992" s="31">
        <v>0</v>
      </c>
      <c r="R992" s="31">
        <v>0</v>
      </c>
      <c r="S992" s="31">
        <v>0</v>
      </c>
      <c r="T992" s="31">
        <v>0</v>
      </c>
      <c r="U992" s="31">
        <v>0</v>
      </c>
      <c r="V992" s="31">
        <v>0</v>
      </c>
      <c r="W992" s="31">
        <v>0</v>
      </c>
      <c r="X992" s="31">
        <v>0</v>
      </c>
      <c r="Y992" s="31">
        <v>0</v>
      </c>
      <c r="Z992" s="31">
        <v>0</v>
      </c>
      <c r="AA992" s="31">
        <v>0</v>
      </c>
      <c r="AB992" s="31">
        <v>0</v>
      </c>
      <c r="AC992" s="31">
        <f t="shared" ref="AC992" si="300">ROUND((E992+F992+G992+H992+I992+J992)*1.5%,2)</f>
        <v>15000</v>
      </c>
      <c r="AD992" s="31">
        <v>0</v>
      </c>
      <c r="AE992" s="31">
        <v>0</v>
      </c>
      <c r="AF992" s="34" t="s">
        <v>270</v>
      </c>
      <c r="AG992" s="34">
        <v>2021</v>
      </c>
      <c r="AH992" s="34">
        <v>2021</v>
      </c>
      <c r="BZ992" s="71"/>
      <c r="CD992" s="20" t="e">
        <f t="shared" si="288"/>
        <v>#N/A</v>
      </c>
    </row>
    <row r="993" spans="1:82" ht="61.5" x14ac:dyDescent="0.85">
      <c r="A993" s="20">
        <v>1</v>
      </c>
      <c r="B993" s="66">
        <f>SUBTOTAL(103,$A$558:A993)</f>
        <v>375</v>
      </c>
      <c r="C993" s="24" t="s">
        <v>1571</v>
      </c>
      <c r="D993" s="31">
        <f t="shared" ref="D993:D999" si="301">E993+F993+G993+H993+I993+J993+L993+N993+P993+R993+T993+U993+V993+W993+X993+Y993+Z993+AA993+AB993+AC993+AD993+AE993</f>
        <v>964250</v>
      </c>
      <c r="E993" s="31">
        <v>0</v>
      </c>
      <c r="F993" s="31">
        <v>0</v>
      </c>
      <c r="G993" s="31">
        <v>950000</v>
      </c>
      <c r="H993" s="31">
        <v>0</v>
      </c>
      <c r="I993" s="31">
        <v>0</v>
      </c>
      <c r="J993" s="31">
        <v>0</v>
      </c>
      <c r="K993" s="33">
        <v>0</v>
      </c>
      <c r="L993" s="31">
        <v>0</v>
      </c>
      <c r="M993" s="31">
        <v>0</v>
      </c>
      <c r="N993" s="31">
        <v>0</v>
      </c>
      <c r="O993" s="31">
        <v>0</v>
      </c>
      <c r="P993" s="31">
        <v>0</v>
      </c>
      <c r="Q993" s="31">
        <v>0</v>
      </c>
      <c r="R993" s="31">
        <v>0</v>
      </c>
      <c r="S993" s="31">
        <v>0</v>
      </c>
      <c r="T993" s="31">
        <v>0</v>
      </c>
      <c r="U993" s="31">
        <v>0</v>
      </c>
      <c r="V993" s="31">
        <v>0</v>
      </c>
      <c r="W993" s="31">
        <v>0</v>
      </c>
      <c r="X993" s="31">
        <v>0</v>
      </c>
      <c r="Y993" s="31">
        <v>0</v>
      </c>
      <c r="Z993" s="31">
        <v>0</v>
      </c>
      <c r="AA993" s="31">
        <v>0</v>
      </c>
      <c r="AB993" s="31">
        <v>0</v>
      </c>
      <c r="AC993" s="31">
        <f t="shared" ref="AC993:AC994" si="302">ROUND((E993+F993+G993+H993+I993+J993)*1.5%,2)</f>
        <v>14250</v>
      </c>
      <c r="AD993" s="31">
        <v>0</v>
      </c>
      <c r="AE993" s="31">
        <v>0</v>
      </c>
      <c r="AF993" s="34" t="s">
        <v>270</v>
      </c>
      <c r="AG993" s="34">
        <v>2021</v>
      </c>
      <c r="AH993" s="34">
        <v>2021</v>
      </c>
      <c r="BZ993" s="71"/>
      <c r="CD993" s="20" t="e">
        <f t="shared" si="288"/>
        <v>#N/A</v>
      </c>
    </row>
    <row r="994" spans="1:82" ht="61.5" x14ac:dyDescent="0.85">
      <c r="A994" s="20">
        <v>1</v>
      </c>
      <c r="B994" s="66">
        <f>SUBTOTAL(103,$A$558:A994)</f>
        <v>376</v>
      </c>
      <c r="C994" s="24" t="s">
        <v>1280</v>
      </c>
      <c r="D994" s="31">
        <f t="shared" si="301"/>
        <v>3594054.31</v>
      </c>
      <c r="E994" s="31">
        <v>0</v>
      </c>
      <c r="F994" s="31">
        <v>0</v>
      </c>
      <c r="G994" s="31">
        <f>2877345.15+663595.06</f>
        <v>3540940.21</v>
      </c>
      <c r="H994" s="31">
        <v>0</v>
      </c>
      <c r="I994" s="31">
        <v>0</v>
      </c>
      <c r="J994" s="31">
        <v>0</v>
      </c>
      <c r="K994" s="74">
        <v>0</v>
      </c>
      <c r="L994" s="31">
        <v>0</v>
      </c>
      <c r="M994" s="31">
        <v>0</v>
      </c>
      <c r="N994" s="31">
        <v>0</v>
      </c>
      <c r="O994" s="31">
        <v>0</v>
      </c>
      <c r="P994" s="31">
        <v>0</v>
      </c>
      <c r="Q994" s="31">
        <v>0</v>
      </c>
      <c r="R994" s="31">
        <v>0</v>
      </c>
      <c r="S994" s="31">
        <v>0</v>
      </c>
      <c r="T994" s="31">
        <v>0</v>
      </c>
      <c r="U994" s="31">
        <v>0</v>
      </c>
      <c r="V994" s="31">
        <v>0</v>
      </c>
      <c r="W994" s="31">
        <v>0</v>
      </c>
      <c r="X994" s="31">
        <v>0</v>
      </c>
      <c r="Y994" s="31">
        <v>0</v>
      </c>
      <c r="Z994" s="31">
        <v>0</v>
      </c>
      <c r="AA994" s="31">
        <v>0</v>
      </c>
      <c r="AB994" s="31">
        <v>0</v>
      </c>
      <c r="AC994" s="31">
        <f t="shared" si="302"/>
        <v>53114.1</v>
      </c>
      <c r="AD994" s="31">
        <v>0</v>
      </c>
      <c r="AE994" s="31">
        <v>0</v>
      </c>
      <c r="AF994" s="34" t="s">
        <v>270</v>
      </c>
      <c r="AG994" s="34">
        <v>2021</v>
      </c>
      <c r="AH994" s="34">
        <v>2021</v>
      </c>
      <c r="BZ994" s="71"/>
      <c r="CD994" s="20" t="e">
        <f t="shared" si="288"/>
        <v>#N/A</v>
      </c>
    </row>
    <row r="995" spans="1:82" ht="61.5" x14ac:dyDescent="0.85">
      <c r="B995" s="24" t="s">
        <v>869</v>
      </c>
      <c r="C995" s="24"/>
      <c r="D995" s="195">
        <f>SUM(D996:D999)</f>
        <v>8045705.7599999988</v>
      </c>
      <c r="E995" s="31">
        <f t="shared" ref="E995:AE995" si="303">SUM(E996:E999)</f>
        <v>0</v>
      </c>
      <c r="F995" s="31">
        <f t="shared" si="303"/>
        <v>0</v>
      </c>
      <c r="G995" s="31">
        <f t="shared" si="303"/>
        <v>0</v>
      </c>
      <c r="H995" s="31">
        <f t="shared" si="303"/>
        <v>1068632.7</v>
      </c>
      <c r="I995" s="31">
        <f t="shared" si="303"/>
        <v>0</v>
      </c>
      <c r="J995" s="31">
        <f t="shared" si="303"/>
        <v>0</v>
      </c>
      <c r="K995" s="33">
        <f t="shared" si="303"/>
        <v>0</v>
      </c>
      <c r="L995" s="31">
        <f t="shared" si="303"/>
        <v>0</v>
      </c>
      <c r="M995" s="31">
        <f t="shared" si="303"/>
        <v>686</v>
      </c>
      <c r="N995" s="31">
        <f t="shared" si="303"/>
        <v>3522194.38</v>
      </c>
      <c r="O995" s="31">
        <f t="shared" si="303"/>
        <v>0</v>
      </c>
      <c r="P995" s="31">
        <f t="shared" si="303"/>
        <v>0</v>
      </c>
      <c r="Q995" s="31">
        <f t="shared" si="303"/>
        <v>0</v>
      </c>
      <c r="R995" s="31">
        <f t="shared" si="303"/>
        <v>0</v>
      </c>
      <c r="S995" s="31">
        <f t="shared" si="303"/>
        <v>0</v>
      </c>
      <c r="T995" s="31">
        <f t="shared" si="303"/>
        <v>0</v>
      </c>
      <c r="U995" s="31">
        <f t="shared" si="303"/>
        <v>3336026.4299999997</v>
      </c>
      <c r="V995" s="31">
        <f t="shared" si="303"/>
        <v>0</v>
      </c>
      <c r="W995" s="31">
        <f t="shared" si="303"/>
        <v>0</v>
      </c>
      <c r="X995" s="31">
        <f t="shared" si="303"/>
        <v>0</v>
      </c>
      <c r="Y995" s="31">
        <f t="shared" si="303"/>
        <v>0</v>
      </c>
      <c r="Z995" s="31">
        <f t="shared" si="303"/>
        <v>0</v>
      </c>
      <c r="AA995" s="31">
        <f t="shared" si="303"/>
        <v>0</v>
      </c>
      <c r="AB995" s="31">
        <f t="shared" si="303"/>
        <v>0</v>
      </c>
      <c r="AC995" s="31">
        <f t="shared" si="303"/>
        <v>118852.25</v>
      </c>
      <c r="AD995" s="31">
        <f t="shared" si="303"/>
        <v>0</v>
      </c>
      <c r="AE995" s="31">
        <f t="shared" si="303"/>
        <v>0</v>
      </c>
      <c r="AF995" s="72" t="s">
        <v>757</v>
      </c>
      <c r="AG995" s="72" t="s">
        <v>757</v>
      </c>
      <c r="AH995" s="87" t="s">
        <v>757</v>
      </c>
      <c r="AT995" s="20" t="e">
        <f>VLOOKUP(C995,AW:AX,2,FALSE)</f>
        <v>#N/A</v>
      </c>
      <c r="BZ995" s="71">
        <v>3498600</v>
      </c>
      <c r="CD995" s="20" t="e">
        <f t="shared" si="288"/>
        <v>#N/A</v>
      </c>
    </row>
    <row r="996" spans="1:82" ht="61.5" x14ac:dyDescent="0.85">
      <c r="A996" s="20">
        <v>1</v>
      </c>
      <c r="B996" s="66">
        <f>SUBTOTAL(103,$A$558:A996)</f>
        <v>377</v>
      </c>
      <c r="C996" s="24" t="s">
        <v>225</v>
      </c>
      <c r="D996" s="31">
        <f t="shared" si="301"/>
        <v>3575027.3</v>
      </c>
      <c r="E996" s="31">
        <v>0</v>
      </c>
      <c r="F996" s="31">
        <v>0</v>
      </c>
      <c r="G996" s="31">
        <v>0</v>
      </c>
      <c r="H996" s="31">
        <v>0</v>
      </c>
      <c r="I996" s="31">
        <v>0</v>
      </c>
      <c r="J996" s="31">
        <v>0</v>
      </c>
      <c r="K996" s="33">
        <v>0</v>
      </c>
      <c r="L996" s="31">
        <v>0</v>
      </c>
      <c r="M996" s="31">
        <v>686</v>
      </c>
      <c r="N996" s="31">
        <f>3299113.3+78032.85+33832.39+111215.84</f>
        <v>3522194.38</v>
      </c>
      <c r="O996" s="31">
        <v>0</v>
      </c>
      <c r="P996" s="31">
        <v>0</v>
      </c>
      <c r="Q996" s="31">
        <v>0</v>
      </c>
      <c r="R996" s="31">
        <v>0</v>
      </c>
      <c r="S996" s="31">
        <v>0</v>
      </c>
      <c r="T996" s="31">
        <v>0</v>
      </c>
      <c r="U996" s="31">
        <v>0</v>
      </c>
      <c r="V996" s="31">
        <v>0</v>
      </c>
      <c r="W996" s="31">
        <v>0</v>
      </c>
      <c r="X996" s="31">
        <v>0</v>
      </c>
      <c r="Y996" s="31">
        <v>0</v>
      </c>
      <c r="Z996" s="31">
        <v>0</v>
      </c>
      <c r="AA996" s="31">
        <v>0</v>
      </c>
      <c r="AB996" s="31">
        <v>0</v>
      </c>
      <c r="AC996" s="31">
        <f>ROUND(N996*1.5%,2)</f>
        <v>52832.92</v>
      </c>
      <c r="AD996" s="31">
        <v>0</v>
      </c>
      <c r="AE996" s="31">
        <v>0</v>
      </c>
      <c r="AF996" s="34" t="s">
        <v>270</v>
      </c>
      <c r="AG996" s="34">
        <v>2021</v>
      </c>
      <c r="AH996" s="35">
        <v>2021</v>
      </c>
      <c r="AT996" s="20" t="e">
        <f>VLOOKUP(C996,AW:AX,2,FALSE)</f>
        <v>#N/A</v>
      </c>
      <c r="BZ996" s="71"/>
      <c r="CD996" s="20" t="e">
        <f t="shared" si="288"/>
        <v>#N/A</v>
      </c>
    </row>
    <row r="997" spans="1:82" ht="61.5" x14ac:dyDescent="0.85">
      <c r="A997" s="20">
        <v>1</v>
      </c>
      <c r="B997" s="66">
        <f>SUBTOTAL(103,$A$558:A997)</f>
        <v>378</v>
      </c>
      <c r="C997" s="24" t="s">
        <v>220</v>
      </c>
      <c r="D997" s="31">
        <f t="shared" si="301"/>
        <v>400289.33999999997</v>
      </c>
      <c r="E997" s="31">
        <v>0</v>
      </c>
      <c r="F997" s="31">
        <v>0</v>
      </c>
      <c r="G997" s="31">
        <v>0</v>
      </c>
      <c r="H997" s="31">
        <v>394373.73</v>
      </c>
      <c r="I997" s="31">
        <v>0</v>
      </c>
      <c r="J997" s="31">
        <v>0</v>
      </c>
      <c r="K997" s="74">
        <v>0</v>
      </c>
      <c r="L997" s="31">
        <v>0</v>
      </c>
      <c r="M997" s="31">
        <v>0</v>
      </c>
      <c r="N997" s="31">
        <v>0</v>
      </c>
      <c r="O997" s="31">
        <v>0</v>
      </c>
      <c r="P997" s="31">
        <v>0</v>
      </c>
      <c r="Q997" s="31">
        <v>0</v>
      </c>
      <c r="R997" s="31">
        <v>0</v>
      </c>
      <c r="S997" s="31">
        <v>0</v>
      </c>
      <c r="T997" s="31">
        <v>0</v>
      </c>
      <c r="U997" s="31">
        <v>0</v>
      </c>
      <c r="V997" s="31">
        <v>0</v>
      </c>
      <c r="W997" s="31">
        <v>0</v>
      </c>
      <c r="X997" s="31">
        <v>0</v>
      </c>
      <c r="Y997" s="31">
        <v>0</v>
      </c>
      <c r="Z997" s="31">
        <v>0</v>
      </c>
      <c r="AA997" s="31">
        <v>0</v>
      </c>
      <c r="AB997" s="31">
        <v>0</v>
      </c>
      <c r="AC997" s="31">
        <v>5915.61</v>
      </c>
      <c r="AD997" s="31">
        <v>0</v>
      </c>
      <c r="AE997" s="31">
        <v>0</v>
      </c>
      <c r="AF997" s="34" t="s">
        <v>270</v>
      </c>
      <c r="AG997" s="34">
        <v>2021</v>
      </c>
      <c r="AH997" s="35">
        <v>2021</v>
      </c>
      <c r="AT997" s="20" t="e">
        <v>#N/A</v>
      </c>
      <c r="BZ997" s="71"/>
      <c r="CD997" s="20" t="e">
        <v>#N/A</v>
      </c>
    </row>
    <row r="998" spans="1:82" ht="61.5" x14ac:dyDescent="0.85">
      <c r="A998" s="20">
        <v>1</v>
      </c>
      <c r="B998" s="66">
        <f>SUBTOTAL(103,$A$558:A998)</f>
        <v>379</v>
      </c>
      <c r="C998" s="24" t="s">
        <v>226</v>
      </c>
      <c r="D998" s="31">
        <f t="shared" si="301"/>
        <v>3386066.8299999996</v>
      </c>
      <c r="E998" s="31">
        <v>0</v>
      </c>
      <c r="F998" s="31">
        <v>0</v>
      </c>
      <c r="G998" s="31">
        <v>0</v>
      </c>
      <c r="H998" s="31">
        <v>0</v>
      </c>
      <c r="I998" s="31">
        <v>0</v>
      </c>
      <c r="J998" s="31">
        <v>0</v>
      </c>
      <c r="K998" s="74">
        <v>0</v>
      </c>
      <c r="L998" s="31">
        <v>0</v>
      </c>
      <c r="M998" s="31">
        <v>0</v>
      </c>
      <c r="N998" s="31">
        <v>0</v>
      </c>
      <c r="O998" s="31">
        <v>0</v>
      </c>
      <c r="P998" s="31">
        <v>0</v>
      </c>
      <c r="Q998" s="31">
        <v>0</v>
      </c>
      <c r="R998" s="31">
        <v>0</v>
      </c>
      <c r="S998" s="31">
        <v>0</v>
      </c>
      <c r="T998" s="31">
        <v>0</v>
      </c>
      <c r="U998" s="31">
        <v>3336026.4299999997</v>
      </c>
      <c r="V998" s="31">
        <v>0</v>
      </c>
      <c r="W998" s="31">
        <v>0</v>
      </c>
      <c r="X998" s="31">
        <v>0</v>
      </c>
      <c r="Y998" s="31">
        <v>0</v>
      </c>
      <c r="Z998" s="31">
        <v>0</v>
      </c>
      <c r="AA998" s="31">
        <v>0</v>
      </c>
      <c r="AB998" s="31">
        <v>0</v>
      </c>
      <c r="AC998" s="31">
        <v>50040.4</v>
      </c>
      <c r="AD998" s="31">
        <v>0</v>
      </c>
      <c r="AE998" s="31">
        <v>0</v>
      </c>
      <c r="AF998" s="34" t="s">
        <v>270</v>
      </c>
      <c r="AG998" s="34">
        <v>2021</v>
      </c>
      <c r="AH998" s="35">
        <v>2021</v>
      </c>
      <c r="AT998" s="20" t="e">
        <v>#N/A</v>
      </c>
      <c r="BZ998" s="71"/>
      <c r="CD998" s="20" t="e">
        <v>#N/A</v>
      </c>
    </row>
    <row r="999" spans="1:82" ht="61.5" x14ac:dyDescent="0.85">
      <c r="A999" s="20">
        <v>1</v>
      </c>
      <c r="B999" s="66">
        <f>SUBTOTAL(103,$A$558:A999)</f>
        <v>380</v>
      </c>
      <c r="C999" s="24" t="s">
        <v>1281</v>
      </c>
      <c r="D999" s="31">
        <f t="shared" si="301"/>
        <v>684322.28999999992</v>
      </c>
      <c r="E999" s="31">
        <v>0</v>
      </c>
      <c r="F999" s="31">
        <v>0</v>
      </c>
      <c r="G999" s="31">
        <v>0</v>
      </c>
      <c r="H999" s="31">
        <v>674258.97</v>
      </c>
      <c r="I999" s="31">
        <v>0</v>
      </c>
      <c r="J999" s="31">
        <v>0</v>
      </c>
      <c r="K999" s="74">
        <v>0</v>
      </c>
      <c r="L999" s="31">
        <v>0</v>
      </c>
      <c r="M999" s="31">
        <v>0</v>
      </c>
      <c r="N999" s="31">
        <v>0</v>
      </c>
      <c r="O999" s="31">
        <v>0</v>
      </c>
      <c r="P999" s="31">
        <v>0</v>
      </c>
      <c r="Q999" s="31">
        <v>0</v>
      </c>
      <c r="R999" s="31">
        <v>0</v>
      </c>
      <c r="S999" s="31">
        <v>0</v>
      </c>
      <c r="T999" s="31">
        <v>0</v>
      </c>
      <c r="U999" s="31">
        <v>0</v>
      </c>
      <c r="V999" s="31">
        <v>0</v>
      </c>
      <c r="W999" s="31">
        <v>0</v>
      </c>
      <c r="X999" s="31">
        <v>0</v>
      </c>
      <c r="Y999" s="31">
        <v>0</v>
      </c>
      <c r="Z999" s="31">
        <v>0</v>
      </c>
      <c r="AA999" s="31">
        <v>0</v>
      </c>
      <c r="AB999" s="31">
        <v>0</v>
      </c>
      <c r="AC999" s="31">
        <v>10063.32</v>
      </c>
      <c r="AD999" s="31">
        <v>0</v>
      </c>
      <c r="AE999" s="31">
        <v>0</v>
      </c>
      <c r="AF999" s="34" t="s">
        <v>270</v>
      </c>
      <c r="AG999" s="34">
        <v>2021</v>
      </c>
      <c r="AH999" s="35">
        <v>2021</v>
      </c>
      <c r="BZ999" s="71"/>
      <c r="CD999" s="20" t="e">
        <v>#N/A</v>
      </c>
    </row>
    <row r="1000" spans="1:82" ht="61.5" x14ac:dyDescent="0.85">
      <c r="B1000" s="24" t="s">
        <v>871</v>
      </c>
      <c r="C1000" s="24"/>
      <c r="D1000" s="195">
        <f>D1001</f>
        <v>3415978.9200000004</v>
      </c>
      <c r="E1000" s="31">
        <f t="shared" ref="E1000:AE1002" si="304">E1001</f>
        <v>0</v>
      </c>
      <c r="F1000" s="31">
        <f t="shared" si="304"/>
        <v>0</v>
      </c>
      <c r="G1000" s="31">
        <f t="shared" si="304"/>
        <v>0</v>
      </c>
      <c r="H1000" s="31">
        <f t="shared" si="304"/>
        <v>0</v>
      </c>
      <c r="I1000" s="31">
        <f t="shared" si="304"/>
        <v>0</v>
      </c>
      <c r="J1000" s="31">
        <f t="shared" si="304"/>
        <v>0</v>
      </c>
      <c r="K1000" s="33">
        <f t="shared" si="304"/>
        <v>0</v>
      </c>
      <c r="L1000" s="31">
        <f t="shared" si="304"/>
        <v>0</v>
      </c>
      <c r="M1000" s="31">
        <f t="shared" si="304"/>
        <v>633.4</v>
      </c>
      <c r="N1000" s="31">
        <f t="shared" si="304"/>
        <v>3365496.47</v>
      </c>
      <c r="O1000" s="31">
        <f t="shared" si="304"/>
        <v>0</v>
      </c>
      <c r="P1000" s="31">
        <f t="shared" si="304"/>
        <v>0</v>
      </c>
      <c r="Q1000" s="31">
        <f t="shared" si="304"/>
        <v>0</v>
      </c>
      <c r="R1000" s="31">
        <f t="shared" si="304"/>
        <v>0</v>
      </c>
      <c r="S1000" s="31">
        <f t="shared" si="304"/>
        <v>0</v>
      </c>
      <c r="T1000" s="31">
        <f t="shared" si="304"/>
        <v>0</v>
      </c>
      <c r="U1000" s="31">
        <f t="shared" si="304"/>
        <v>0</v>
      </c>
      <c r="V1000" s="31">
        <f t="shared" si="304"/>
        <v>0</v>
      </c>
      <c r="W1000" s="31">
        <f t="shared" si="304"/>
        <v>0</v>
      </c>
      <c r="X1000" s="31">
        <f t="shared" si="304"/>
        <v>0</v>
      </c>
      <c r="Y1000" s="31">
        <f t="shared" si="304"/>
        <v>0</v>
      </c>
      <c r="Z1000" s="31">
        <f t="shared" si="304"/>
        <v>0</v>
      </c>
      <c r="AA1000" s="31">
        <f t="shared" si="304"/>
        <v>0</v>
      </c>
      <c r="AB1000" s="31">
        <f t="shared" si="304"/>
        <v>0</v>
      </c>
      <c r="AC1000" s="31">
        <f t="shared" si="304"/>
        <v>50482.45</v>
      </c>
      <c r="AD1000" s="31">
        <f t="shared" si="304"/>
        <v>0</v>
      </c>
      <c r="AE1000" s="31">
        <f t="shared" si="304"/>
        <v>0</v>
      </c>
      <c r="AF1000" s="72" t="s">
        <v>757</v>
      </c>
      <c r="AG1000" s="72" t="s">
        <v>757</v>
      </c>
      <c r="AH1000" s="87" t="s">
        <v>757</v>
      </c>
      <c r="AT1000" s="20" t="e">
        <f t="shared" ref="AT1000:AT1010" si="305">VLOOKUP(C1000,AW:AX,2,FALSE)</f>
        <v>#N/A</v>
      </c>
      <c r="BZ1000" s="71">
        <v>3230340</v>
      </c>
      <c r="CD1000" s="20" t="e">
        <f>VLOOKUP(C1000,CE:CF,2,FALSE)</f>
        <v>#N/A</v>
      </c>
    </row>
    <row r="1001" spans="1:82" ht="61.5" x14ac:dyDescent="0.85">
      <c r="A1001" s="20">
        <v>1</v>
      </c>
      <c r="B1001" s="66">
        <f>SUBTOTAL(103,$A$558:A1001)</f>
        <v>381</v>
      </c>
      <c r="C1001" s="24" t="s">
        <v>219</v>
      </c>
      <c r="D1001" s="31">
        <f>E1001+F1001+G1001+H1001+I1001+J1001+L1001+N1001+P1001+R1001+T1001+U1001+V1001+W1001+X1001+Y1001+Z1001+AA1001+AB1001+AC1001+AD1001+AE1001</f>
        <v>3415978.9200000004</v>
      </c>
      <c r="E1001" s="31">
        <v>0</v>
      </c>
      <c r="F1001" s="31">
        <v>0</v>
      </c>
      <c r="G1001" s="31">
        <v>0</v>
      </c>
      <c r="H1001" s="31">
        <v>0</v>
      </c>
      <c r="I1001" s="31">
        <v>0</v>
      </c>
      <c r="J1001" s="31">
        <v>0</v>
      </c>
      <c r="K1001" s="33">
        <v>0</v>
      </c>
      <c r="L1001" s="31">
        <v>0</v>
      </c>
      <c r="M1001" s="31">
        <v>633.4</v>
      </c>
      <c r="N1001" s="31">
        <f>3034817.73+218085.27+79447+33146.47</f>
        <v>3365496.47</v>
      </c>
      <c r="O1001" s="31">
        <v>0</v>
      </c>
      <c r="P1001" s="31">
        <v>0</v>
      </c>
      <c r="Q1001" s="31">
        <v>0</v>
      </c>
      <c r="R1001" s="31">
        <v>0</v>
      </c>
      <c r="S1001" s="31">
        <v>0</v>
      </c>
      <c r="T1001" s="31">
        <v>0</v>
      </c>
      <c r="U1001" s="31">
        <v>0</v>
      </c>
      <c r="V1001" s="31">
        <v>0</v>
      </c>
      <c r="W1001" s="31">
        <v>0</v>
      </c>
      <c r="X1001" s="31">
        <v>0</v>
      </c>
      <c r="Y1001" s="31">
        <v>0</v>
      </c>
      <c r="Z1001" s="31">
        <v>0</v>
      </c>
      <c r="AA1001" s="31">
        <v>0</v>
      </c>
      <c r="AB1001" s="31">
        <v>0</v>
      </c>
      <c r="AC1001" s="31">
        <f>ROUND(N1001*1.5%,2)</f>
        <v>50482.45</v>
      </c>
      <c r="AD1001" s="31">
        <v>0</v>
      </c>
      <c r="AE1001" s="31">
        <v>0</v>
      </c>
      <c r="AF1001" s="34" t="s">
        <v>270</v>
      </c>
      <c r="AG1001" s="34">
        <v>2021</v>
      </c>
      <c r="AH1001" s="35">
        <v>2021</v>
      </c>
      <c r="AT1001" s="20" t="e">
        <f t="shared" si="305"/>
        <v>#N/A</v>
      </c>
      <c r="BZ1001" s="71"/>
      <c r="CD1001" s="20" t="e">
        <f>VLOOKUP(C1001,CE:CF,2,FALSE)</f>
        <v>#N/A</v>
      </c>
    </row>
    <row r="1002" spans="1:82" ht="61.5" x14ac:dyDescent="0.85">
      <c r="B1002" s="24" t="s">
        <v>870</v>
      </c>
      <c r="C1002" s="24"/>
      <c r="D1002" s="195">
        <f>D1003</f>
        <v>236034.47</v>
      </c>
      <c r="E1002" s="31">
        <f t="shared" si="304"/>
        <v>0</v>
      </c>
      <c r="F1002" s="31">
        <f t="shared" si="304"/>
        <v>0</v>
      </c>
      <c r="G1002" s="31">
        <f t="shared" si="304"/>
        <v>0</v>
      </c>
      <c r="H1002" s="31">
        <f t="shared" si="304"/>
        <v>178359.08</v>
      </c>
      <c r="I1002" s="31">
        <f t="shared" si="304"/>
        <v>0</v>
      </c>
      <c r="J1002" s="31">
        <f t="shared" si="304"/>
        <v>0</v>
      </c>
      <c r="K1002" s="33">
        <f t="shared" si="304"/>
        <v>0</v>
      </c>
      <c r="L1002" s="31">
        <f t="shared" si="304"/>
        <v>0</v>
      </c>
      <c r="M1002" s="31">
        <f t="shared" si="304"/>
        <v>0</v>
      </c>
      <c r="N1002" s="31">
        <f t="shared" si="304"/>
        <v>0</v>
      </c>
      <c r="O1002" s="31">
        <f t="shared" si="304"/>
        <v>0</v>
      </c>
      <c r="P1002" s="31">
        <f t="shared" si="304"/>
        <v>0</v>
      </c>
      <c r="Q1002" s="31">
        <f t="shared" si="304"/>
        <v>0</v>
      </c>
      <c r="R1002" s="31">
        <f t="shared" si="304"/>
        <v>0</v>
      </c>
      <c r="S1002" s="31">
        <f t="shared" si="304"/>
        <v>0</v>
      </c>
      <c r="T1002" s="31">
        <f t="shared" si="304"/>
        <v>0</v>
      </c>
      <c r="U1002" s="31">
        <f t="shared" si="304"/>
        <v>0</v>
      </c>
      <c r="V1002" s="31">
        <f t="shared" si="304"/>
        <v>0</v>
      </c>
      <c r="W1002" s="31">
        <f t="shared" si="304"/>
        <v>0</v>
      </c>
      <c r="X1002" s="31">
        <f t="shared" si="304"/>
        <v>0</v>
      </c>
      <c r="Y1002" s="31">
        <f t="shared" si="304"/>
        <v>0</v>
      </c>
      <c r="Z1002" s="31">
        <f t="shared" si="304"/>
        <v>0</v>
      </c>
      <c r="AA1002" s="31">
        <f t="shared" si="304"/>
        <v>0</v>
      </c>
      <c r="AB1002" s="31">
        <f t="shared" si="304"/>
        <v>0</v>
      </c>
      <c r="AC1002" s="31">
        <f t="shared" si="304"/>
        <v>2675.39</v>
      </c>
      <c r="AD1002" s="31">
        <f t="shared" si="304"/>
        <v>55000</v>
      </c>
      <c r="AE1002" s="31">
        <f t="shared" si="304"/>
        <v>0</v>
      </c>
      <c r="AF1002" s="72" t="s">
        <v>757</v>
      </c>
      <c r="AG1002" s="72" t="s">
        <v>757</v>
      </c>
      <c r="AH1002" s="87" t="s">
        <v>757</v>
      </c>
      <c r="AT1002" s="20" t="e">
        <f t="shared" si="305"/>
        <v>#N/A</v>
      </c>
      <c r="BZ1002" s="71">
        <v>3230340</v>
      </c>
      <c r="CD1002" s="20" t="e">
        <f>VLOOKUP(C1002,CE:CF,2,FALSE)</f>
        <v>#N/A</v>
      </c>
    </row>
    <row r="1003" spans="1:82" ht="61.5" x14ac:dyDescent="0.85">
      <c r="A1003" s="20">
        <v>1</v>
      </c>
      <c r="B1003" s="66">
        <f>SUBTOTAL(103,$A$558:A1003)</f>
        <v>382</v>
      </c>
      <c r="C1003" s="24" t="s">
        <v>224</v>
      </c>
      <c r="D1003" s="31">
        <f>E1003+F1003+G1003+H1003+I1003+J1003+L1003+N1003+P1003+R1003+T1003+U1003+V1003+W1003+X1003+Y1003+Z1003+AA1003+AB1003+AC1003+AD1003+AE1003</f>
        <v>236034.47</v>
      </c>
      <c r="E1003" s="31">
        <v>0</v>
      </c>
      <c r="F1003" s="31">
        <v>0</v>
      </c>
      <c r="G1003" s="31">
        <v>0</v>
      </c>
      <c r="H1003" s="31">
        <v>178359.08</v>
      </c>
      <c r="I1003" s="31">
        <v>0</v>
      </c>
      <c r="J1003" s="31">
        <v>0</v>
      </c>
      <c r="K1003" s="74">
        <v>0</v>
      </c>
      <c r="L1003" s="31">
        <v>0</v>
      </c>
      <c r="M1003" s="31">
        <v>0</v>
      </c>
      <c r="N1003" s="31">
        <v>0</v>
      </c>
      <c r="O1003" s="31">
        <v>0</v>
      </c>
      <c r="P1003" s="31">
        <v>0</v>
      </c>
      <c r="Q1003" s="31">
        <v>0</v>
      </c>
      <c r="R1003" s="31">
        <v>0</v>
      </c>
      <c r="S1003" s="31">
        <v>0</v>
      </c>
      <c r="T1003" s="31">
        <v>0</v>
      </c>
      <c r="U1003" s="31">
        <v>0</v>
      </c>
      <c r="V1003" s="31">
        <v>0</v>
      </c>
      <c r="W1003" s="31">
        <v>0</v>
      </c>
      <c r="X1003" s="31">
        <v>0</v>
      </c>
      <c r="Y1003" s="31">
        <v>0</v>
      </c>
      <c r="Z1003" s="31">
        <v>0</v>
      </c>
      <c r="AA1003" s="31">
        <v>0</v>
      </c>
      <c r="AB1003" s="31">
        <v>0</v>
      </c>
      <c r="AC1003" s="31">
        <f>ROUND((E1003+F1003+G1003+H1003+I1003+J1003)*1.5%,2)</f>
        <v>2675.39</v>
      </c>
      <c r="AD1003" s="31">
        <v>55000</v>
      </c>
      <c r="AE1003" s="31">
        <v>0</v>
      </c>
      <c r="AF1003" s="34">
        <v>2021</v>
      </c>
      <c r="AG1003" s="34">
        <v>2021</v>
      </c>
      <c r="AH1003" s="35">
        <v>2021</v>
      </c>
      <c r="AT1003" s="20" t="e">
        <f t="shared" si="305"/>
        <v>#N/A</v>
      </c>
      <c r="BZ1003" s="71"/>
      <c r="CD1003" s="20" t="e">
        <f>VLOOKUP(C1003,CE:CF,2,FALSE)</f>
        <v>#N/A</v>
      </c>
    </row>
    <row r="1004" spans="1:82" ht="61.5" x14ac:dyDescent="0.85">
      <c r="B1004" s="24" t="s">
        <v>761</v>
      </c>
      <c r="C1004" s="105"/>
      <c r="D1004" s="195">
        <f t="shared" ref="D1004:AE1004" si="306">D1005+D1068+D1083+D1110+D1122+D1125+D1134+D1137+D1141+D1144+D1146+D1148+D1151+D1153+D1155+D1162+D1166+D1168+D1170+D1172+D1175+D1178+D1180+D1182+D1184+D1191+D1194+D1198+D1201+D1203+D1207+D1209+D1211+D1213+D1215+D1217+D1219+D1223+D1225+D1227+D1229+D1233+D1235+D1237+D1239+D1242+D1246+D1250+D1254+D1257+D1259+D1261+D1264+D1268+D1270+D1272+D1274+D1278</f>
        <v>814479561.79999995</v>
      </c>
      <c r="E1004" s="31">
        <f t="shared" si="306"/>
        <v>1015422.23</v>
      </c>
      <c r="F1004" s="31">
        <f t="shared" si="306"/>
        <v>2755384.36</v>
      </c>
      <c r="G1004" s="31">
        <f t="shared" si="306"/>
        <v>10264339.09</v>
      </c>
      <c r="H1004" s="31">
        <f t="shared" si="306"/>
        <v>2723250.25</v>
      </c>
      <c r="I1004" s="31">
        <f t="shared" si="306"/>
        <v>4417203.72</v>
      </c>
      <c r="J1004" s="31">
        <f t="shared" si="306"/>
        <v>0</v>
      </c>
      <c r="K1004" s="33">
        <f t="shared" si="306"/>
        <v>16</v>
      </c>
      <c r="L1004" s="31">
        <f t="shared" si="306"/>
        <v>34130593.200000003</v>
      </c>
      <c r="M1004" s="31">
        <f t="shared" si="306"/>
        <v>133198.45000000001</v>
      </c>
      <c r="N1004" s="31">
        <f t="shared" si="306"/>
        <v>620159070.55000007</v>
      </c>
      <c r="O1004" s="31">
        <f t="shared" si="306"/>
        <v>146</v>
      </c>
      <c r="P1004" s="31">
        <f t="shared" si="306"/>
        <v>565939.61</v>
      </c>
      <c r="Q1004" s="31">
        <f t="shared" si="306"/>
        <v>25909.71</v>
      </c>
      <c r="R1004" s="31">
        <f t="shared" si="306"/>
        <v>80689605.590000004</v>
      </c>
      <c r="S1004" s="31">
        <f t="shared" si="306"/>
        <v>395.77</v>
      </c>
      <c r="T1004" s="31">
        <f t="shared" si="306"/>
        <v>10221223.84</v>
      </c>
      <c r="U1004" s="31">
        <f t="shared" si="306"/>
        <v>7702861.6199999992</v>
      </c>
      <c r="V1004" s="31">
        <f t="shared" si="306"/>
        <v>0</v>
      </c>
      <c r="W1004" s="31">
        <f t="shared" si="306"/>
        <v>0</v>
      </c>
      <c r="X1004" s="31">
        <f t="shared" si="306"/>
        <v>0</v>
      </c>
      <c r="Y1004" s="31">
        <f t="shared" si="306"/>
        <v>0</v>
      </c>
      <c r="Z1004" s="31">
        <f t="shared" si="306"/>
        <v>0</v>
      </c>
      <c r="AA1004" s="31">
        <f t="shared" si="306"/>
        <v>0</v>
      </c>
      <c r="AB1004" s="31">
        <f t="shared" si="306"/>
        <v>0</v>
      </c>
      <c r="AC1004" s="31">
        <f t="shared" si="306"/>
        <v>11109320.870000001</v>
      </c>
      <c r="AD1004" s="31">
        <f t="shared" si="306"/>
        <v>28365346.870000001</v>
      </c>
      <c r="AE1004" s="31">
        <f t="shared" si="306"/>
        <v>360000</v>
      </c>
      <c r="AF1004" s="72" t="s">
        <v>757</v>
      </c>
      <c r="AG1004" s="72" t="s">
        <v>757</v>
      </c>
      <c r="AH1004" s="87" t="s">
        <v>757</v>
      </c>
      <c r="AT1004" s="20" t="e">
        <f t="shared" si="305"/>
        <v>#N/A</v>
      </c>
      <c r="BZ1004" s="71">
        <v>791169161.6500001</v>
      </c>
    </row>
    <row r="1005" spans="1:82" ht="61.5" x14ac:dyDescent="0.85">
      <c r="B1005" s="24" t="s">
        <v>1094</v>
      </c>
      <c r="C1005" s="108"/>
      <c r="D1005" s="195">
        <f t="shared" ref="D1005:AE1005" si="307">SUM(D1006:D1067)</f>
        <v>250058047.12</v>
      </c>
      <c r="E1005" s="31">
        <f t="shared" si="307"/>
        <v>0</v>
      </c>
      <c r="F1005" s="31">
        <f t="shared" si="307"/>
        <v>0</v>
      </c>
      <c r="G1005" s="31">
        <f t="shared" si="307"/>
        <v>0</v>
      </c>
      <c r="H1005" s="31">
        <f t="shared" si="307"/>
        <v>0</v>
      </c>
      <c r="I1005" s="31">
        <f t="shared" si="307"/>
        <v>0</v>
      </c>
      <c r="J1005" s="31">
        <f t="shared" si="307"/>
        <v>0</v>
      </c>
      <c r="K1005" s="33">
        <f t="shared" si="307"/>
        <v>5</v>
      </c>
      <c r="L1005" s="31">
        <f t="shared" si="307"/>
        <v>10649559.609999999</v>
      </c>
      <c r="M1005" s="31">
        <f t="shared" si="307"/>
        <v>43037.590000000004</v>
      </c>
      <c r="N1005" s="31">
        <f t="shared" si="307"/>
        <v>192707107.78999999</v>
      </c>
      <c r="O1005" s="31">
        <f t="shared" si="307"/>
        <v>0</v>
      </c>
      <c r="P1005" s="31">
        <f t="shared" si="307"/>
        <v>0</v>
      </c>
      <c r="Q1005" s="31">
        <f t="shared" si="307"/>
        <v>11932.55</v>
      </c>
      <c r="R1005" s="31">
        <f t="shared" si="307"/>
        <v>36998837.310000002</v>
      </c>
      <c r="S1005" s="31">
        <f t="shared" si="307"/>
        <v>0</v>
      </c>
      <c r="T1005" s="31">
        <f t="shared" si="307"/>
        <v>0</v>
      </c>
      <c r="U1005" s="31">
        <f t="shared" si="307"/>
        <v>0</v>
      </c>
      <c r="V1005" s="31">
        <f t="shared" si="307"/>
        <v>0</v>
      </c>
      <c r="W1005" s="31">
        <f t="shared" si="307"/>
        <v>0</v>
      </c>
      <c r="X1005" s="31">
        <f t="shared" si="307"/>
        <v>0</v>
      </c>
      <c r="Y1005" s="31">
        <f t="shared" si="307"/>
        <v>0</v>
      </c>
      <c r="Z1005" s="31">
        <f t="shared" si="307"/>
        <v>0</v>
      </c>
      <c r="AA1005" s="31">
        <f t="shared" si="307"/>
        <v>0</v>
      </c>
      <c r="AB1005" s="31">
        <f t="shared" si="307"/>
        <v>0</v>
      </c>
      <c r="AC1005" s="31">
        <f t="shared" si="307"/>
        <v>3447195.5400000005</v>
      </c>
      <c r="AD1005" s="31">
        <f t="shared" si="307"/>
        <v>6255346.8700000001</v>
      </c>
      <c r="AE1005" s="31">
        <f t="shared" si="307"/>
        <v>0</v>
      </c>
      <c r="AF1005" s="72" t="s">
        <v>757</v>
      </c>
      <c r="AG1005" s="72" t="s">
        <v>757</v>
      </c>
      <c r="AH1005" s="87" t="s">
        <v>757</v>
      </c>
      <c r="AT1005" s="20" t="e">
        <f t="shared" si="305"/>
        <v>#N/A</v>
      </c>
      <c r="BZ1005" s="71">
        <v>216853215.33000001</v>
      </c>
    </row>
    <row r="1006" spans="1:82" ht="61.5" x14ac:dyDescent="0.85">
      <c r="A1006" s="20">
        <v>1</v>
      </c>
      <c r="B1006" s="66">
        <f>SUBTOTAL(103,$A$1006:A1006)</f>
        <v>1</v>
      </c>
      <c r="C1006" s="24" t="s">
        <v>1072</v>
      </c>
      <c r="D1006" s="31">
        <f t="shared" ref="D1006:D1069" si="308">E1006+F1006+G1006+H1006+I1006+J1006+L1006+N1006+P1006+R1006+T1006+U1006+V1006+W1006+X1006+Y1006+Z1006+AA1006+AB1006+AC1006+AD1006+AE1006</f>
        <v>2200000</v>
      </c>
      <c r="E1006" s="31">
        <v>0</v>
      </c>
      <c r="F1006" s="31">
        <v>0</v>
      </c>
      <c r="G1006" s="31">
        <v>0</v>
      </c>
      <c r="H1006" s="31">
        <v>0</v>
      </c>
      <c r="I1006" s="31">
        <v>0</v>
      </c>
      <c r="J1006" s="31">
        <v>0</v>
      </c>
      <c r="K1006" s="33">
        <v>0</v>
      </c>
      <c r="L1006" s="31">
        <v>0</v>
      </c>
      <c r="M1006" s="31">
        <v>412</v>
      </c>
      <c r="N1006" s="31">
        <v>2068965.52</v>
      </c>
      <c r="O1006" s="31">
        <v>0</v>
      </c>
      <c r="P1006" s="31">
        <v>0</v>
      </c>
      <c r="Q1006" s="31">
        <v>0</v>
      </c>
      <c r="R1006" s="31">
        <v>0</v>
      </c>
      <c r="S1006" s="31">
        <v>0</v>
      </c>
      <c r="T1006" s="31">
        <v>0</v>
      </c>
      <c r="U1006" s="31">
        <v>0</v>
      </c>
      <c r="V1006" s="31">
        <v>0</v>
      </c>
      <c r="W1006" s="31">
        <v>0</v>
      </c>
      <c r="X1006" s="31">
        <v>0</v>
      </c>
      <c r="Y1006" s="31">
        <v>0</v>
      </c>
      <c r="Z1006" s="31">
        <v>0</v>
      </c>
      <c r="AA1006" s="31">
        <v>0</v>
      </c>
      <c r="AB1006" s="31">
        <v>0</v>
      </c>
      <c r="AC1006" s="31">
        <v>31034.48</v>
      </c>
      <c r="AD1006" s="31">
        <v>100000</v>
      </c>
      <c r="AE1006" s="31">
        <v>0</v>
      </c>
      <c r="AF1006" s="34">
        <v>2022</v>
      </c>
      <c r="AG1006" s="34">
        <v>2022</v>
      </c>
      <c r="AH1006" s="35">
        <v>2022</v>
      </c>
      <c r="AT1006" s="20" t="e">
        <f t="shared" si="305"/>
        <v>#N/A</v>
      </c>
      <c r="BZ1006" s="71"/>
    </row>
    <row r="1007" spans="1:82" ht="61.5" x14ac:dyDescent="0.85">
      <c r="A1007" s="20">
        <v>1</v>
      </c>
      <c r="B1007" s="66">
        <f>SUBTOTAL(103,$A$1006:A1007)</f>
        <v>2</v>
      </c>
      <c r="C1007" s="24" t="s">
        <v>572</v>
      </c>
      <c r="D1007" s="31">
        <f t="shared" si="308"/>
        <v>3283875.94</v>
      </c>
      <c r="E1007" s="31">
        <v>0</v>
      </c>
      <c r="F1007" s="31">
        <v>0</v>
      </c>
      <c r="G1007" s="31">
        <v>0</v>
      </c>
      <c r="H1007" s="31">
        <v>0</v>
      </c>
      <c r="I1007" s="31">
        <v>0</v>
      </c>
      <c r="J1007" s="31">
        <v>0</v>
      </c>
      <c r="K1007" s="33">
        <v>0</v>
      </c>
      <c r="L1007" s="31">
        <v>0</v>
      </c>
      <c r="M1007" s="31">
        <v>722</v>
      </c>
      <c r="N1007" s="31">
        <v>3136823.59</v>
      </c>
      <c r="O1007" s="31">
        <v>0</v>
      </c>
      <c r="P1007" s="31">
        <v>0</v>
      </c>
      <c r="Q1007" s="31">
        <v>0</v>
      </c>
      <c r="R1007" s="31">
        <v>0</v>
      </c>
      <c r="S1007" s="31">
        <v>0</v>
      </c>
      <c r="T1007" s="31">
        <v>0</v>
      </c>
      <c r="U1007" s="31">
        <v>0</v>
      </c>
      <c r="V1007" s="31">
        <v>0</v>
      </c>
      <c r="W1007" s="31">
        <v>0</v>
      </c>
      <c r="X1007" s="31">
        <v>0</v>
      </c>
      <c r="Y1007" s="31">
        <v>0</v>
      </c>
      <c r="Z1007" s="31">
        <v>0</v>
      </c>
      <c r="AA1007" s="31">
        <v>0</v>
      </c>
      <c r="AB1007" s="31">
        <v>0</v>
      </c>
      <c r="AC1007" s="31">
        <v>47052.35</v>
      </c>
      <c r="AD1007" s="31">
        <v>100000</v>
      </c>
      <c r="AE1007" s="31">
        <v>0</v>
      </c>
      <c r="AF1007" s="34">
        <v>2022</v>
      </c>
      <c r="AG1007" s="34">
        <v>2022</v>
      </c>
      <c r="AH1007" s="35">
        <v>2022</v>
      </c>
      <c r="AT1007" s="20" t="e">
        <f t="shared" si="305"/>
        <v>#N/A</v>
      </c>
      <c r="BZ1007" s="71"/>
    </row>
    <row r="1008" spans="1:82" ht="61.5" x14ac:dyDescent="0.85">
      <c r="A1008" s="20">
        <v>1</v>
      </c>
      <c r="B1008" s="66">
        <f>SUBTOTAL(103,$A$1006:A1008)</f>
        <v>3</v>
      </c>
      <c r="C1008" s="24" t="s">
        <v>573</v>
      </c>
      <c r="D1008" s="31">
        <f t="shared" si="308"/>
        <v>5491207.6599999992</v>
      </c>
      <c r="E1008" s="31">
        <v>0</v>
      </c>
      <c r="F1008" s="31">
        <v>0</v>
      </c>
      <c r="G1008" s="31">
        <v>0</v>
      </c>
      <c r="H1008" s="31">
        <v>0</v>
      </c>
      <c r="I1008" s="31">
        <v>0</v>
      </c>
      <c r="J1008" s="31">
        <v>0</v>
      </c>
      <c r="K1008" s="33">
        <v>0</v>
      </c>
      <c r="L1008" s="31">
        <v>0</v>
      </c>
      <c r="M1008" s="31">
        <v>1200</v>
      </c>
      <c r="N1008" s="31">
        <v>5311534.6399999997</v>
      </c>
      <c r="O1008" s="31">
        <v>0</v>
      </c>
      <c r="P1008" s="31">
        <v>0</v>
      </c>
      <c r="Q1008" s="31">
        <v>0</v>
      </c>
      <c r="R1008" s="31">
        <v>0</v>
      </c>
      <c r="S1008" s="31">
        <v>0</v>
      </c>
      <c r="T1008" s="31">
        <v>0</v>
      </c>
      <c r="U1008" s="31">
        <v>0</v>
      </c>
      <c r="V1008" s="31">
        <v>0</v>
      </c>
      <c r="W1008" s="31">
        <v>0</v>
      </c>
      <c r="X1008" s="31">
        <v>0</v>
      </c>
      <c r="Y1008" s="31">
        <v>0</v>
      </c>
      <c r="Z1008" s="31">
        <v>0</v>
      </c>
      <c r="AA1008" s="31">
        <v>0</v>
      </c>
      <c r="AB1008" s="31">
        <v>0</v>
      </c>
      <c r="AC1008" s="31">
        <v>79673.02</v>
      </c>
      <c r="AD1008" s="31">
        <v>100000</v>
      </c>
      <c r="AE1008" s="31">
        <v>0</v>
      </c>
      <c r="AF1008" s="34">
        <v>2022</v>
      </c>
      <c r="AG1008" s="34">
        <v>2022</v>
      </c>
      <c r="AH1008" s="35">
        <v>2022</v>
      </c>
      <c r="AT1008" s="20" t="e">
        <f t="shared" si="305"/>
        <v>#N/A</v>
      </c>
      <c r="BZ1008" s="71"/>
    </row>
    <row r="1009" spans="1:78" ht="61.5" x14ac:dyDescent="0.85">
      <c r="A1009" s="20">
        <v>1</v>
      </c>
      <c r="B1009" s="66">
        <f>SUBTOTAL(103,$A$1006:A1009)</f>
        <v>4</v>
      </c>
      <c r="C1009" s="24" t="s">
        <v>574</v>
      </c>
      <c r="D1009" s="31">
        <f t="shared" si="308"/>
        <v>1996320.0799999998</v>
      </c>
      <c r="E1009" s="31">
        <v>0</v>
      </c>
      <c r="F1009" s="31">
        <v>0</v>
      </c>
      <c r="G1009" s="31">
        <v>0</v>
      </c>
      <c r="H1009" s="31">
        <v>0</v>
      </c>
      <c r="I1009" s="31">
        <v>0</v>
      </c>
      <c r="J1009" s="31">
        <v>0</v>
      </c>
      <c r="K1009" s="33">
        <v>0</v>
      </c>
      <c r="L1009" s="31">
        <v>0</v>
      </c>
      <c r="M1009" s="31">
        <v>420</v>
      </c>
      <c r="N1009" s="31">
        <v>1868295.65</v>
      </c>
      <c r="O1009" s="31">
        <v>0</v>
      </c>
      <c r="P1009" s="31">
        <v>0</v>
      </c>
      <c r="Q1009" s="31">
        <v>0</v>
      </c>
      <c r="R1009" s="31">
        <v>0</v>
      </c>
      <c r="S1009" s="31">
        <v>0</v>
      </c>
      <c r="T1009" s="31">
        <v>0</v>
      </c>
      <c r="U1009" s="31">
        <v>0</v>
      </c>
      <c r="V1009" s="31">
        <v>0</v>
      </c>
      <c r="W1009" s="31">
        <v>0</v>
      </c>
      <c r="X1009" s="31">
        <v>0</v>
      </c>
      <c r="Y1009" s="31">
        <v>0</v>
      </c>
      <c r="Z1009" s="31">
        <v>0</v>
      </c>
      <c r="AA1009" s="31">
        <v>0</v>
      </c>
      <c r="AB1009" s="31">
        <v>0</v>
      </c>
      <c r="AC1009" s="31">
        <v>28024.43</v>
      </c>
      <c r="AD1009" s="31">
        <v>100000</v>
      </c>
      <c r="AE1009" s="31">
        <v>0</v>
      </c>
      <c r="AF1009" s="34">
        <v>2022</v>
      </c>
      <c r="AG1009" s="34">
        <v>2022</v>
      </c>
      <c r="AH1009" s="35">
        <v>2022</v>
      </c>
      <c r="AT1009" s="20" t="e">
        <f t="shared" si="305"/>
        <v>#N/A</v>
      </c>
      <c r="BZ1009" s="71"/>
    </row>
    <row r="1010" spans="1:78" ht="61.5" x14ac:dyDescent="0.85">
      <c r="A1010" s="20">
        <v>1</v>
      </c>
      <c r="B1010" s="66">
        <f>SUBTOTAL(103,$A$1006:A1010)</f>
        <v>5</v>
      </c>
      <c r="C1010" s="24" t="s">
        <v>575</v>
      </c>
      <c r="D1010" s="31">
        <f t="shared" si="308"/>
        <v>2818609.5</v>
      </c>
      <c r="E1010" s="31">
        <v>0</v>
      </c>
      <c r="F1010" s="31">
        <v>0</v>
      </c>
      <c r="G1010" s="31">
        <v>0</v>
      </c>
      <c r="H1010" s="31">
        <v>0</v>
      </c>
      <c r="I1010" s="31">
        <v>0</v>
      </c>
      <c r="J1010" s="31">
        <v>0</v>
      </c>
      <c r="K1010" s="33">
        <v>0</v>
      </c>
      <c r="L1010" s="31">
        <v>0</v>
      </c>
      <c r="M1010" s="31">
        <v>593</v>
      </c>
      <c r="N1010" s="31">
        <v>2678433</v>
      </c>
      <c r="O1010" s="31">
        <v>0</v>
      </c>
      <c r="P1010" s="31">
        <v>0</v>
      </c>
      <c r="Q1010" s="31">
        <v>0</v>
      </c>
      <c r="R1010" s="31">
        <v>0</v>
      </c>
      <c r="S1010" s="31">
        <v>0</v>
      </c>
      <c r="T1010" s="31">
        <v>0</v>
      </c>
      <c r="U1010" s="31">
        <v>0</v>
      </c>
      <c r="V1010" s="31">
        <v>0</v>
      </c>
      <c r="W1010" s="31">
        <v>0</v>
      </c>
      <c r="X1010" s="31">
        <v>0</v>
      </c>
      <c r="Y1010" s="31">
        <v>0</v>
      </c>
      <c r="Z1010" s="31">
        <v>0</v>
      </c>
      <c r="AA1010" s="31">
        <v>0</v>
      </c>
      <c r="AB1010" s="31">
        <v>0</v>
      </c>
      <c r="AC1010" s="31">
        <v>40176.5</v>
      </c>
      <c r="AD1010" s="31">
        <v>100000</v>
      </c>
      <c r="AE1010" s="31">
        <v>0</v>
      </c>
      <c r="AF1010" s="34">
        <v>2022</v>
      </c>
      <c r="AG1010" s="34">
        <v>2022</v>
      </c>
      <c r="AH1010" s="35">
        <v>2022</v>
      </c>
      <c r="AT1010" s="20" t="e">
        <f t="shared" si="305"/>
        <v>#N/A</v>
      </c>
      <c r="BZ1010" s="71"/>
    </row>
    <row r="1011" spans="1:78" ht="61.5" x14ac:dyDescent="0.85">
      <c r="A1011" s="20">
        <v>1</v>
      </c>
      <c r="B1011" s="66">
        <f>SUBTOTAL(103,$A$1006:A1011)</f>
        <v>6</v>
      </c>
      <c r="C1011" s="24" t="s">
        <v>1641</v>
      </c>
      <c r="D1011" s="31">
        <f t="shared" si="308"/>
        <v>2963862.9899999998</v>
      </c>
      <c r="E1011" s="31">
        <v>0</v>
      </c>
      <c r="F1011" s="31">
        <v>0</v>
      </c>
      <c r="G1011" s="31">
        <v>0</v>
      </c>
      <c r="H1011" s="31">
        <v>0</v>
      </c>
      <c r="I1011" s="31">
        <v>0</v>
      </c>
      <c r="J1011" s="31">
        <v>0</v>
      </c>
      <c r="K1011" s="33">
        <v>0</v>
      </c>
      <c r="L1011" s="31">
        <v>0</v>
      </c>
      <c r="M1011" s="31">
        <v>559</v>
      </c>
      <c r="N1011" s="31">
        <v>2821538</v>
      </c>
      <c r="O1011" s="31">
        <v>0</v>
      </c>
      <c r="P1011" s="31">
        <v>0</v>
      </c>
      <c r="Q1011" s="31">
        <v>0</v>
      </c>
      <c r="R1011" s="31">
        <v>0</v>
      </c>
      <c r="S1011" s="31">
        <v>0</v>
      </c>
      <c r="T1011" s="31">
        <v>0</v>
      </c>
      <c r="U1011" s="31">
        <v>0</v>
      </c>
      <c r="V1011" s="31">
        <v>0</v>
      </c>
      <c r="W1011" s="31">
        <v>0</v>
      </c>
      <c r="X1011" s="31">
        <v>0</v>
      </c>
      <c r="Y1011" s="31">
        <v>0</v>
      </c>
      <c r="Z1011" s="31">
        <v>0</v>
      </c>
      <c r="AA1011" s="31">
        <v>0</v>
      </c>
      <c r="AB1011" s="31">
        <v>0</v>
      </c>
      <c r="AC1011" s="31">
        <v>42323.07</v>
      </c>
      <c r="AD1011" s="31">
        <v>100001.92</v>
      </c>
      <c r="AE1011" s="31">
        <v>0</v>
      </c>
      <c r="AF1011" s="34">
        <v>2022</v>
      </c>
      <c r="AG1011" s="34">
        <v>2022</v>
      </c>
      <c r="AH1011" s="35">
        <v>2022</v>
      </c>
      <c r="BZ1011" s="71"/>
    </row>
    <row r="1012" spans="1:78" ht="61.5" x14ac:dyDescent="0.85">
      <c r="A1012" s="20">
        <v>1</v>
      </c>
      <c r="B1012" s="66">
        <f>SUBTOTAL(103,$A$1006:A1012)</f>
        <v>7</v>
      </c>
      <c r="C1012" s="24" t="s">
        <v>576</v>
      </c>
      <c r="D1012" s="31">
        <f t="shared" si="308"/>
        <v>3753990.26</v>
      </c>
      <c r="E1012" s="31">
        <v>0</v>
      </c>
      <c r="F1012" s="31">
        <v>0</v>
      </c>
      <c r="G1012" s="31">
        <v>0</v>
      </c>
      <c r="H1012" s="31">
        <v>0</v>
      </c>
      <c r="I1012" s="31">
        <v>0</v>
      </c>
      <c r="J1012" s="31">
        <v>0</v>
      </c>
      <c r="K1012" s="33">
        <v>0</v>
      </c>
      <c r="L1012" s="31">
        <v>0</v>
      </c>
      <c r="M1012" s="31">
        <v>794</v>
      </c>
      <c r="N1012" s="31">
        <v>3599990.4</v>
      </c>
      <c r="O1012" s="31">
        <v>0</v>
      </c>
      <c r="P1012" s="31">
        <v>0</v>
      </c>
      <c r="Q1012" s="31">
        <v>0</v>
      </c>
      <c r="R1012" s="31">
        <v>0</v>
      </c>
      <c r="S1012" s="31">
        <v>0</v>
      </c>
      <c r="T1012" s="31">
        <v>0</v>
      </c>
      <c r="U1012" s="31">
        <v>0</v>
      </c>
      <c r="V1012" s="31">
        <v>0</v>
      </c>
      <c r="W1012" s="31">
        <v>0</v>
      </c>
      <c r="X1012" s="31">
        <v>0</v>
      </c>
      <c r="Y1012" s="31">
        <v>0</v>
      </c>
      <c r="Z1012" s="31">
        <v>0</v>
      </c>
      <c r="AA1012" s="31">
        <v>0</v>
      </c>
      <c r="AB1012" s="31">
        <v>0</v>
      </c>
      <c r="AC1012" s="31">
        <v>53999.86</v>
      </c>
      <c r="AD1012" s="31">
        <v>100000</v>
      </c>
      <c r="AE1012" s="31">
        <v>0</v>
      </c>
      <c r="AF1012" s="34">
        <v>2022</v>
      </c>
      <c r="AG1012" s="34">
        <v>2022</v>
      </c>
      <c r="AH1012" s="35">
        <v>2022</v>
      </c>
      <c r="AT1012" s="20" t="e">
        <f>VLOOKUP(C1012,AW:AX,2,FALSE)</f>
        <v>#N/A</v>
      </c>
      <c r="BZ1012" s="71"/>
    </row>
    <row r="1013" spans="1:78" ht="61.5" x14ac:dyDescent="0.85">
      <c r="A1013" s="20">
        <v>1</v>
      </c>
      <c r="B1013" s="66">
        <f>SUBTOTAL(103,$A$1006:A1013)</f>
        <v>8</v>
      </c>
      <c r="C1013" s="24" t="s">
        <v>1642</v>
      </c>
      <c r="D1013" s="31">
        <f t="shared" si="308"/>
        <v>5682500</v>
      </c>
      <c r="E1013" s="31">
        <v>0</v>
      </c>
      <c r="F1013" s="31">
        <v>0</v>
      </c>
      <c r="G1013" s="31">
        <v>0</v>
      </c>
      <c r="H1013" s="31">
        <v>0</v>
      </c>
      <c r="I1013" s="31">
        <v>0</v>
      </c>
      <c r="J1013" s="31">
        <v>0</v>
      </c>
      <c r="K1013" s="33">
        <v>0</v>
      </c>
      <c r="L1013" s="31">
        <v>0</v>
      </c>
      <c r="M1013" s="31">
        <v>1338</v>
      </c>
      <c r="N1013" s="31">
        <v>5500000</v>
      </c>
      <c r="O1013" s="31">
        <v>0</v>
      </c>
      <c r="P1013" s="31">
        <v>0</v>
      </c>
      <c r="Q1013" s="31">
        <v>0</v>
      </c>
      <c r="R1013" s="31">
        <v>0</v>
      </c>
      <c r="S1013" s="31">
        <v>0</v>
      </c>
      <c r="T1013" s="31">
        <v>0</v>
      </c>
      <c r="U1013" s="31">
        <v>0</v>
      </c>
      <c r="V1013" s="31">
        <v>0</v>
      </c>
      <c r="W1013" s="31">
        <v>0</v>
      </c>
      <c r="X1013" s="31">
        <v>0</v>
      </c>
      <c r="Y1013" s="31">
        <v>0</v>
      </c>
      <c r="Z1013" s="31">
        <v>0</v>
      </c>
      <c r="AA1013" s="31">
        <v>0</v>
      </c>
      <c r="AB1013" s="31">
        <v>0</v>
      </c>
      <c r="AC1013" s="31">
        <v>82500</v>
      </c>
      <c r="AD1013" s="31">
        <v>100000</v>
      </c>
      <c r="AE1013" s="31">
        <v>0</v>
      </c>
      <c r="AF1013" s="34">
        <v>2022</v>
      </c>
      <c r="AG1013" s="34">
        <v>2022</v>
      </c>
      <c r="AH1013" s="35">
        <v>2022</v>
      </c>
      <c r="BZ1013" s="71"/>
    </row>
    <row r="1014" spans="1:78" ht="61.5" x14ac:dyDescent="0.85">
      <c r="A1014" s="20">
        <v>1</v>
      </c>
      <c r="B1014" s="66">
        <f>SUBTOTAL(103,$A$1006:A1014)</f>
        <v>9</v>
      </c>
      <c r="C1014" s="24" t="s">
        <v>577</v>
      </c>
      <c r="D1014" s="31">
        <f t="shared" si="308"/>
        <v>3593332.35</v>
      </c>
      <c r="E1014" s="31">
        <v>0</v>
      </c>
      <c r="F1014" s="31">
        <v>0</v>
      </c>
      <c r="G1014" s="31">
        <v>0</v>
      </c>
      <c r="H1014" s="31">
        <v>0</v>
      </c>
      <c r="I1014" s="31">
        <v>0</v>
      </c>
      <c r="J1014" s="31">
        <v>0</v>
      </c>
      <c r="K1014" s="33">
        <v>0</v>
      </c>
      <c r="L1014" s="31">
        <v>0</v>
      </c>
      <c r="M1014" s="31">
        <v>760.2</v>
      </c>
      <c r="N1014" s="31">
        <v>3441706.75</v>
      </c>
      <c r="O1014" s="31">
        <v>0</v>
      </c>
      <c r="P1014" s="31">
        <v>0</v>
      </c>
      <c r="Q1014" s="31">
        <v>0</v>
      </c>
      <c r="R1014" s="31">
        <v>0</v>
      </c>
      <c r="S1014" s="31">
        <v>0</v>
      </c>
      <c r="T1014" s="31">
        <v>0</v>
      </c>
      <c r="U1014" s="31">
        <v>0</v>
      </c>
      <c r="V1014" s="31">
        <v>0</v>
      </c>
      <c r="W1014" s="31">
        <v>0</v>
      </c>
      <c r="X1014" s="31">
        <v>0</v>
      </c>
      <c r="Y1014" s="31">
        <v>0</v>
      </c>
      <c r="Z1014" s="31">
        <v>0</v>
      </c>
      <c r="AA1014" s="31">
        <v>0</v>
      </c>
      <c r="AB1014" s="31">
        <v>0</v>
      </c>
      <c r="AC1014" s="31">
        <v>51625.599999999999</v>
      </c>
      <c r="AD1014" s="31">
        <v>100000</v>
      </c>
      <c r="AE1014" s="31">
        <v>0</v>
      </c>
      <c r="AF1014" s="34">
        <v>2022</v>
      </c>
      <c r="AG1014" s="34">
        <v>2022</v>
      </c>
      <c r="AH1014" s="35">
        <v>2022</v>
      </c>
      <c r="AT1014" s="20" t="e">
        <f>VLOOKUP(C1014,AW:AX,2,FALSE)</f>
        <v>#N/A</v>
      </c>
      <c r="BZ1014" s="71"/>
    </row>
    <row r="1015" spans="1:78" ht="61.5" x14ac:dyDescent="0.85">
      <c r="A1015" s="20">
        <v>1</v>
      </c>
      <c r="B1015" s="66">
        <f>SUBTOTAL(103,$A$1006:A1015)</f>
        <v>10</v>
      </c>
      <c r="C1015" s="24" t="s">
        <v>578</v>
      </c>
      <c r="D1015" s="31">
        <f t="shared" si="308"/>
        <v>5851539.1200000001</v>
      </c>
      <c r="E1015" s="31">
        <v>0</v>
      </c>
      <c r="F1015" s="31">
        <v>0</v>
      </c>
      <c r="G1015" s="31">
        <v>0</v>
      </c>
      <c r="H1015" s="31">
        <v>0</v>
      </c>
      <c r="I1015" s="31">
        <v>0</v>
      </c>
      <c r="J1015" s="31">
        <v>0</v>
      </c>
      <c r="K1015" s="33">
        <v>0</v>
      </c>
      <c r="L1015" s="31">
        <v>0</v>
      </c>
      <c r="M1015" s="31">
        <v>1260.4000000000001</v>
      </c>
      <c r="N1015" s="31">
        <v>5666541</v>
      </c>
      <c r="O1015" s="31">
        <v>0</v>
      </c>
      <c r="P1015" s="31">
        <v>0</v>
      </c>
      <c r="Q1015" s="31">
        <v>0</v>
      </c>
      <c r="R1015" s="31">
        <v>0</v>
      </c>
      <c r="S1015" s="31">
        <v>0</v>
      </c>
      <c r="T1015" s="31">
        <v>0</v>
      </c>
      <c r="U1015" s="31">
        <v>0</v>
      </c>
      <c r="V1015" s="31">
        <v>0</v>
      </c>
      <c r="W1015" s="31">
        <v>0</v>
      </c>
      <c r="X1015" s="31">
        <v>0</v>
      </c>
      <c r="Y1015" s="31">
        <v>0</v>
      </c>
      <c r="Z1015" s="31">
        <v>0</v>
      </c>
      <c r="AA1015" s="31">
        <v>0</v>
      </c>
      <c r="AB1015" s="31">
        <v>0</v>
      </c>
      <c r="AC1015" s="31">
        <v>84998.12</v>
      </c>
      <c r="AD1015" s="31">
        <v>100000</v>
      </c>
      <c r="AE1015" s="31">
        <v>0</v>
      </c>
      <c r="AF1015" s="34">
        <v>2022</v>
      </c>
      <c r="AG1015" s="34">
        <v>2022</v>
      </c>
      <c r="AH1015" s="35">
        <v>2022</v>
      </c>
      <c r="AT1015" s="20" t="e">
        <f>VLOOKUP(C1015,AW:AX,2,FALSE)</f>
        <v>#N/A</v>
      </c>
      <c r="BZ1015" s="71"/>
    </row>
    <row r="1016" spans="1:78" ht="61.5" x14ac:dyDescent="0.85">
      <c r="A1016" s="20">
        <v>1</v>
      </c>
      <c r="B1016" s="66">
        <f>SUBTOTAL(103,$A$1006:A1016)</f>
        <v>11</v>
      </c>
      <c r="C1016" s="24" t="s">
        <v>579</v>
      </c>
      <c r="D1016" s="31">
        <f t="shared" si="308"/>
        <v>5450859.3200000003</v>
      </c>
      <c r="E1016" s="31">
        <v>0</v>
      </c>
      <c r="F1016" s="31">
        <v>0</v>
      </c>
      <c r="G1016" s="31">
        <v>0</v>
      </c>
      <c r="H1016" s="31">
        <v>0</v>
      </c>
      <c r="I1016" s="31">
        <v>0</v>
      </c>
      <c r="J1016" s="31">
        <v>0</v>
      </c>
      <c r="K1016" s="33">
        <v>0</v>
      </c>
      <c r="L1016" s="31">
        <v>0</v>
      </c>
      <c r="M1016" s="31">
        <v>1151</v>
      </c>
      <c r="N1016" s="31">
        <v>5271782.58</v>
      </c>
      <c r="O1016" s="31">
        <v>0</v>
      </c>
      <c r="P1016" s="31">
        <v>0</v>
      </c>
      <c r="Q1016" s="31">
        <v>0</v>
      </c>
      <c r="R1016" s="31">
        <v>0</v>
      </c>
      <c r="S1016" s="31">
        <v>0</v>
      </c>
      <c r="T1016" s="31">
        <v>0</v>
      </c>
      <c r="U1016" s="31">
        <v>0</v>
      </c>
      <c r="V1016" s="31">
        <v>0</v>
      </c>
      <c r="W1016" s="31">
        <v>0</v>
      </c>
      <c r="X1016" s="31">
        <v>0</v>
      </c>
      <c r="Y1016" s="31">
        <v>0</v>
      </c>
      <c r="Z1016" s="31">
        <v>0</v>
      </c>
      <c r="AA1016" s="31">
        <v>0</v>
      </c>
      <c r="AB1016" s="31">
        <v>0</v>
      </c>
      <c r="AC1016" s="31">
        <v>79076.740000000005</v>
      </c>
      <c r="AD1016" s="31">
        <v>100000</v>
      </c>
      <c r="AE1016" s="31">
        <v>0</v>
      </c>
      <c r="AF1016" s="34">
        <v>2022</v>
      </c>
      <c r="AG1016" s="34">
        <v>2022</v>
      </c>
      <c r="AH1016" s="35">
        <v>2022</v>
      </c>
      <c r="AT1016" s="20" t="e">
        <f>VLOOKUP(C1016,AW:AX,2,FALSE)</f>
        <v>#N/A</v>
      </c>
      <c r="BZ1016" s="71"/>
    </row>
    <row r="1017" spans="1:78" ht="61.5" x14ac:dyDescent="0.85">
      <c r="A1017" s="20">
        <v>1</v>
      </c>
      <c r="B1017" s="66">
        <f>SUBTOTAL(103,$A$1006:A1017)</f>
        <v>12</v>
      </c>
      <c r="C1017" s="24" t="s">
        <v>580</v>
      </c>
      <c r="D1017" s="31">
        <f t="shared" si="308"/>
        <v>2859341.54</v>
      </c>
      <c r="E1017" s="31">
        <v>0</v>
      </c>
      <c r="F1017" s="31">
        <v>0</v>
      </c>
      <c r="G1017" s="31">
        <v>0</v>
      </c>
      <c r="H1017" s="31">
        <v>0</v>
      </c>
      <c r="I1017" s="31">
        <v>0</v>
      </c>
      <c r="J1017" s="31">
        <v>0</v>
      </c>
      <c r="K1017" s="33">
        <v>0</v>
      </c>
      <c r="L1017" s="31">
        <v>0</v>
      </c>
      <c r="M1017" s="31">
        <v>464.7</v>
      </c>
      <c r="N1017" s="31">
        <v>2718415.31</v>
      </c>
      <c r="O1017" s="31">
        <v>0</v>
      </c>
      <c r="P1017" s="31">
        <v>0</v>
      </c>
      <c r="Q1017" s="31">
        <v>0</v>
      </c>
      <c r="R1017" s="31">
        <v>0</v>
      </c>
      <c r="S1017" s="31">
        <v>0</v>
      </c>
      <c r="T1017" s="31">
        <v>0</v>
      </c>
      <c r="U1017" s="31">
        <v>0</v>
      </c>
      <c r="V1017" s="31">
        <v>0</v>
      </c>
      <c r="W1017" s="31">
        <v>0</v>
      </c>
      <c r="X1017" s="31">
        <v>0</v>
      </c>
      <c r="Y1017" s="31">
        <v>0</v>
      </c>
      <c r="Z1017" s="31">
        <v>0</v>
      </c>
      <c r="AA1017" s="31">
        <v>0</v>
      </c>
      <c r="AB1017" s="31">
        <v>0</v>
      </c>
      <c r="AC1017" s="31">
        <v>40926.230000000003</v>
      </c>
      <c r="AD1017" s="31">
        <v>100000</v>
      </c>
      <c r="AE1017" s="31">
        <v>0</v>
      </c>
      <c r="AF1017" s="34">
        <v>2022</v>
      </c>
      <c r="AG1017" s="34">
        <v>2022</v>
      </c>
      <c r="AH1017" s="35">
        <v>2022</v>
      </c>
      <c r="AT1017" s="20" t="e">
        <f>VLOOKUP(C1017,AW:AX,2,FALSE)</f>
        <v>#N/A</v>
      </c>
      <c r="BZ1017" s="71"/>
    </row>
    <row r="1018" spans="1:78" ht="61.5" x14ac:dyDescent="0.85">
      <c r="A1018" s="20">
        <v>1</v>
      </c>
      <c r="B1018" s="66">
        <f>SUBTOTAL(103,$A$1006:A1018)</f>
        <v>13</v>
      </c>
      <c r="C1018" s="24" t="s">
        <v>581</v>
      </c>
      <c r="D1018" s="31">
        <f t="shared" si="308"/>
        <v>2859341.54</v>
      </c>
      <c r="E1018" s="31">
        <v>0</v>
      </c>
      <c r="F1018" s="31">
        <v>0</v>
      </c>
      <c r="G1018" s="31">
        <v>0</v>
      </c>
      <c r="H1018" s="31">
        <v>0</v>
      </c>
      <c r="I1018" s="31">
        <v>0</v>
      </c>
      <c r="J1018" s="31">
        <v>0</v>
      </c>
      <c r="K1018" s="33">
        <v>0</v>
      </c>
      <c r="L1018" s="31">
        <v>0</v>
      </c>
      <c r="M1018" s="31">
        <v>464.68</v>
      </c>
      <c r="N1018" s="31">
        <v>2718415.31</v>
      </c>
      <c r="O1018" s="31">
        <v>0</v>
      </c>
      <c r="P1018" s="31">
        <v>0</v>
      </c>
      <c r="Q1018" s="31">
        <v>0</v>
      </c>
      <c r="R1018" s="31">
        <v>0</v>
      </c>
      <c r="S1018" s="31">
        <v>0</v>
      </c>
      <c r="T1018" s="31">
        <v>0</v>
      </c>
      <c r="U1018" s="31">
        <v>0</v>
      </c>
      <c r="V1018" s="31">
        <v>0</v>
      </c>
      <c r="W1018" s="31">
        <v>0</v>
      </c>
      <c r="X1018" s="31">
        <v>0</v>
      </c>
      <c r="Y1018" s="31">
        <v>0</v>
      </c>
      <c r="Z1018" s="31">
        <v>0</v>
      </c>
      <c r="AA1018" s="31">
        <v>0</v>
      </c>
      <c r="AB1018" s="31">
        <v>0</v>
      </c>
      <c r="AC1018" s="31">
        <v>40926.230000000003</v>
      </c>
      <c r="AD1018" s="31">
        <v>100000</v>
      </c>
      <c r="AE1018" s="31">
        <v>0</v>
      </c>
      <c r="AF1018" s="34">
        <v>2022</v>
      </c>
      <c r="AG1018" s="34">
        <v>2022</v>
      </c>
      <c r="AH1018" s="35">
        <v>2022</v>
      </c>
      <c r="AT1018" s="20" t="e">
        <f>VLOOKUP(C1018,AW:AX,2,FALSE)</f>
        <v>#N/A</v>
      </c>
      <c r="BZ1018" s="71"/>
    </row>
    <row r="1019" spans="1:78" ht="61.5" x14ac:dyDescent="0.85">
      <c r="A1019" s="20">
        <v>1</v>
      </c>
      <c r="B1019" s="66">
        <f>SUBTOTAL(103,$A$1006:A1019)</f>
        <v>14</v>
      </c>
      <c r="C1019" s="24" t="s">
        <v>1643</v>
      </c>
      <c r="D1019" s="31">
        <f t="shared" si="308"/>
        <v>4261500</v>
      </c>
      <c r="E1019" s="31">
        <v>0</v>
      </c>
      <c r="F1019" s="31">
        <v>0</v>
      </c>
      <c r="G1019" s="31">
        <v>0</v>
      </c>
      <c r="H1019" s="31">
        <v>0</v>
      </c>
      <c r="I1019" s="31">
        <v>0</v>
      </c>
      <c r="J1019" s="31">
        <v>0</v>
      </c>
      <c r="K1019" s="33">
        <v>0</v>
      </c>
      <c r="L1019" s="31">
        <v>0</v>
      </c>
      <c r="M1019" s="31">
        <v>828</v>
      </c>
      <c r="N1019" s="31">
        <v>4100000</v>
      </c>
      <c r="O1019" s="31">
        <v>0</v>
      </c>
      <c r="P1019" s="31">
        <v>0</v>
      </c>
      <c r="Q1019" s="31">
        <v>0</v>
      </c>
      <c r="R1019" s="31">
        <v>0</v>
      </c>
      <c r="S1019" s="31">
        <v>0</v>
      </c>
      <c r="T1019" s="31">
        <v>0</v>
      </c>
      <c r="U1019" s="31">
        <v>0</v>
      </c>
      <c r="V1019" s="31">
        <v>0</v>
      </c>
      <c r="W1019" s="31">
        <v>0</v>
      </c>
      <c r="X1019" s="31">
        <v>0</v>
      </c>
      <c r="Y1019" s="31">
        <v>0</v>
      </c>
      <c r="Z1019" s="31">
        <v>0</v>
      </c>
      <c r="AA1019" s="31">
        <v>0</v>
      </c>
      <c r="AB1019" s="31">
        <v>0</v>
      </c>
      <c r="AC1019" s="31">
        <v>61500</v>
      </c>
      <c r="AD1019" s="31">
        <v>100000</v>
      </c>
      <c r="AE1019" s="31">
        <v>0</v>
      </c>
      <c r="AF1019" s="34">
        <v>2022</v>
      </c>
      <c r="AG1019" s="34">
        <v>2022</v>
      </c>
      <c r="AH1019" s="35">
        <v>2022</v>
      </c>
      <c r="BZ1019" s="71"/>
    </row>
    <row r="1020" spans="1:78" ht="61.5" x14ac:dyDescent="0.85">
      <c r="A1020" s="20">
        <v>1</v>
      </c>
      <c r="B1020" s="66">
        <f>SUBTOTAL(103,$A$1006:A1020)</f>
        <v>15</v>
      </c>
      <c r="C1020" s="24" t="s">
        <v>583</v>
      </c>
      <c r="D1020" s="31">
        <f t="shared" si="308"/>
        <v>3614995.2</v>
      </c>
      <c r="E1020" s="31">
        <v>0</v>
      </c>
      <c r="F1020" s="31">
        <v>0</v>
      </c>
      <c r="G1020" s="31">
        <v>0</v>
      </c>
      <c r="H1020" s="31">
        <v>0</v>
      </c>
      <c r="I1020" s="31">
        <v>0</v>
      </c>
      <c r="J1020" s="31">
        <v>0</v>
      </c>
      <c r="K1020" s="33">
        <v>0</v>
      </c>
      <c r="L1020" s="31">
        <v>0</v>
      </c>
      <c r="M1020" s="31">
        <v>775</v>
      </c>
      <c r="N1020" s="31">
        <v>3463049.46</v>
      </c>
      <c r="O1020" s="31">
        <v>0</v>
      </c>
      <c r="P1020" s="31">
        <v>0</v>
      </c>
      <c r="Q1020" s="31">
        <v>0</v>
      </c>
      <c r="R1020" s="31">
        <v>0</v>
      </c>
      <c r="S1020" s="31">
        <v>0</v>
      </c>
      <c r="T1020" s="31">
        <v>0</v>
      </c>
      <c r="U1020" s="31">
        <v>0</v>
      </c>
      <c r="V1020" s="31">
        <v>0</v>
      </c>
      <c r="W1020" s="31">
        <v>0</v>
      </c>
      <c r="X1020" s="31">
        <v>0</v>
      </c>
      <c r="Y1020" s="31">
        <v>0</v>
      </c>
      <c r="Z1020" s="31">
        <v>0</v>
      </c>
      <c r="AA1020" s="31">
        <v>0</v>
      </c>
      <c r="AB1020" s="31">
        <v>0</v>
      </c>
      <c r="AC1020" s="31">
        <v>51945.74</v>
      </c>
      <c r="AD1020" s="31">
        <v>100000</v>
      </c>
      <c r="AE1020" s="31">
        <v>0</v>
      </c>
      <c r="AF1020" s="34">
        <v>2022</v>
      </c>
      <c r="AG1020" s="34">
        <v>2022</v>
      </c>
      <c r="AH1020" s="35">
        <v>2022</v>
      </c>
      <c r="AT1020" s="20" t="e">
        <f t="shared" ref="AT1020:AT1027" si="309">VLOOKUP(C1020,AW:AX,2,FALSE)</f>
        <v>#N/A</v>
      </c>
      <c r="BZ1020" s="71"/>
    </row>
    <row r="1021" spans="1:78" ht="61.5" x14ac:dyDescent="0.85">
      <c r="A1021" s="20">
        <v>1</v>
      </c>
      <c r="B1021" s="66">
        <f>SUBTOTAL(103,$A$1006:A1021)</f>
        <v>16</v>
      </c>
      <c r="C1021" s="24" t="s">
        <v>585</v>
      </c>
      <c r="D1021" s="31">
        <f t="shared" si="308"/>
        <v>1074208.6600000001</v>
      </c>
      <c r="E1021" s="31">
        <v>0</v>
      </c>
      <c r="F1021" s="31">
        <v>0</v>
      </c>
      <c r="G1021" s="31">
        <v>0</v>
      </c>
      <c r="H1021" s="31">
        <v>0</v>
      </c>
      <c r="I1021" s="31">
        <v>0</v>
      </c>
      <c r="J1021" s="31">
        <v>0</v>
      </c>
      <c r="K1021" s="33">
        <v>0</v>
      </c>
      <c r="L1021" s="31">
        <v>0</v>
      </c>
      <c r="M1021" s="31">
        <v>226</v>
      </c>
      <c r="N1021" s="31">
        <v>959811.49</v>
      </c>
      <c r="O1021" s="31">
        <v>0</v>
      </c>
      <c r="P1021" s="31">
        <v>0</v>
      </c>
      <c r="Q1021" s="31">
        <v>0</v>
      </c>
      <c r="R1021" s="31">
        <v>0</v>
      </c>
      <c r="S1021" s="31">
        <v>0</v>
      </c>
      <c r="T1021" s="31">
        <v>0</v>
      </c>
      <c r="U1021" s="31">
        <v>0</v>
      </c>
      <c r="V1021" s="31">
        <v>0</v>
      </c>
      <c r="W1021" s="31">
        <v>0</v>
      </c>
      <c r="X1021" s="31">
        <v>0</v>
      </c>
      <c r="Y1021" s="31">
        <v>0</v>
      </c>
      <c r="Z1021" s="31">
        <v>0</v>
      </c>
      <c r="AA1021" s="31">
        <v>0</v>
      </c>
      <c r="AB1021" s="31">
        <v>0</v>
      </c>
      <c r="AC1021" s="31">
        <v>14397.17</v>
      </c>
      <c r="AD1021" s="31">
        <v>100000</v>
      </c>
      <c r="AE1021" s="31">
        <v>0</v>
      </c>
      <c r="AF1021" s="34">
        <v>2022</v>
      </c>
      <c r="AG1021" s="34">
        <v>2022</v>
      </c>
      <c r="AH1021" s="35">
        <v>2022</v>
      </c>
      <c r="AT1021" s="20" t="e">
        <f t="shared" si="309"/>
        <v>#N/A</v>
      </c>
      <c r="BZ1021" s="71"/>
    </row>
    <row r="1022" spans="1:78" ht="61.5" x14ac:dyDescent="0.85">
      <c r="A1022" s="20">
        <v>1</v>
      </c>
      <c r="B1022" s="66">
        <f>SUBTOTAL(103,$A$1006:A1022)</f>
        <v>17</v>
      </c>
      <c r="C1022" s="24" t="s">
        <v>586</v>
      </c>
      <c r="D1022" s="31">
        <f t="shared" si="308"/>
        <v>2983983.08</v>
      </c>
      <c r="E1022" s="31">
        <v>0</v>
      </c>
      <c r="F1022" s="31">
        <v>0</v>
      </c>
      <c r="G1022" s="31">
        <v>0</v>
      </c>
      <c r="H1022" s="31">
        <v>0</v>
      </c>
      <c r="I1022" s="31">
        <v>0</v>
      </c>
      <c r="J1022" s="31">
        <v>0</v>
      </c>
      <c r="K1022" s="33">
        <v>0</v>
      </c>
      <c r="L1022" s="31">
        <v>0</v>
      </c>
      <c r="M1022" s="31">
        <v>632</v>
      </c>
      <c r="N1022" s="31">
        <v>2841362.64</v>
      </c>
      <c r="O1022" s="31">
        <v>0</v>
      </c>
      <c r="P1022" s="31">
        <v>0</v>
      </c>
      <c r="Q1022" s="31">
        <v>0</v>
      </c>
      <c r="R1022" s="31">
        <v>0</v>
      </c>
      <c r="S1022" s="31">
        <v>0</v>
      </c>
      <c r="T1022" s="31">
        <v>0</v>
      </c>
      <c r="U1022" s="31">
        <v>0</v>
      </c>
      <c r="V1022" s="31">
        <v>0</v>
      </c>
      <c r="W1022" s="31">
        <v>0</v>
      </c>
      <c r="X1022" s="31">
        <v>0</v>
      </c>
      <c r="Y1022" s="31">
        <v>0</v>
      </c>
      <c r="Z1022" s="31">
        <v>0</v>
      </c>
      <c r="AA1022" s="31">
        <v>0</v>
      </c>
      <c r="AB1022" s="31">
        <v>0</v>
      </c>
      <c r="AC1022" s="31">
        <v>42620.44</v>
      </c>
      <c r="AD1022" s="31">
        <v>100000</v>
      </c>
      <c r="AE1022" s="31">
        <v>0</v>
      </c>
      <c r="AF1022" s="34">
        <v>2022</v>
      </c>
      <c r="AG1022" s="34">
        <v>2022</v>
      </c>
      <c r="AH1022" s="35">
        <v>2022</v>
      </c>
      <c r="AT1022" s="20" t="e">
        <f t="shared" si="309"/>
        <v>#N/A</v>
      </c>
      <c r="BZ1022" s="71"/>
    </row>
    <row r="1023" spans="1:78" ht="61.5" x14ac:dyDescent="0.85">
      <c r="A1023" s="20">
        <v>1</v>
      </c>
      <c r="B1023" s="66">
        <f>SUBTOTAL(103,$A$1006:A1023)</f>
        <v>18</v>
      </c>
      <c r="C1023" s="24" t="s">
        <v>587</v>
      </c>
      <c r="D1023" s="31">
        <f t="shared" si="308"/>
        <v>2983983.08</v>
      </c>
      <c r="E1023" s="31">
        <v>0</v>
      </c>
      <c r="F1023" s="31">
        <v>0</v>
      </c>
      <c r="G1023" s="31">
        <v>0</v>
      </c>
      <c r="H1023" s="31">
        <v>0</v>
      </c>
      <c r="I1023" s="31">
        <v>0</v>
      </c>
      <c r="J1023" s="31">
        <v>0</v>
      </c>
      <c r="K1023" s="33">
        <v>0</v>
      </c>
      <c r="L1023" s="31">
        <v>0</v>
      </c>
      <c r="M1023" s="31">
        <v>632</v>
      </c>
      <c r="N1023" s="31">
        <v>2841362.64</v>
      </c>
      <c r="O1023" s="31">
        <v>0</v>
      </c>
      <c r="P1023" s="31">
        <v>0</v>
      </c>
      <c r="Q1023" s="31">
        <v>0</v>
      </c>
      <c r="R1023" s="31">
        <v>0</v>
      </c>
      <c r="S1023" s="31">
        <v>0</v>
      </c>
      <c r="T1023" s="31">
        <v>0</v>
      </c>
      <c r="U1023" s="31">
        <v>0</v>
      </c>
      <c r="V1023" s="31">
        <v>0</v>
      </c>
      <c r="W1023" s="31">
        <v>0</v>
      </c>
      <c r="X1023" s="31">
        <v>0</v>
      </c>
      <c r="Y1023" s="31">
        <v>0</v>
      </c>
      <c r="Z1023" s="31">
        <v>0</v>
      </c>
      <c r="AA1023" s="31">
        <v>0</v>
      </c>
      <c r="AB1023" s="31">
        <v>0</v>
      </c>
      <c r="AC1023" s="31">
        <v>42620.44</v>
      </c>
      <c r="AD1023" s="31">
        <v>100000</v>
      </c>
      <c r="AE1023" s="31">
        <v>0</v>
      </c>
      <c r="AF1023" s="34">
        <v>2022</v>
      </c>
      <c r="AG1023" s="34">
        <v>2022</v>
      </c>
      <c r="AH1023" s="35">
        <v>2022</v>
      </c>
      <c r="AT1023" s="20" t="e">
        <f t="shared" si="309"/>
        <v>#N/A</v>
      </c>
      <c r="BZ1023" s="71"/>
    </row>
    <row r="1024" spans="1:78" ht="61.5" x14ac:dyDescent="0.85">
      <c r="A1024" s="20">
        <v>1</v>
      </c>
      <c r="B1024" s="66">
        <f>SUBTOTAL(103,$A$1006:A1024)</f>
        <v>19</v>
      </c>
      <c r="C1024" s="24" t="s">
        <v>588</v>
      </c>
      <c r="D1024" s="31">
        <f t="shared" si="308"/>
        <v>3402263</v>
      </c>
      <c r="E1024" s="31">
        <v>0</v>
      </c>
      <c r="F1024" s="31">
        <v>0</v>
      </c>
      <c r="G1024" s="31">
        <v>0</v>
      </c>
      <c r="H1024" s="31">
        <v>0</v>
      </c>
      <c r="I1024" s="31">
        <v>0</v>
      </c>
      <c r="J1024" s="31">
        <v>0</v>
      </c>
      <c r="K1024" s="33">
        <v>0</v>
      </c>
      <c r="L1024" s="31">
        <v>0</v>
      </c>
      <c r="M1024" s="31">
        <v>720</v>
      </c>
      <c r="N1024" s="31">
        <v>3253461.08</v>
      </c>
      <c r="O1024" s="31">
        <v>0</v>
      </c>
      <c r="P1024" s="31">
        <v>0</v>
      </c>
      <c r="Q1024" s="31">
        <v>0</v>
      </c>
      <c r="R1024" s="31">
        <v>0</v>
      </c>
      <c r="S1024" s="31">
        <v>0</v>
      </c>
      <c r="T1024" s="31">
        <v>0</v>
      </c>
      <c r="U1024" s="31">
        <v>0</v>
      </c>
      <c r="V1024" s="31">
        <v>0</v>
      </c>
      <c r="W1024" s="31">
        <v>0</v>
      </c>
      <c r="X1024" s="31">
        <v>0</v>
      </c>
      <c r="Y1024" s="31">
        <v>0</v>
      </c>
      <c r="Z1024" s="31">
        <v>0</v>
      </c>
      <c r="AA1024" s="31">
        <v>0</v>
      </c>
      <c r="AB1024" s="31">
        <v>0</v>
      </c>
      <c r="AC1024" s="31">
        <v>48801.919999999998</v>
      </c>
      <c r="AD1024" s="31">
        <v>100000</v>
      </c>
      <c r="AE1024" s="31">
        <v>0</v>
      </c>
      <c r="AF1024" s="34">
        <v>2022</v>
      </c>
      <c r="AG1024" s="34">
        <v>2022</v>
      </c>
      <c r="AH1024" s="35">
        <v>2022</v>
      </c>
      <c r="AT1024" s="20" t="e">
        <f t="shared" si="309"/>
        <v>#N/A</v>
      </c>
      <c r="BZ1024" s="71"/>
    </row>
    <row r="1025" spans="1:78" ht="61.5" x14ac:dyDescent="0.85">
      <c r="A1025" s="20">
        <v>1</v>
      </c>
      <c r="B1025" s="66">
        <f>SUBTOTAL(103,$A$1006:A1025)</f>
        <v>20</v>
      </c>
      <c r="C1025" s="24" t="s">
        <v>589</v>
      </c>
      <c r="D1025" s="31">
        <f t="shared" si="308"/>
        <v>4423303.57</v>
      </c>
      <c r="E1025" s="31">
        <v>0</v>
      </c>
      <c r="F1025" s="31">
        <v>0</v>
      </c>
      <c r="G1025" s="31">
        <v>0</v>
      </c>
      <c r="H1025" s="31">
        <v>0</v>
      </c>
      <c r="I1025" s="31">
        <v>0</v>
      </c>
      <c r="J1025" s="31">
        <v>0</v>
      </c>
      <c r="K1025" s="33">
        <v>0</v>
      </c>
      <c r="L1025" s="31">
        <v>0</v>
      </c>
      <c r="M1025" s="31">
        <v>971</v>
      </c>
      <c r="N1025" s="31">
        <v>4259412.38</v>
      </c>
      <c r="O1025" s="31">
        <v>0</v>
      </c>
      <c r="P1025" s="31">
        <v>0</v>
      </c>
      <c r="Q1025" s="31">
        <v>0</v>
      </c>
      <c r="R1025" s="31">
        <v>0</v>
      </c>
      <c r="S1025" s="31">
        <v>0</v>
      </c>
      <c r="T1025" s="31">
        <v>0</v>
      </c>
      <c r="U1025" s="31">
        <v>0</v>
      </c>
      <c r="V1025" s="31">
        <v>0</v>
      </c>
      <c r="W1025" s="31">
        <v>0</v>
      </c>
      <c r="X1025" s="31">
        <v>0</v>
      </c>
      <c r="Y1025" s="31">
        <v>0</v>
      </c>
      <c r="Z1025" s="31">
        <v>0</v>
      </c>
      <c r="AA1025" s="31">
        <v>0</v>
      </c>
      <c r="AB1025" s="31">
        <v>0</v>
      </c>
      <c r="AC1025" s="31">
        <v>63891.19</v>
      </c>
      <c r="AD1025" s="31">
        <v>100000</v>
      </c>
      <c r="AE1025" s="31">
        <v>0</v>
      </c>
      <c r="AF1025" s="34">
        <v>2022</v>
      </c>
      <c r="AG1025" s="34">
        <v>2022</v>
      </c>
      <c r="AH1025" s="35">
        <v>2022</v>
      </c>
      <c r="AT1025" s="20" t="e">
        <f t="shared" si="309"/>
        <v>#N/A</v>
      </c>
      <c r="BZ1025" s="71"/>
    </row>
    <row r="1026" spans="1:78" ht="61.5" x14ac:dyDescent="0.85">
      <c r="A1026" s="20">
        <v>1</v>
      </c>
      <c r="B1026" s="66">
        <f>SUBTOTAL(103,$A$1006:A1026)</f>
        <v>21</v>
      </c>
      <c r="C1026" s="24" t="s">
        <v>590</v>
      </c>
      <c r="D1026" s="31">
        <f t="shared" si="308"/>
        <v>2349559.61</v>
      </c>
      <c r="E1026" s="31">
        <v>0</v>
      </c>
      <c r="F1026" s="31">
        <v>0</v>
      </c>
      <c r="G1026" s="31">
        <v>0</v>
      </c>
      <c r="H1026" s="31">
        <v>0</v>
      </c>
      <c r="I1026" s="31">
        <v>0</v>
      </c>
      <c r="J1026" s="31">
        <v>0</v>
      </c>
      <c r="K1026" s="33">
        <v>1</v>
      </c>
      <c r="L1026" s="31">
        <v>2249559.61</v>
      </c>
      <c r="M1026" s="31">
        <v>0</v>
      </c>
      <c r="N1026" s="31">
        <v>0</v>
      </c>
      <c r="O1026" s="31">
        <v>0</v>
      </c>
      <c r="P1026" s="31">
        <v>0</v>
      </c>
      <c r="Q1026" s="31">
        <v>0</v>
      </c>
      <c r="R1026" s="31">
        <v>0</v>
      </c>
      <c r="S1026" s="31">
        <v>0</v>
      </c>
      <c r="T1026" s="31">
        <v>0</v>
      </c>
      <c r="U1026" s="31">
        <v>0</v>
      </c>
      <c r="V1026" s="31">
        <v>0</v>
      </c>
      <c r="W1026" s="31">
        <v>0</v>
      </c>
      <c r="X1026" s="31">
        <v>0</v>
      </c>
      <c r="Y1026" s="31">
        <v>0</v>
      </c>
      <c r="Z1026" s="31">
        <v>0</v>
      </c>
      <c r="AA1026" s="31">
        <v>0</v>
      </c>
      <c r="AB1026" s="31">
        <v>0</v>
      </c>
      <c r="AC1026" s="31">
        <v>0</v>
      </c>
      <c r="AD1026" s="31">
        <v>100000</v>
      </c>
      <c r="AE1026" s="31">
        <v>0</v>
      </c>
      <c r="AF1026" s="34">
        <v>2022</v>
      </c>
      <c r="AG1026" s="34">
        <v>2022</v>
      </c>
      <c r="AH1026" s="35" t="s">
        <v>270</v>
      </c>
      <c r="AT1026" s="20" t="e">
        <f t="shared" si="309"/>
        <v>#N/A</v>
      </c>
      <c r="BZ1026" s="71"/>
    </row>
    <row r="1027" spans="1:78" ht="61.5" x14ac:dyDescent="0.85">
      <c r="A1027" s="20">
        <v>1</v>
      </c>
      <c r="B1027" s="66">
        <f>SUBTOTAL(103,$A$1006:A1027)</f>
        <v>22</v>
      </c>
      <c r="C1027" s="24" t="s">
        <v>591</v>
      </c>
      <c r="D1027" s="31">
        <f t="shared" si="308"/>
        <v>3999114.33</v>
      </c>
      <c r="E1027" s="31">
        <v>0</v>
      </c>
      <c r="F1027" s="31">
        <v>0</v>
      </c>
      <c r="G1027" s="31">
        <v>0</v>
      </c>
      <c r="H1027" s="31">
        <v>0</v>
      </c>
      <c r="I1027" s="31">
        <v>0</v>
      </c>
      <c r="J1027" s="31">
        <v>0</v>
      </c>
      <c r="K1027" s="33">
        <v>0</v>
      </c>
      <c r="L1027" s="31">
        <v>0</v>
      </c>
      <c r="M1027" s="31">
        <v>844</v>
      </c>
      <c r="N1027" s="31">
        <v>3841491.95</v>
      </c>
      <c r="O1027" s="31">
        <v>0</v>
      </c>
      <c r="P1027" s="31">
        <v>0</v>
      </c>
      <c r="Q1027" s="31">
        <v>0</v>
      </c>
      <c r="R1027" s="31">
        <v>0</v>
      </c>
      <c r="S1027" s="31">
        <v>0</v>
      </c>
      <c r="T1027" s="31">
        <v>0</v>
      </c>
      <c r="U1027" s="31">
        <v>0</v>
      </c>
      <c r="V1027" s="31">
        <v>0</v>
      </c>
      <c r="W1027" s="31">
        <v>0</v>
      </c>
      <c r="X1027" s="31">
        <v>0</v>
      </c>
      <c r="Y1027" s="31">
        <v>0</v>
      </c>
      <c r="Z1027" s="31">
        <v>0</v>
      </c>
      <c r="AA1027" s="31">
        <v>0</v>
      </c>
      <c r="AB1027" s="31">
        <v>0</v>
      </c>
      <c r="AC1027" s="31">
        <v>57622.38</v>
      </c>
      <c r="AD1027" s="31">
        <v>100000</v>
      </c>
      <c r="AE1027" s="31">
        <v>0</v>
      </c>
      <c r="AF1027" s="34">
        <v>2022</v>
      </c>
      <c r="AG1027" s="34">
        <v>2022</v>
      </c>
      <c r="AH1027" s="35">
        <v>2022</v>
      </c>
      <c r="AT1027" s="20" t="e">
        <f t="shared" si="309"/>
        <v>#N/A</v>
      </c>
      <c r="BZ1027" s="71"/>
    </row>
    <row r="1028" spans="1:78" ht="61.5" x14ac:dyDescent="0.85">
      <c r="A1028" s="20">
        <v>1</v>
      </c>
      <c r="B1028" s="66">
        <f>SUBTOTAL(103,$A$1006:A1028)</f>
        <v>23</v>
      </c>
      <c r="C1028" s="24" t="s">
        <v>1644</v>
      </c>
      <c r="D1028" s="31">
        <f t="shared" si="308"/>
        <v>4474650</v>
      </c>
      <c r="E1028" s="31">
        <v>0</v>
      </c>
      <c r="F1028" s="31">
        <v>0</v>
      </c>
      <c r="G1028" s="31">
        <v>0</v>
      </c>
      <c r="H1028" s="31">
        <v>0</v>
      </c>
      <c r="I1028" s="31">
        <v>0</v>
      </c>
      <c r="J1028" s="31">
        <v>0</v>
      </c>
      <c r="K1028" s="33">
        <v>0</v>
      </c>
      <c r="L1028" s="31">
        <v>0</v>
      </c>
      <c r="M1028" s="31">
        <v>960</v>
      </c>
      <c r="N1028" s="31">
        <v>4310000</v>
      </c>
      <c r="O1028" s="31">
        <v>0</v>
      </c>
      <c r="P1028" s="31">
        <v>0</v>
      </c>
      <c r="Q1028" s="31">
        <v>0</v>
      </c>
      <c r="R1028" s="31">
        <v>0</v>
      </c>
      <c r="S1028" s="31">
        <v>0</v>
      </c>
      <c r="T1028" s="31">
        <v>0</v>
      </c>
      <c r="U1028" s="31">
        <v>0</v>
      </c>
      <c r="V1028" s="31">
        <v>0</v>
      </c>
      <c r="W1028" s="31">
        <v>0</v>
      </c>
      <c r="X1028" s="31">
        <v>0</v>
      </c>
      <c r="Y1028" s="31">
        <v>0</v>
      </c>
      <c r="Z1028" s="31">
        <v>0</v>
      </c>
      <c r="AA1028" s="31">
        <v>0</v>
      </c>
      <c r="AB1028" s="31">
        <v>0</v>
      </c>
      <c r="AC1028" s="31">
        <v>64650</v>
      </c>
      <c r="AD1028" s="31">
        <v>100000</v>
      </c>
      <c r="AE1028" s="31">
        <v>0</v>
      </c>
      <c r="AF1028" s="34">
        <v>2022</v>
      </c>
      <c r="AG1028" s="34">
        <v>2022</v>
      </c>
      <c r="AH1028" s="35">
        <v>2022</v>
      </c>
      <c r="BZ1028" s="71"/>
    </row>
    <row r="1029" spans="1:78" ht="61.5" x14ac:dyDescent="0.85">
      <c r="A1029" s="20">
        <v>1</v>
      </c>
      <c r="B1029" s="66">
        <f>SUBTOTAL(103,$A$1006:A1029)</f>
        <v>24</v>
      </c>
      <c r="C1029" s="24" t="s">
        <v>1645</v>
      </c>
      <c r="D1029" s="31">
        <f t="shared" si="308"/>
        <v>5713232.8199999994</v>
      </c>
      <c r="E1029" s="31">
        <v>0</v>
      </c>
      <c r="F1029" s="31">
        <v>0</v>
      </c>
      <c r="G1029" s="31">
        <v>0</v>
      </c>
      <c r="H1029" s="31">
        <v>0</v>
      </c>
      <c r="I1029" s="31">
        <v>0</v>
      </c>
      <c r="J1029" s="31">
        <v>0</v>
      </c>
      <c r="K1029" s="33">
        <v>0</v>
      </c>
      <c r="L1029" s="31">
        <v>0</v>
      </c>
      <c r="M1029" s="31">
        <v>1075</v>
      </c>
      <c r="N1029" s="31">
        <v>5530278.6399999997</v>
      </c>
      <c r="O1029" s="31">
        <v>0</v>
      </c>
      <c r="P1029" s="31">
        <v>0</v>
      </c>
      <c r="Q1029" s="31">
        <v>0</v>
      </c>
      <c r="R1029" s="31">
        <v>0</v>
      </c>
      <c r="S1029" s="31">
        <v>0</v>
      </c>
      <c r="T1029" s="31">
        <v>0</v>
      </c>
      <c r="U1029" s="31">
        <v>0</v>
      </c>
      <c r="V1029" s="31">
        <v>0</v>
      </c>
      <c r="W1029" s="31">
        <v>0</v>
      </c>
      <c r="X1029" s="31">
        <v>0</v>
      </c>
      <c r="Y1029" s="31">
        <v>0</v>
      </c>
      <c r="Z1029" s="31">
        <v>0</v>
      </c>
      <c r="AA1029" s="31">
        <v>0</v>
      </c>
      <c r="AB1029" s="31">
        <v>0</v>
      </c>
      <c r="AC1029" s="31">
        <v>82954.179999999993</v>
      </c>
      <c r="AD1029" s="31">
        <v>100000</v>
      </c>
      <c r="AE1029" s="31">
        <v>0</v>
      </c>
      <c r="AF1029" s="34">
        <v>2022</v>
      </c>
      <c r="AG1029" s="34">
        <v>2022</v>
      </c>
      <c r="AH1029" s="35">
        <v>2022</v>
      </c>
      <c r="BZ1029" s="71"/>
    </row>
    <row r="1030" spans="1:78" ht="61.5" x14ac:dyDescent="0.85">
      <c r="A1030" s="20">
        <v>1</v>
      </c>
      <c r="B1030" s="66">
        <f>SUBTOTAL(103,$A$1006:A1030)</f>
        <v>25</v>
      </c>
      <c r="C1030" s="24" t="s">
        <v>592</v>
      </c>
      <c r="D1030" s="31">
        <f t="shared" si="308"/>
        <v>3934609.35</v>
      </c>
      <c r="E1030" s="31">
        <v>0</v>
      </c>
      <c r="F1030" s="31">
        <v>0</v>
      </c>
      <c r="G1030" s="31">
        <v>0</v>
      </c>
      <c r="H1030" s="31">
        <v>0</v>
      </c>
      <c r="I1030" s="31">
        <v>0</v>
      </c>
      <c r="J1030" s="31">
        <v>0</v>
      </c>
      <c r="K1030" s="33">
        <v>0</v>
      </c>
      <c r="L1030" s="31">
        <v>0</v>
      </c>
      <c r="M1030" s="31">
        <v>832</v>
      </c>
      <c r="N1030" s="31">
        <v>3777940.25</v>
      </c>
      <c r="O1030" s="31">
        <v>0</v>
      </c>
      <c r="P1030" s="31">
        <v>0</v>
      </c>
      <c r="Q1030" s="31">
        <v>0</v>
      </c>
      <c r="R1030" s="31">
        <v>0</v>
      </c>
      <c r="S1030" s="31">
        <v>0</v>
      </c>
      <c r="T1030" s="31">
        <v>0</v>
      </c>
      <c r="U1030" s="31">
        <v>0</v>
      </c>
      <c r="V1030" s="31">
        <v>0</v>
      </c>
      <c r="W1030" s="31">
        <v>0</v>
      </c>
      <c r="X1030" s="31">
        <v>0</v>
      </c>
      <c r="Y1030" s="31">
        <v>0</v>
      </c>
      <c r="Z1030" s="31">
        <v>0</v>
      </c>
      <c r="AA1030" s="31">
        <v>0</v>
      </c>
      <c r="AB1030" s="31">
        <v>0</v>
      </c>
      <c r="AC1030" s="31">
        <v>56669.1</v>
      </c>
      <c r="AD1030" s="31">
        <v>100000</v>
      </c>
      <c r="AE1030" s="31">
        <v>0</v>
      </c>
      <c r="AF1030" s="34">
        <v>2022</v>
      </c>
      <c r="AG1030" s="34">
        <v>2022</v>
      </c>
      <c r="AH1030" s="35">
        <v>2022</v>
      </c>
      <c r="AT1030" s="20" t="e">
        <f t="shared" ref="AT1030:AT1043" si="310">VLOOKUP(C1030,AW:AX,2,FALSE)</f>
        <v>#N/A</v>
      </c>
      <c r="BZ1030" s="71"/>
    </row>
    <row r="1031" spans="1:78" ht="61.5" x14ac:dyDescent="0.85">
      <c r="A1031" s="20">
        <v>1</v>
      </c>
      <c r="B1031" s="66">
        <f>SUBTOTAL(103,$A$1006:A1031)</f>
        <v>26</v>
      </c>
      <c r="C1031" s="24" t="s">
        <v>594</v>
      </c>
      <c r="D1031" s="31">
        <f t="shared" si="308"/>
        <v>6697616.7399999993</v>
      </c>
      <c r="E1031" s="31">
        <v>0</v>
      </c>
      <c r="F1031" s="31">
        <v>0</v>
      </c>
      <c r="G1031" s="31">
        <v>0</v>
      </c>
      <c r="H1031" s="31">
        <v>0</v>
      </c>
      <c r="I1031" s="31">
        <v>0</v>
      </c>
      <c r="J1031" s="31">
        <v>0</v>
      </c>
      <c r="K1031" s="33">
        <v>0</v>
      </c>
      <c r="L1031" s="31">
        <v>0</v>
      </c>
      <c r="M1031" s="31">
        <v>1447</v>
      </c>
      <c r="N1031" s="31">
        <v>6498637.1799999997</v>
      </c>
      <c r="O1031" s="31">
        <v>0</v>
      </c>
      <c r="P1031" s="31">
        <v>0</v>
      </c>
      <c r="Q1031" s="31">
        <v>0</v>
      </c>
      <c r="R1031" s="31">
        <v>0</v>
      </c>
      <c r="S1031" s="31">
        <v>0</v>
      </c>
      <c r="T1031" s="31">
        <v>0</v>
      </c>
      <c r="U1031" s="31">
        <v>0</v>
      </c>
      <c r="V1031" s="31">
        <v>0</v>
      </c>
      <c r="W1031" s="31">
        <v>0</v>
      </c>
      <c r="X1031" s="31">
        <v>0</v>
      </c>
      <c r="Y1031" s="31">
        <v>0</v>
      </c>
      <c r="Z1031" s="31">
        <v>0</v>
      </c>
      <c r="AA1031" s="31">
        <v>0</v>
      </c>
      <c r="AB1031" s="31">
        <v>0</v>
      </c>
      <c r="AC1031" s="31">
        <v>98979.56</v>
      </c>
      <c r="AD1031" s="31">
        <v>100000</v>
      </c>
      <c r="AE1031" s="31">
        <v>0</v>
      </c>
      <c r="AF1031" s="34">
        <v>2022</v>
      </c>
      <c r="AG1031" s="34">
        <v>2022</v>
      </c>
      <c r="AH1031" s="35">
        <v>2022</v>
      </c>
      <c r="AT1031" s="20" t="e">
        <f t="shared" si="310"/>
        <v>#N/A</v>
      </c>
      <c r="BZ1031" s="71"/>
    </row>
    <row r="1032" spans="1:78" ht="61.5" x14ac:dyDescent="0.85">
      <c r="A1032" s="20">
        <v>1</v>
      </c>
      <c r="B1032" s="66">
        <f>SUBTOTAL(103,$A$1006:A1032)</f>
        <v>27</v>
      </c>
      <c r="C1032" s="24" t="s">
        <v>595</v>
      </c>
      <c r="D1032" s="31">
        <f t="shared" si="308"/>
        <v>5263885</v>
      </c>
      <c r="E1032" s="31">
        <v>0</v>
      </c>
      <c r="F1032" s="31">
        <v>0</v>
      </c>
      <c r="G1032" s="31">
        <v>0</v>
      </c>
      <c r="H1032" s="31">
        <v>0</v>
      </c>
      <c r="I1032" s="31">
        <v>0</v>
      </c>
      <c r="J1032" s="31">
        <v>0</v>
      </c>
      <c r="K1032" s="33">
        <v>0</v>
      </c>
      <c r="L1032" s="31">
        <v>0</v>
      </c>
      <c r="M1032" s="31">
        <v>0</v>
      </c>
      <c r="N1032" s="31">
        <v>0</v>
      </c>
      <c r="O1032" s="31">
        <v>0</v>
      </c>
      <c r="P1032" s="31">
        <v>0</v>
      </c>
      <c r="Q1032" s="31">
        <v>1536</v>
      </c>
      <c r="R1032" s="31">
        <v>5087571.43</v>
      </c>
      <c r="S1032" s="31">
        <v>0</v>
      </c>
      <c r="T1032" s="31">
        <v>0</v>
      </c>
      <c r="U1032" s="31">
        <v>0</v>
      </c>
      <c r="V1032" s="31">
        <v>0</v>
      </c>
      <c r="W1032" s="31">
        <v>0</v>
      </c>
      <c r="X1032" s="31">
        <v>0</v>
      </c>
      <c r="Y1032" s="31">
        <v>0</v>
      </c>
      <c r="Z1032" s="31">
        <v>0</v>
      </c>
      <c r="AA1032" s="31">
        <v>0</v>
      </c>
      <c r="AB1032" s="31">
        <v>0</v>
      </c>
      <c r="AC1032" s="31">
        <v>76313.570000000007</v>
      </c>
      <c r="AD1032" s="31">
        <v>100000</v>
      </c>
      <c r="AE1032" s="31">
        <v>0</v>
      </c>
      <c r="AF1032" s="34">
        <v>2022</v>
      </c>
      <c r="AG1032" s="34">
        <v>2022</v>
      </c>
      <c r="AH1032" s="35">
        <v>2022</v>
      </c>
      <c r="AT1032" s="20" t="e">
        <f t="shared" si="310"/>
        <v>#N/A</v>
      </c>
      <c r="BZ1032" s="71"/>
    </row>
    <row r="1033" spans="1:78" ht="61.5" x14ac:dyDescent="0.85">
      <c r="A1033" s="20">
        <v>1</v>
      </c>
      <c r="B1033" s="66">
        <f>SUBTOTAL(103,$A$1006:A1033)</f>
        <v>28</v>
      </c>
      <c r="C1033" s="24" t="s">
        <v>1712</v>
      </c>
      <c r="D1033" s="31">
        <f t="shared" si="308"/>
        <v>4443671.0699999994</v>
      </c>
      <c r="E1033" s="31">
        <v>0</v>
      </c>
      <c r="F1033" s="31">
        <v>0</v>
      </c>
      <c r="G1033" s="31">
        <v>0</v>
      </c>
      <c r="H1033" s="31">
        <v>0</v>
      </c>
      <c r="I1033" s="31">
        <v>0</v>
      </c>
      <c r="J1033" s="31">
        <v>0</v>
      </c>
      <c r="K1033" s="33">
        <v>0</v>
      </c>
      <c r="L1033" s="31">
        <v>0</v>
      </c>
      <c r="M1033" s="31">
        <v>939.1</v>
      </c>
      <c r="N1033" s="31">
        <v>4279478.8899999997</v>
      </c>
      <c r="O1033" s="31">
        <v>0</v>
      </c>
      <c r="P1033" s="31">
        <v>0</v>
      </c>
      <c r="Q1033" s="31">
        <v>0</v>
      </c>
      <c r="R1033" s="31">
        <v>0</v>
      </c>
      <c r="S1033" s="31">
        <v>0</v>
      </c>
      <c r="T1033" s="31">
        <v>0</v>
      </c>
      <c r="U1033" s="31">
        <v>0</v>
      </c>
      <c r="V1033" s="31">
        <v>0</v>
      </c>
      <c r="W1033" s="31">
        <v>0</v>
      </c>
      <c r="X1033" s="31">
        <v>0</v>
      </c>
      <c r="Y1033" s="31">
        <v>0</v>
      </c>
      <c r="Z1033" s="31">
        <v>0</v>
      </c>
      <c r="AA1033" s="31">
        <v>0</v>
      </c>
      <c r="AB1033" s="31">
        <v>0</v>
      </c>
      <c r="AC1033" s="31">
        <v>64192.18</v>
      </c>
      <c r="AD1033" s="31">
        <v>100000</v>
      </c>
      <c r="AE1033" s="31">
        <v>0</v>
      </c>
      <c r="AF1033" s="34">
        <v>2022</v>
      </c>
      <c r="AG1033" s="34">
        <v>2022</v>
      </c>
      <c r="AH1033" s="35">
        <v>2022</v>
      </c>
      <c r="AT1033" s="20" t="e">
        <f t="shared" si="310"/>
        <v>#N/A</v>
      </c>
      <c r="BZ1033" s="71"/>
    </row>
    <row r="1034" spans="1:78" ht="61.5" x14ac:dyDescent="0.85">
      <c r="A1034" s="20">
        <v>1</v>
      </c>
      <c r="B1034" s="66">
        <f>SUBTOTAL(103,$A$1006:A1034)</f>
        <v>29</v>
      </c>
      <c r="C1034" s="24" t="s">
        <v>1713</v>
      </c>
      <c r="D1034" s="31">
        <f t="shared" si="308"/>
        <v>3809856.13</v>
      </c>
      <c r="E1034" s="31">
        <v>0</v>
      </c>
      <c r="F1034" s="31">
        <v>0</v>
      </c>
      <c r="G1034" s="31">
        <v>0</v>
      </c>
      <c r="H1034" s="31">
        <v>0</v>
      </c>
      <c r="I1034" s="31">
        <v>0</v>
      </c>
      <c r="J1034" s="31">
        <v>0</v>
      </c>
      <c r="K1034" s="33">
        <v>0</v>
      </c>
      <c r="L1034" s="31">
        <v>0</v>
      </c>
      <c r="M1034" s="31">
        <v>588</v>
      </c>
      <c r="N1034" s="31">
        <v>3655018.83</v>
      </c>
      <c r="O1034" s="31">
        <v>0</v>
      </c>
      <c r="P1034" s="31">
        <v>0</v>
      </c>
      <c r="Q1034" s="31">
        <v>0</v>
      </c>
      <c r="R1034" s="31">
        <v>0</v>
      </c>
      <c r="S1034" s="31">
        <v>0</v>
      </c>
      <c r="T1034" s="31">
        <v>0</v>
      </c>
      <c r="U1034" s="31">
        <v>0</v>
      </c>
      <c r="V1034" s="31">
        <v>0</v>
      </c>
      <c r="W1034" s="31">
        <v>0</v>
      </c>
      <c r="X1034" s="31">
        <v>0</v>
      </c>
      <c r="Y1034" s="31">
        <v>0</v>
      </c>
      <c r="Z1034" s="31">
        <v>0</v>
      </c>
      <c r="AA1034" s="31">
        <v>0</v>
      </c>
      <c r="AB1034" s="31">
        <v>0</v>
      </c>
      <c r="AC1034" s="31">
        <v>54837.3</v>
      </c>
      <c r="AD1034" s="31">
        <v>100000</v>
      </c>
      <c r="AE1034" s="31">
        <v>0</v>
      </c>
      <c r="AF1034" s="34">
        <v>2022</v>
      </c>
      <c r="AG1034" s="34">
        <v>2022</v>
      </c>
      <c r="AH1034" s="35">
        <v>2022</v>
      </c>
      <c r="AT1034" s="20" t="e">
        <f t="shared" si="310"/>
        <v>#N/A</v>
      </c>
      <c r="BZ1034" s="71"/>
    </row>
    <row r="1035" spans="1:78" ht="61.5" x14ac:dyDescent="0.85">
      <c r="A1035" s="20">
        <v>1</v>
      </c>
      <c r="B1035" s="66">
        <f>SUBTOTAL(103,$A$1006:A1035)</f>
        <v>30</v>
      </c>
      <c r="C1035" s="24" t="s">
        <v>596</v>
      </c>
      <c r="D1035" s="31">
        <f t="shared" si="308"/>
        <v>4940291.25</v>
      </c>
      <c r="E1035" s="31">
        <v>0</v>
      </c>
      <c r="F1035" s="31">
        <v>0</v>
      </c>
      <c r="G1035" s="31">
        <v>0</v>
      </c>
      <c r="H1035" s="31">
        <v>0</v>
      </c>
      <c r="I1035" s="31">
        <v>0</v>
      </c>
      <c r="J1035" s="31">
        <v>0</v>
      </c>
      <c r="K1035" s="33">
        <v>0</v>
      </c>
      <c r="L1035" s="31">
        <v>0</v>
      </c>
      <c r="M1035" s="31">
        <v>0</v>
      </c>
      <c r="N1035" s="31">
        <v>0</v>
      </c>
      <c r="O1035" s="31">
        <v>0</v>
      </c>
      <c r="P1035" s="31">
        <v>0</v>
      </c>
      <c r="Q1035" s="31">
        <v>1425</v>
      </c>
      <c r="R1035" s="31">
        <v>4749055</v>
      </c>
      <c r="S1035" s="31">
        <v>0</v>
      </c>
      <c r="T1035" s="31">
        <v>0</v>
      </c>
      <c r="U1035" s="31">
        <v>0</v>
      </c>
      <c r="V1035" s="31">
        <v>0</v>
      </c>
      <c r="W1035" s="31">
        <v>0</v>
      </c>
      <c r="X1035" s="31">
        <v>0</v>
      </c>
      <c r="Y1035" s="31">
        <v>0</v>
      </c>
      <c r="Z1035" s="31">
        <v>0</v>
      </c>
      <c r="AA1035" s="31">
        <v>0</v>
      </c>
      <c r="AB1035" s="31">
        <v>0</v>
      </c>
      <c r="AC1035" s="31">
        <v>71236</v>
      </c>
      <c r="AD1035" s="31">
        <v>120000.25</v>
      </c>
      <c r="AE1035" s="31">
        <v>0</v>
      </c>
      <c r="AF1035" s="34">
        <v>2022</v>
      </c>
      <c r="AG1035" s="34">
        <v>2022</v>
      </c>
      <c r="AH1035" s="35">
        <v>2022</v>
      </c>
      <c r="AT1035" s="20" t="e">
        <f t="shared" si="310"/>
        <v>#N/A</v>
      </c>
      <c r="BZ1035" s="71"/>
    </row>
    <row r="1036" spans="1:78" ht="61.5" x14ac:dyDescent="0.85">
      <c r="A1036" s="20">
        <v>1</v>
      </c>
      <c r="B1036" s="66">
        <f>SUBTOTAL(103,$A$1006:A1036)</f>
        <v>31</v>
      </c>
      <c r="C1036" s="24" t="s">
        <v>598</v>
      </c>
      <c r="D1036" s="31">
        <f t="shared" si="308"/>
        <v>2089100.53</v>
      </c>
      <c r="E1036" s="31">
        <v>0</v>
      </c>
      <c r="F1036" s="31">
        <v>0</v>
      </c>
      <c r="G1036" s="31">
        <v>0</v>
      </c>
      <c r="H1036" s="31">
        <v>0</v>
      </c>
      <c r="I1036" s="31">
        <v>0</v>
      </c>
      <c r="J1036" s="31">
        <v>0</v>
      </c>
      <c r="K1036" s="33">
        <v>0</v>
      </c>
      <c r="L1036" s="31">
        <v>0</v>
      </c>
      <c r="M1036" s="31">
        <v>0</v>
      </c>
      <c r="N1036" s="31">
        <v>0</v>
      </c>
      <c r="O1036" s="31">
        <v>0</v>
      </c>
      <c r="P1036" s="31">
        <v>0</v>
      </c>
      <c r="Q1036" s="31">
        <v>400</v>
      </c>
      <c r="R1036" s="31">
        <v>1959704.96</v>
      </c>
      <c r="S1036" s="31">
        <v>0</v>
      </c>
      <c r="T1036" s="31">
        <v>0</v>
      </c>
      <c r="U1036" s="31">
        <v>0</v>
      </c>
      <c r="V1036" s="31">
        <v>0</v>
      </c>
      <c r="W1036" s="31">
        <v>0</v>
      </c>
      <c r="X1036" s="31">
        <v>0</v>
      </c>
      <c r="Y1036" s="31">
        <v>0</v>
      </c>
      <c r="Z1036" s="31">
        <v>0</v>
      </c>
      <c r="AA1036" s="31">
        <v>0</v>
      </c>
      <c r="AB1036" s="31">
        <v>0</v>
      </c>
      <c r="AC1036" s="31">
        <v>29395.57</v>
      </c>
      <c r="AD1036" s="31">
        <v>100000</v>
      </c>
      <c r="AE1036" s="31">
        <v>0</v>
      </c>
      <c r="AF1036" s="34">
        <v>2022</v>
      </c>
      <c r="AG1036" s="34">
        <v>2022</v>
      </c>
      <c r="AH1036" s="35">
        <v>2022</v>
      </c>
      <c r="AT1036" s="20" t="e">
        <f t="shared" si="310"/>
        <v>#N/A</v>
      </c>
      <c r="BZ1036" s="71"/>
    </row>
    <row r="1037" spans="1:78" ht="61.5" x14ac:dyDescent="0.85">
      <c r="A1037" s="20">
        <v>1</v>
      </c>
      <c r="B1037" s="66">
        <f>SUBTOTAL(103,$A$1006:A1037)</f>
        <v>32</v>
      </c>
      <c r="C1037" s="24" t="s">
        <v>599</v>
      </c>
      <c r="D1037" s="31">
        <f t="shared" si="308"/>
        <v>4372967.33</v>
      </c>
      <c r="E1037" s="31">
        <v>0</v>
      </c>
      <c r="F1037" s="31">
        <v>0</v>
      </c>
      <c r="G1037" s="31">
        <v>0</v>
      </c>
      <c r="H1037" s="31">
        <v>0</v>
      </c>
      <c r="I1037" s="31">
        <v>0</v>
      </c>
      <c r="J1037" s="31">
        <v>0</v>
      </c>
      <c r="K1037" s="33">
        <v>0</v>
      </c>
      <c r="L1037" s="31">
        <v>0</v>
      </c>
      <c r="M1037" s="31">
        <v>960</v>
      </c>
      <c r="N1037" s="31">
        <v>4209820.03</v>
      </c>
      <c r="O1037" s="31">
        <v>0</v>
      </c>
      <c r="P1037" s="31">
        <v>0</v>
      </c>
      <c r="Q1037" s="31">
        <v>0</v>
      </c>
      <c r="R1037" s="31">
        <v>0</v>
      </c>
      <c r="S1037" s="31">
        <v>0</v>
      </c>
      <c r="T1037" s="31">
        <v>0</v>
      </c>
      <c r="U1037" s="31">
        <v>0</v>
      </c>
      <c r="V1037" s="31">
        <v>0</v>
      </c>
      <c r="W1037" s="31">
        <v>0</v>
      </c>
      <c r="X1037" s="31">
        <v>0</v>
      </c>
      <c r="Y1037" s="31">
        <v>0</v>
      </c>
      <c r="Z1037" s="31">
        <v>0</v>
      </c>
      <c r="AA1037" s="31">
        <v>0</v>
      </c>
      <c r="AB1037" s="31">
        <v>0</v>
      </c>
      <c r="AC1037" s="31">
        <v>63147.3</v>
      </c>
      <c r="AD1037" s="31">
        <v>100000</v>
      </c>
      <c r="AE1037" s="31">
        <v>0</v>
      </c>
      <c r="AF1037" s="34">
        <v>2022</v>
      </c>
      <c r="AG1037" s="34">
        <v>2022</v>
      </c>
      <c r="AH1037" s="35">
        <v>2022</v>
      </c>
      <c r="AT1037" s="20" t="e">
        <f t="shared" si="310"/>
        <v>#N/A</v>
      </c>
      <c r="BZ1037" s="71"/>
    </row>
    <row r="1038" spans="1:78" ht="61.5" x14ac:dyDescent="0.85">
      <c r="A1038" s="20">
        <v>1</v>
      </c>
      <c r="B1038" s="66">
        <f>SUBTOTAL(103,$A$1006:A1038)</f>
        <v>33</v>
      </c>
      <c r="C1038" s="24" t="s">
        <v>600</v>
      </c>
      <c r="D1038" s="31">
        <f t="shared" si="308"/>
        <v>4372967.33</v>
      </c>
      <c r="E1038" s="31">
        <v>0</v>
      </c>
      <c r="F1038" s="31">
        <v>0</v>
      </c>
      <c r="G1038" s="31">
        <v>0</v>
      </c>
      <c r="H1038" s="31">
        <v>0</v>
      </c>
      <c r="I1038" s="31">
        <v>0</v>
      </c>
      <c r="J1038" s="31">
        <v>0</v>
      </c>
      <c r="K1038" s="33">
        <v>0</v>
      </c>
      <c r="L1038" s="31">
        <v>0</v>
      </c>
      <c r="M1038" s="31">
        <v>960</v>
      </c>
      <c r="N1038" s="31">
        <v>4209820.03</v>
      </c>
      <c r="O1038" s="31">
        <v>0</v>
      </c>
      <c r="P1038" s="31">
        <v>0</v>
      </c>
      <c r="Q1038" s="31">
        <v>0</v>
      </c>
      <c r="R1038" s="31">
        <v>0</v>
      </c>
      <c r="S1038" s="31">
        <v>0</v>
      </c>
      <c r="T1038" s="31">
        <v>0</v>
      </c>
      <c r="U1038" s="31">
        <v>0</v>
      </c>
      <c r="V1038" s="31">
        <v>0</v>
      </c>
      <c r="W1038" s="31">
        <v>0</v>
      </c>
      <c r="X1038" s="31">
        <v>0</v>
      </c>
      <c r="Y1038" s="31">
        <v>0</v>
      </c>
      <c r="Z1038" s="31">
        <v>0</v>
      </c>
      <c r="AA1038" s="31">
        <v>0</v>
      </c>
      <c r="AB1038" s="31">
        <v>0</v>
      </c>
      <c r="AC1038" s="31">
        <v>63147.3</v>
      </c>
      <c r="AD1038" s="31">
        <v>100000</v>
      </c>
      <c r="AE1038" s="31">
        <v>0</v>
      </c>
      <c r="AF1038" s="34">
        <v>2022</v>
      </c>
      <c r="AG1038" s="34">
        <v>2022</v>
      </c>
      <c r="AH1038" s="35">
        <v>2022</v>
      </c>
      <c r="AT1038" s="20" t="e">
        <f t="shared" si="310"/>
        <v>#N/A</v>
      </c>
      <c r="BZ1038" s="71"/>
    </row>
    <row r="1039" spans="1:78" ht="61.5" x14ac:dyDescent="0.85">
      <c r="A1039" s="20">
        <v>1</v>
      </c>
      <c r="B1039" s="66">
        <f>SUBTOTAL(103,$A$1006:A1039)</f>
        <v>34</v>
      </c>
      <c r="C1039" s="24" t="s">
        <v>601</v>
      </c>
      <c r="D1039" s="31">
        <f t="shared" si="308"/>
        <v>1733943.5899999999</v>
      </c>
      <c r="E1039" s="31">
        <v>0</v>
      </c>
      <c r="F1039" s="31">
        <v>0</v>
      </c>
      <c r="G1039" s="31">
        <v>0</v>
      </c>
      <c r="H1039" s="31">
        <v>0</v>
      </c>
      <c r="I1039" s="31">
        <v>0</v>
      </c>
      <c r="J1039" s="31">
        <v>0</v>
      </c>
      <c r="K1039" s="33">
        <v>0</v>
      </c>
      <c r="L1039" s="31">
        <v>0</v>
      </c>
      <c r="M1039" s="31">
        <v>364.8</v>
      </c>
      <c r="N1039" s="31">
        <v>1609796.64</v>
      </c>
      <c r="O1039" s="31">
        <v>0</v>
      </c>
      <c r="P1039" s="31">
        <v>0</v>
      </c>
      <c r="Q1039" s="31">
        <v>0</v>
      </c>
      <c r="R1039" s="31">
        <v>0</v>
      </c>
      <c r="S1039" s="31">
        <v>0</v>
      </c>
      <c r="T1039" s="31">
        <v>0</v>
      </c>
      <c r="U1039" s="31">
        <v>0</v>
      </c>
      <c r="V1039" s="31">
        <v>0</v>
      </c>
      <c r="W1039" s="31">
        <v>0</v>
      </c>
      <c r="X1039" s="31">
        <v>0</v>
      </c>
      <c r="Y1039" s="31">
        <v>0</v>
      </c>
      <c r="Z1039" s="31">
        <v>0</v>
      </c>
      <c r="AA1039" s="31">
        <v>0</v>
      </c>
      <c r="AB1039" s="31">
        <v>0</v>
      </c>
      <c r="AC1039" s="31">
        <v>24146.95</v>
      </c>
      <c r="AD1039" s="31">
        <v>100000</v>
      </c>
      <c r="AE1039" s="31">
        <v>0</v>
      </c>
      <c r="AF1039" s="34">
        <v>2022</v>
      </c>
      <c r="AG1039" s="34">
        <v>2022</v>
      </c>
      <c r="AH1039" s="35">
        <v>2022</v>
      </c>
      <c r="AT1039" s="20" t="e">
        <f t="shared" si="310"/>
        <v>#N/A</v>
      </c>
      <c r="BZ1039" s="71"/>
    </row>
    <row r="1040" spans="1:78" ht="61.5" x14ac:dyDescent="0.85">
      <c r="A1040" s="20">
        <v>1</v>
      </c>
      <c r="B1040" s="66">
        <f>SUBTOTAL(103,$A$1006:A1040)</f>
        <v>35</v>
      </c>
      <c r="C1040" s="24" t="s">
        <v>602</v>
      </c>
      <c r="D1040" s="31">
        <f t="shared" si="308"/>
        <v>4372967.33</v>
      </c>
      <c r="E1040" s="31">
        <v>0</v>
      </c>
      <c r="F1040" s="31">
        <v>0</v>
      </c>
      <c r="G1040" s="31">
        <v>0</v>
      </c>
      <c r="H1040" s="31">
        <v>0</v>
      </c>
      <c r="I1040" s="31">
        <v>0</v>
      </c>
      <c r="J1040" s="31">
        <v>0</v>
      </c>
      <c r="K1040" s="33">
        <v>0</v>
      </c>
      <c r="L1040" s="31">
        <v>0</v>
      </c>
      <c r="M1040" s="31">
        <v>960</v>
      </c>
      <c r="N1040" s="31">
        <v>4209820.03</v>
      </c>
      <c r="O1040" s="31">
        <v>0</v>
      </c>
      <c r="P1040" s="31">
        <v>0</v>
      </c>
      <c r="Q1040" s="31">
        <v>0</v>
      </c>
      <c r="R1040" s="31">
        <v>0</v>
      </c>
      <c r="S1040" s="31">
        <v>0</v>
      </c>
      <c r="T1040" s="31">
        <v>0</v>
      </c>
      <c r="U1040" s="31">
        <v>0</v>
      </c>
      <c r="V1040" s="31">
        <v>0</v>
      </c>
      <c r="W1040" s="31">
        <v>0</v>
      </c>
      <c r="X1040" s="31">
        <v>0</v>
      </c>
      <c r="Y1040" s="31">
        <v>0</v>
      </c>
      <c r="Z1040" s="31">
        <v>0</v>
      </c>
      <c r="AA1040" s="31">
        <v>0</v>
      </c>
      <c r="AB1040" s="31">
        <v>0</v>
      </c>
      <c r="AC1040" s="31">
        <v>63147.3</v>
      </c>
      <c r="AD1040" s="31">
        <v>100000</v>
      </c>
      <c r="AE1040" s="31">
        <v>0</v>
      </c>
      <c r="AF1040" s="34">
        <v>2022</v>
      </c>
      <c r="AG1040" s="34">
        <v>2022</v>
      </c>
      <c r="AH1040" s="35">
        <v>2022</v>
      </c>
      <c r="AT1040" s="20" t="e">
        <f t="shared" si="310"/>
        <v>#N/A</v>
      </c>
      <c r="BZ1040" s="71"/>
    </row>
    <row r="1041" spans="1:82" ht="61.5" x14ac:dyDescent="0.85">
      <c r="A1041" s="20">
        <v>1</v>
      </c>
      <c r="B1041" s="66">
        <f>SUBTOTAL(103,$A$1006:A1041)</f>
        <v>36</v>
      </c>
      <c r="C1041" s="24" t="s">
        <v>603</v>
      </c>
      <c r="D1041" s="31">
        <f t="shared" si="308"/>
        <v>3164601.1799999997</v>
      </c>
      <c r="E1041" s="31">
        <v>0</v>
      </c>
      <c r="F1041" s="31">
        <v>0</v>
      </c>
      <c r="G1041" s="31">
        <v>0</v>
      </c>
      <c r="H1041" s="31">
        <v>0</v>
      </c>
      <c r="I1041" s="31">
        <v>0</v>
      </c>
      <c r="J1041" s="31">
        <v>0</v>
      </c>
      <c r="K1041" s="33">
        <v>0</v>
      </c>
      <c r="L1041" s="31">
        <v>0</v>
      </c>
      <c r="M1041" s="31">
        <v>0</v>
      </c>
      <c r="N1041" s="31">
        <v>0</v>
      </c>
      <c r="O1041" s="31">
        <v>0</v>
      </c>
      <c r="P1041" s="31">
        <v>0</v>
      </c>
      <c r="Q1041" s="31">
        <v>1670</v>
      </c>
      <c r="R1041" s="31">
        <v>3019311.51</v>
      </c>
      <c r="S1041" s="31">
        <v>0</v>
      </c>
      <c r="T1041" s="31">
        <v>0</v>
      </c>
      <c r="U1041" s="31">
        <v>0</v>
      </c>
      <c r="V1041" s="31">
        <v>0</v>
      </c>
      <c r="W1041" s="31">
        <v>0</v>
      </c>
      <c r="X1041" s="31">
        <v>0</v>
      </c>
      <c r="Y1041" s="31">
        <v>0</v>
      </c>
      <c r="Z1041" s="31">
        <v>0</v>
      </c>
      <c r="AA1041" s="31">
        <v>0</v>
      </c>
      <c r="AB1041" s="31">
        <v>0</v>
      </c>
      <c r="AC1041" s="31">
        <v>45289.67</v>
      </c>
      <c r="AD1041" s="31">
        <v>100000</v>
      </c>
      <c r="AE1041" s="31">
        <v>0</v>
      </c>
      <c r="AF1041" s="34">
        <v>2022</v>
      </c>
      <c r="AG1041" s="34">
        <v>2022</v>
      </c>
      <c r="AH1041" s="35">
        <v>2022</v>
      </c>
      <c r="AT1041" s="20" t="e">
        <f t="shared" si="310"/>
        <v>#N/A</v>
      </c>
      <c r="BZ1041" s="71"/>
    </row>
    <row r="1042" spans="1:82" ht="61.5" x14ac:dyDescent="0.85">
      <c r="A1042" s="20">
        <v>1</v>
      </c>
      <c r="B1042" s="66">
        <f>SUBTOTAL(103,$A$1006:A1042)</f>
        <v>37</v>
      </c>
      <c r="C1042" s="24" t="s">
        <v>604</v>
      </c>
      <c r="D1042" s="31">
        <f t="shared" si="308"/>
        <v>1146986.94</v>
      </c>
      <c r="E1042" s="31">
        <v>0</v>
      </c>
      <c r="F1042" s="31">
        <v>0</v>
      </c>
      <c r="G1042" s="31">
        <v>0</v>
      </c>
      <c r="H1042" s="31">
        <v>0</v>
      </c>
      <c r="I1042" s="31">
        <v>0</v>
      </c>
      <c r="J1042" s="31">
        <v>0</v>
      </c>
      <c r="K1042" s="33">
        <v>0</v>
      </c>
      <c r="L1042" s="31">
        <v>0</v>
      </c>
      <c r="M1042" s="31">
        <v>235</v>
      </c>
      <c r="N1042" s="31">
        <v>1031514.23</v>
      </c>
      <c r="O1042" s="31">
        <v>0</v>
      </c>
      <c r="P1042" s="31">
        <v>0</v>
      </c>
      <c r="Q1042" s="31">
        <v>0</v>
      </c>
      <c r="R1042" s="31">
        <v>0</v>
      </c>
      <c r="S1042" s="31">
        <v>0</v>
      </c>
      <c r="T1042" s="31">
        <v>0</v>
      </c>
      <c r="U1042" s="31">
        <v>0</v>
      </c>
      <c r="V1042" s="31">
        <v>0</v>
      </c>
      <c r="W1042" s="31">
        <v>0</v>
      </c>
      <c r="X1042" s="31">
        <v>0</v>
      </c>
      <c r="Y1042" s="31">
        <v>0</v>
      </c>
      <c r="Z1042" s="31">
        <v>0</v>
      </c>
      <c r="AA1042" s="31">
        <v>0</v>
      </c>
      <c r="AB1042" s="31">
        <v>0</v>
      </c>
      <c r="AC1042" s="31">
        <v>15472.71</v>
      </c>
      <c r="AD1042" s="31">
        <v>100000</v>
      </c>
      <c r="AE1042" s="31">
        <v>0</v>
      </c>
      <c r="AF1042" s="34">
        <v>2022</v>
      </c>
      <c r="AG1042" s="34">
        <v>2022</v>
      </c>
      <c r="AH1042" s="35">
        <v>2022</v>
      </c>
      <c r="AT1042" s="20" t="e">
        <f t="shared" si="310"/>
        <v>#N/A</v>
      </c>
      <c r="BZ1042" s="71"/>
    </row>
    <row r="1043" spans="1:82" ht="61.5" x14ac:dyDescent="0.85">
      <c r="A1043" s="20">
        <v>1</v>
      </c>
      <c r="B1043" s="66">
        <f>SUBTOTAL(103,$A$1006:A1043)</f>
        <v>38</v>
      </c>
      <c r="C1043" s="24" t="s">
        <v>605</v>
      </c>
      <c r="D1043" s="31">
        <f t="shared" si="308"/>
        <v>3616149.44</v>
      </c>
      <c r="E1043" s="31">
        <v>0</v>
      </c>
      <c r="F1043" s="31">
        <v>0</v>
      </c>
      <c r="G1043" s="31">
        <v>0</v>
      </c>
      <c r="H1043" s="31">
        <v>0</v>
      </c>
      <c r="I1043" s="31">
        <v>0</v>
      </c>
      <c r="J1043" s="31">
        <v>0</v>
      </c>
      <c r="K1043" s="33">
        <v>0</v>
      </c>
      <c r="L1043" s="31">
        <v>0</v>
      </c>
      <c r="M1043" s="31">
        <v>765</v>
      </c>
      <c r="N1043" s="31">
        <v>3464186.64</v>
      </c>
      <c r="O1043" s="31">
        <v>0</v>
      </c>
      <c r="P1043" s="31">
        <v>0</v>
      </c>
      <c r="Q1043" s="31">
        <v>0</v>
      </c>
      <c r="R1043" s="31">
        <v>0</v>
      </c>
      <c r="S1043" s="31">
        <v>0</v>
      </c>
      <c r="T1043" s="31">
        <v>0</v>
      </c>
      <c r="U1043" s="31">
        <v>0</v>
      </c>
      <c r="V1043" s="31">
        <v>0</v>
      </c>
      <c r="W1043" s="31">
        <v>0</v>
      </c>
      <c r="X1043" s="31">
        <v>0</v>
      </c>
      <c r="Y1043" s="31">
        <v>0</v>
      </c>
      <c r="Z1043" s="31">
        <v>0</v>
      </c>
      <c r="AA1043" s="31">
        <v>0</v>
      </c>
      <c r="AB1043" s="31">
        <v>0</v>
      </c>
      <c r="AC1043" s="31">
        <v>51962.8</v>
      </c>
      <c r="AD1043" s="31">
        <v>100000</v>
      </c>
      <c r="AE1043" s="31">
        <v>0</v>
      </c>
      <c r="AF1043" s="34">
        <v>2022</v>
      </c>
      <c r="AG1043" s="34">
        <v>2022</v>
      </c>
      <c r="AH1043" s="35">
        <v>2022</v>
      </c>
      <c r="AT1043" s="20" t="e">
        <f t="shared" si="310"/>
        <v>#N/A</v>
      </c>
      <c r="BZ1043" s="71"/>
    </row>
    <row r="1044" spans="1:82" ht="61.5" x14ac:dyDescent="0.85">
      <c r="A1044" s="20">
        <v>1</v>
      </c>
      <c r="B1044" s="66">
        <f>SUBTOTAL(103,$A$1006:A1044)</f>
        <v>39</v>
      </c>
      <c r="C1044" s="24" t="s">
        <v>1386</v>
      </c>
      <c r="D1044" s="31">
        <f t="shared" si="308"/>
        <v>8004176.46</v>
      </c>
      <c r="E1044" s="31">
        <v>0</v>
      </c>
      <c r="F1044" s="31">
        <v>0</v>
      </c>
      <c r="G1044" s="31">
        <v>0</v>
      </c>
      <c r="H1044" s="31">
        <v>0</v>
      </c>
      <c r="I1044" s="31">
        <v>0</v>
      </c>
      <c r="J1044" s="31">
        <v>0</v>
      </c>
      <c r="K1044" s="33">
        <v>0</v>
      </c>
      <c r="L1044" s="31">
        <v>0</v>
      </c>
      <c r="M1044" s="31">
        <v>2314</v>
      </c>
      <c r="N1044" s="31">
        <v>7724464.79</v>
      </c>
      <c r="O1044" s="31">
        <v>0</v>
      </c>
      <c r="P1044" s="31">
        <v>0</v>
      </c>
      <c r="Q1044" s="31">
        <v>0</v>
      </c>
      <c r="R1044" s="31">
        <v>0</v>
      </c>
      <c r="S1044" s="31">
        <v>0</v>
      </c>
      <c r="T1044" s="31">
        <v>0</v>
      </c>
      <c r="U1044" s="31">
        <v>0</v>
      </c>
      <c r="V1044" s="31">
        <v>0</v>
      </c>
      <c r="W1044" s="31">
        <v>0</v>
      </c>
      <c r="X1044" s="31">
        <v>0</v>
      </c>
      <c r="Y1044" s="31">
        <v>0</v>
      </c>
      <c r="Z1044" s="31">
        <v>0</v>
      </c>
      <c r="AA1044" s="31">
        <v>0</v>
      </c>
      <c r="AB1044" s="31">
        <v>0</v>
      </c>
      <c r="AC1044" s="31">
        <v>115866.97</v>
      </c>
      <c r="AD1044" s="31">
        <v>163844.70000000001</v>
      </c>
      <c r="AE1044" s="31">
        <v>0</v>
      </c>
      <c r="AF1044" s="34">
        <v>2022</v>
      </c>
      <c r="AG1044" s="34">
        <v>2022</v>
      </c>
      <c r="AH1044" s="35">
        <v>2022</v>
      </c>
      <c r="BZ1044" s="71"/>
    </row>
    <row r="1045" spans="1:82" ht="61.5" x14ac:dyDescent="0.85">
      <c r="A1045" s="20">
        <v>1</v>
      </c>
      <c r="B1045" s="66">
        <f>SUBTOTAL(103,$A$1006:A1045)</f>
        <v>40</v>
      </c>
      <c r="C1045" s="24" t="s">
        <v>1646</v>
      </c>
      <c r="D1045" s="31">
        <f t="shared" si="308"/>
        <v>5986250</v>
      </c>
      <c r="E1045" s="31">
        <v>0</v>
      </c>
      <c r="F1045" s="31">
        <v>0</v>
      </c>
      <c r="G1045" s="31">
        <v>0</v>
      </c>
      <c r="H1045" s="31">
        <v>0</v>
      </c>
      <c r="I1045" s="31">
        <v>0</v>
      </c>
      <c r="J1045" s="31">
        <v>0</v>
      </c>
      <c r="K1045" s="33">
        <v>0</v>
      </c>
      <c r="L1045" s="31">
        <v>0</v>
      </c>
      <c r="M1045" s="31">
        <v>1196</v>
      </c>
      <c r="N1045" s="31">
        <v>5750000</v>
      </c>
      <c r="O1045" s="31">
        <v>0</v>
      </c>
      <c r="P1045" s="31">
        <v>0</v>
      </c>
      <c r="Q1045" s="31">
        <v>0</v>
      </c>
      <c r="R1045" s="31">
        <v>0</v>
      </c>
      <c r="S1045" s="31">
        <v>0</v>
      </c>
      <c r="T1045" s="31">
        <v>0</v>
      </c>
      <c r="U1045" s="31">
        <v>0</v>
      </c>
      <c r="V1045" s="31">
        <v>0</v>
      </c>
      <c r="W1045" s="31">
        <v>0</v>
      </c>
      <c r="X1045" s="31">
        <v>0</v>
      </c>
      <c r="Y1045" s="31">
        <v>0</v>
      </c>
      <c r="Z1045" s="31">
        <v>0</v>
      </c>
      <c r="AA1045" s="31">
        <v>0</v>
      </c>
      <c r="AB1045" s="31">
        <v>0</v>
      </c>
      <c r="AC1045" s="31">
        <v>86250</v>
      </c>
      <c r="AD1045" s="31">
        <v>150000</v>
      </c>
      <c r="AE1045" s="31">
        <v>0</v>
      </c>
      <c r="AF1045" s="34">
        <v>2022</v>
      </c>
      <c r="AG1045" s="34">
        <v>2022</v>
      </c>
      <c r="AH1045" s="35">
        <v>2022</v>
      </c>
      <c r="BZ1045" s="71"/>
    </row>
    <row r="1046" spans="1:82" ht="61.5" x14ac:dyDescent="0.85">
      <c r="A1046" s="20">
        <v>1</v>
      </c>
      <c r="B1046" s="66">
        <f>SUBTOTAL(103,$A$1006:A1046)</f>
        <v>41</v>
      </c>
      <c r="C1046" s="24" t="s">
        <v>1629</v>
      </c>
      <c r="D1046" s="31">
        <f t="shared" si="308"/>
        <v>7471186.2199999997</v>
      </c>
      <c r="E1046" s="31">
        <v>0</v>
      </c>
      <c r="F1046" s="31">
        <v>0</v>
      </c>
      <c r="G1046" s="31">
        <v>0</v>
      </c>
      <c r="H1046" s="31">
        <v>0</v>
      </c>
      <c r="I1046" s="31">
        <v>0</v>
      </c>
      <c r="J1046" s="31">
        <v>0</v>
      </c>
      <c r="K1046" s="33">
        <v>0</v>
      </c>
      <c r="L1046" s="31">
        <v>0</v>
      </c>
      <c r="M1046" s="31">
        <v>1626.8</v>
      </c>
      <c r="N1046" s="31">
        <v>7262252.4299999997</v>
      </c>
      <c r="O1046" s="31">
        <v>0</v>
      </c>
      <c r="P1046" s="31">
        <v>0</v>
      </c>
      <c r="Q1046" s="31">
        <v>0</v>
      </c>
      <c r="R1046" s="31">
        <v>0</v>
      </c>
      <c r="S1046" s="31">
        <v>0</v>
      </c>
      <c r="T1046" s="31">
        <v>0</v>
      </c>
      <c r="U1046" s="31">
        <v>0</v>
      </c>
      <c r="V1046" s="31">
        <v>0</v>
      </c>
      <c r="W1046" s="31">
        <v>0</v>
      </c>
      <c r="X1046" s="31">
        <v>0</v>
      </c>
      <c r="Y1046" s="31">
        <v>0</v>
      </c>
      <c r="Z1046" s="31">
        <v>0</v>
      </c>
      <c r="AA1046" s="31">
        <v>0</v>
      </c>
      <c r="AB1046" s="31">
        <v>0</v>
      </c>
      <c r="AC1046" s="31">
        <v>108933.79</v>
      </c>
      <c r="AD1046" s="31">
        <v>100000</v>
      </c>
      <c r="AE1046" s="31">
        <v>0</v>
      </c>
      <c r="AF1046" s="34">
        <v>2022</v>
      </c>
      <c r="AG1046" s="34">
        <v>2022</v>
      </c>
      <c r="AH1046" s="35">
        <v>2022</v>
      </c>
      <c r="BZ1046" s="71"/>
    </row>
    <row r="1047" spans="1:82" ht="61.5" x14ac:dyDescent="0.85">
      <c r="A1047" s="20">
        <v>1</v>
      </c>
      <c r="B1047" s="66">
        <f>SUBTOTAL(103,$A$1006:A1047)</f>
        <v>42</v>
      </c>
      <c r="C1047" s="24" t="s">
        <v>607</v>
      </c>
      <c r="D1047" s="31">
        <f t="shared" si="308"/>
        <v>3650462.6100000003</v>
      </c>
      <c r="E1047" s="31">
        <v>0</v>
      </c>
      <c r="F1047" s="31">
        <v>0</v>
      </c>
      <c r="G1047" s="31">
        <v>0</v>
      </c>
      <c r="H1047" s="31">
        <v>0</v>
      </c>
      <c r="I1047" s="31">
        <v>0</v>
      </c>
      <c r="J1047" s="31">
        <v>0</v>
      </c>
      <c r="K1047" s="33">
        <v>0</v>
      </c>
      <c r="L1047" s="31">
        <v>0</v>
      </c>
      <c r="M1047" s="31">
        <v>807.01</v>
      </c>
      <c r="N1047" s="31">
        <v>3497992.72</v>
      </c>
      <c r="O1047" s="31">
        <v>0</v>
      </c>
      <c r="P1047" s="31">
        <v>0</v>
      </c>
      <c r="Q1047" s="31">
        <v>0</v>
      </c>
      <c r="R1047" s="31">
        <v>0</v>
      </c>
      <c r="S1047" s="31">
        <v>0</v>
      </c>
      <c r="T1047" s="31">
        <v>0</v>
      </c>
      <c r="U1047" s="31">
        <v>0</v>
      </c>
      <c r="V1047" s="31">
        <v>0</v>
      </c>
      <c r="W1047" s="31">
        <v>0</v>
      </c>
      <c r="X1047" s="31">
        <v>0</v>
      </c>
      <c r="Y1047" s="31">
        <v>0</v>
      </c>
      <c r="Z1047" s="31">
        <v>0</v>
      </c>
      <c r="AA1047" s="31">
        <v>0</v>
      </c>
      <c r="AB1047" s="31">
        <v>0</v>
      </c>
      <c r="AC1047" s="31">
        <v>52469.89</v>
      </c>
      <c r="AD1047" s="31">
        <v>100000</v>
      </c>
      <c r="AE1047" s="31">
        <v>0</v>
      </c>
      <c r="AF1047" s="34">
        <v>2022</v>
      </c>
      <c r="AG1047" s="34">
        <v>2022</v>
      </c>
      <c r="AH1047" s="35">
        <v>2022</v>
      </c>
      <c r="AT1047" s="20" t="e">
        <f t="shared" ref="AT1047:AT1057" si="311">VLOOKUP(C1047,AW:AX,2,FALSE)</f>
        <v>#N/A</v>
      </c>
      <c r="BZ1047" s="71"/>
    </row>
    <row r="1048" spans="1:82" ht="61.5" x14ac:dyDescent="0.85">
      <c r="A1048" s="20">
        <v>1</v>
      </c>
      <c r="B1048" s="66">
        <f>SUBTOTAL(103,$A$1006:A1048)</f>
        <v>43</v>
      </c>
      <c r="C1048" s="24" t="s">
        <v>608</v>
      </c>
      <c r="D1048" s="31">
        <f t="shared" si="308"/>
        <v>4365711.66</v>
      </c>
      <c r="E1048" s="31">
        <v>0</v>
      </c>
      <c r="F1048" s="31">
        <v>0</v>
      </c>
      <c r="G1048" s="31">
        <v>0</v>
      </c>
      <c r="H1048" s="31">
        <v>0</v>
      </c>
      <c r="I1048" s="31">
        <v>0</v>
      </c>
      <c r="J1048" s="31">
        <v>0</v>
      </c>
      <c r="K1048" s="33">
        <v>0</v>
      </c>
      <c r="L1048" s="31">
        <v>0</v>
      </c>
      <c r="M1048" s="31">
        <v>975</v>
      </c>
      <c r="N1048" s="31">
        <v>4202671.59</v>
      </c>
      <c r="O1048" s="31">
        <v>0</v>
      </c>
      <c r="P1048" s="31">
        <v>0</v>
      </c>
      <c r="Q1048" s="31">
        <v>0</v>
      </c>
      <c r="R1048" s="31">
        <v>0</v>
      </c>
      <c r="S1048" s="31">
        <v>0</v>
      </c>
      <c r="T1048" s="31">
        <v>0</v>
      </c>
      <c r="U1048" s="31">
        <v>0</v>
      </c>
      <c r="V1048" s="31">
        <v>0</v>
      </c>
      <c r="W1048" s="31">
        <v>0</v>
      </c>
      <c r="X1048" s="31">
        <v>0</v>
      </c>
      <c r="Y1048" s="31">
        <v>0</v>
      </c>
      <c r="Z1048" s="31">
        <v>0</v>
      </c>
      <c r="AA1048" s="31">
        <v>0</v>
      </c>
      <c r="AB1048" s="31">
        <v>0</v>
      </c>
      <c r="AC1048" s="31">
        <v>63040.07</v>
      </c>
      <c r="AD1048" s="31">
        <v>100000</v>
      </c>
      <c r="AE1048" s="31">
        <v>0</v>
      </c>
      <c r="AF1048" s="34">
        <v>2022</v>
      </c>
      <c r="AG1048" s="34">
        <v>2022</v>
      </c>
      <c r="AH1048" s="35">
        <v>2022</v>
      </c>
      <c r="AT1048" s="20" t="e">
        <f t="shared" si="311"/>
        <v>#N/A</v>
      </c>
      <c r="BZ1048" s="71"/>
    </row>
    <row r="1049" spans="1:82" ht="61.5" x14ac:dyDescent="0.85">
      <c r="A1049" s="20">
        <v>1</v>
      </c>
      <c r="B1049" s="66">
        <f>SUBTOTAL(103,$A$1006:A1049)</f>
        <v>44</v>
      </c>
      <c r="C1049" s="24" t="s">
        <v>609</v>
      </c>
      <c r="D1049" s="31">
        <f t="shared" si="308"/>
        <v>3645858.66</v>
      </c>
      <c r="E1049" s="31">
        <v>0</v>
      </c>
      <c r="F1049" s="31">
        <v>0</v>
      </c>
      <c r="G1049" s="31">
        <v>0</v>
      </c>
      <c r="H1049" s="31">
        <v>0</v>
      </c>
      <c r="I1049" s="31">
        <v>0</v>
      </c>
      <c r="J1049" s="31">
        <v>0</v>
      </c>
      <c r="K1049" s="33">
        <v>0</v>
      </c>
      <c r="L1049" s="31">
        <v>0</v>
      </c>
      <c r="M1049" s="31">
        <v>771.25</v>
      </c>
      <c r="N1049" s="31">
        <v>3493456.81</v>
      </c>
      <c r="O1049" s="31">
        <v>0</v>
      </c>
      <c r="P1049" s="31">
        <v>0</v>
      </c>
      <c r="Q1049" s="31">
        <v>0</v>
      </c>
      <c r="R1049" s="31">
        <v>0</v>
      </c>
      <c r="S1049" s="31">
        <v>0</v>
      </c>
      <c r="T1049" s="31">
        <v>0</v>
      </c>
      <c r="U1049" s="31">
        <v>0</v>
      </c>
      <c r="V1049" s="31">
        <v>0</v>
      </c>
      <c r="W1049" s="31">
        <v>0</v>
      </c>
      <c r="X1049" s="31">
        <v>0</v>
      </c>
      <c r="Y1049" s="31">
        <v>0</v>
      </c>
      <c r="Z1049" s="31">
        <v>0</v>
      </c>
      <c r="AA1049" s="31">
        <v>0</v>
      </c>
      <c r="AB1049" s="31">
        <v>0</v>
      </c>
      <c r="AC1049" s="31">
        <v>52401.85</v>
      </c>
      <c r="AD1049" s="31">
        <v>100000</v>
      </c>
      <c r="AE1049" s="31">
        <v>0</v>
      </c>
      <c r="AF1049" s="34">
        <v>2022</v>
      </c>
      <c r="AG1049" s="34">
        <v>2022</v>
      </c>
      <c r="AH1049" s="35">
        <v>2022</v>
      </c>
      <c r="AT1049" s="20" t="e">
        <f t="shared" si="311"/>
        <v>#N/A</v>
      </c>
      <c r="BZ1049" s="71"/>
    </row>
    <row r="1050" spans="1:82" ht="61.5" x14ac:dyDescent="0.85">
      <c r="A1050" s="20">
        <v>1</v>
      </c>
      <c r="B1050" s="66">
        <f>SUBTOTAL(103,$A$1006:A1050)</f>
        <v>45</v>
      </c>
      <c r="C1050" s="24" t="s">
        <v>610</v>
      </c>
      <c r="D1050" s="31">
        <f t="shared" si="308"/>
        <v>4560834.87</v>
      </c>
      <c r="E1050" s="31">
        <v>0</v>
      </c>
      <c r="F1050" s="31">
        <v>0</v>
      </c>
      <c r="G1050" s="31">
        <v>0</v>
      </c>
      <c r="H1050" s="31">
        <v>0</v>
      </c>
      <c r="I1050" s="31">
        <v>0</v>
      </c>
      <c r="J1050" s="31">
        <v>0</v>
      </c>
      <c r="K1050" s="33">
        <v>0</v>
      </c>
      <c r="L1050" s="31">
        <v>0</v>
      </c>
      <c r="M1050" s="31">
        <v>963.75</v>
      </c>
      <c r="N1050" s="31">
        <v>4394911.2</v>
      </c>
      <c r="O1050" s="31">
        <v>0</v>
      </c>
      <c r="P1050" s="31">
        <v>0</v>
      </c>
      <c r="Q1050" s="31">
        <v>0</v>
      </c>
      <c r="R1050" s="31">
        <v>0</v>
      </c>
      <c r="S1050" s="31">
        <v>0</v>
      </c>
      <c r="T1050" s="31">
        <v>0</v>
      </c>
      <c r="U1050" s="31">
        <v>0</v>
      </c>
      <c r="V1050" s="31">
        <v>0</v>
      </c>
      <c r="W1050" s="31">
        <v>0</v>
      </c>
      <c r="X1050" s="31">
        <v>0</v>
      </c>
      <c r="Y1050" s="31">
        <v>0</v>
      </c>
      <c r="Z1050" s="31">
        <v>0</v>
      </c>
      <c r="AA1050" s="31">
        <v>0</v>
      </c>
      <c r="AB1050" s="31">
        <v>0</v>
      </c>
      <c r="AC1050" s="31">
        <v>65923.67</v>
      </c>
      <c r="AD1050" s="31">
        <v>100000</v>
      </c>
      <c r="AE1050" s="31">
        <v>0</v>
      </c>
      <c r="AF1050" s="34">
        <v>2022</v>
      </c>
      <c r="AG1050" s="34">
        <v>2022</v>
      </c>
      <c r="AH1050" s="35">
        <v>2022</v>
      </c>
      <c r="AT1050" s="20" t="e">
        <f t="shared" si="311"/>
        <v>#N/A</v>
      </c>
      <c r="BZ1050" s="71"/>
    </row>
    <row r="1051" spans="1:82" ht="61.5" x14ac:dyDescent="0.85">
      <c r="A1051" s="20">
        <v>1</v>
      </c>
      <c r="B1051" s="66">
        <f>SUBTOTAL(103,$A$1006:A1051)</f>
        <v>46</v>
      </c>
      <c r="C1051" s="24" t="s">
        <v>498</v>
      </c>
      <c r="D1051" s="31">
        <f t="shared" si="308"/>
        <v>2200000</v>
      </c>
      <c r="E1051" s="31">
        <v>0</v>
      </c>
      <c r="F1051" s="31">
        <v>0</v>
      </c>
      <c r="G1051" s="31">
        <v>0</v>
      </c>
      <c r="H1051" s="31">
        <v>0</v>
      </c>
      <c r="I1051" s="31">
        <v>0</v>
      </c>
      <c r="J1051" s="31">
        <v>0</v>
      </c>
      <c r="K1051" s="33">
        <v>1</v>
      </c>
      <c r="L1051" s="31">
        <v>2100000</v>
      </c>
      <c r="M1051" s="31">
        <v>0</v>
      </c>
      <c r="N1051" s="31">
        <v>0</v>
      </c>
      <c r="O1051" s="31">
        <v>0</v>
      </c>
      <c r="P1051" s="31">
        <v>0</v>
      </c>
      <c r="Q1051" s="31">
        <v>0</v>
      </c>
      <c r="R1051" s="31">
        <v>0</v>
      </c>
      <c r="S1051" s="31">
        <v>0</v>
      </c>
      <c r="T1051" s="31">
        <v>0</v>
      </c>
      <c r="U1051" s="31">
        <v>0</v>
      </c>
      <c r="V1051" s="31">
        <v>0</v>
      </c>
      <c r="W1051" s="31">
        <v>0</v>
      </c>
      <c r="X1051" s="31">
        <v>0</v>
      </c>
      <c r="Y1051" s="31">
        <v>0</v>
      </c>
      <c r="Z1051" s="31">
        <v>0</v>
      </c>
      <c r="AA1051" s="31">
        <v>0</v>
      </c>
      <c r="AB1051" s="31">
        <v>0</v>
      </c>
      <c r="AC1051" s="31">
        <v>0</v>
      </c>
      <c r="AD1051" s="31">
        <v>100000</v>
      </c>
      <c r="AE1051" s="31">
        <v>0</v>
      </c>
      <c r="AF1051" s="34">
        <v>2022</v>
      </c>
      <c r="AG1051" s="34">
        <v>2022</v>
      </c>
      <c r="AH1051" s="35" t="s">
        <v>270</v>
      </c>
      <c r="AT1051" s="20" t="e">
        <f t="shared" si="311"/>
        <v>#N/A</v>
      </c>
      <c r="BZ1051" s="71"/>
    </row>
    <row r="1052" spans="1:82" ht="61.5" x14ac:dyDescent="0.85">
      <c r="A1052" s="20">
        <v>1</v>
      </c>
      <c r="B1052" s="66">
        <f>SUBTOTAL(103,$A$1006:A1052)</f>
        <v>47</v>
      </c>
      <c r="C1052" s="24" t="s">
        <v>1073</v>
      </c>
      <c r="D1052" s="31">
        <f t="shared" si="308"/>
        <v>6400000</v>
      </c>
      <c r="E1052" s="31">
        <v>0</v>
      </c>
      <c r="F1052" s="31">
        <v>0</v>
      </c>
      <c r="G1052" s="31">
        <v>0</v>
      </c>
      <c r="H1052" s="31">
        <v>0</v>
      </c>
      <c r="I1052" s="31">
        <v>0</v>
      </c>
      <c r="J1052" s="31">
        <v>0</v>
      </c>
      <c r="K1052" s="33">
        <v>3</v>
      </c>
      <c r="L1052" s="31">
        <v>6300000</v>
      </c>
      <c r="M1052" s="31">
        <v>0</v>
      </c>
      <c r="N1052" s="31">
        <v>0</v>
      </c>
      <c r="O1052" s="31">
        <v>0</v>
      </c>
      <c r="P1052" s="31">
        <v>0</v>
      </c>
      <c r="Q1052" s="31">
        <v>0</v>
      </c>
      <c r="R1052" s="31">
        <v>0</v>
      </c>
      <c r="S1052" s="31">
        <v>0</v>
      </c>
      <c r="T1052" s="31">
        <v>0</v>
      </c>
      <c r="U1052" s="31">
        <v>0</v>
      </c>
      <c r="V1052" s="31">
        <v>0</v>
      </c>
      <c r="W1052" s="31">
        <v>0</v>
      </c>
      <c r="X1052" s="31">
        <v>0</v>
      </c>
      <c r="Y1052" s="31">
        <v>0</v>
      </c>
      <c r="Z1052" s="31">
        <v>0</v>
      </c>
      <c r="AA1052" s="31">
        <v>0</v>
      </c>
      <c r="AB1052" s="31">
        <v>0</v>
      </c>
      <c r="AC1052" s="31">
        <v>0</v>
      </c>
      <c r="AD1052" s="31">
        <v>100000</v>
      </c>
      <c r="AE1052" s="31">
        <v>0</v>
      </c>
      <c r="AF1052" s="34">
        <v>2022</v>
      </c>
      <c r="AG1052" s="34">
        <v>2022</v>
      </c>
      <c r="AH1052" s="35" t="s">
        <v>270</v>
      </c>
      <c r="AT1052" s="20" t="e">
        <f t="shared" si="311"/>
        <v>#N/A</v>
      </c>
      <c r="BZ1052" s="71"/>
    </row>
    <row r="1053" spans="1:82" ht="61.5" x14ac:dyDescent="0.85">
      <c r="A1053" s="20">
        <v>1</v>
      </c>
      <c r="B1053" s="66">
        <f>SUBTOTAL(103,$A$1006:A1053)</f>
        <v>48</v>
      </c>
      <c r="C1053" s="24" t="s">
        <v>1698</v>
      </c>
      <c r="D1053" s="31">
        <f t="shared" si="308"/>
        <v>5164136.5</v>
      </c>
      <c r="E1053" s="31">
        <v>0</v>
      </c>
      <c r="F1053" s="31">
        <v>0</v>
      </c>
      <c r="G1053" s="31">
        <v>0</v>
      </c>
      <c r="H1053" s="31">
        <v>0</v>
      </c>
      <c r="I1053" s="31">
        <v>0</v>
      </c>
      <c r="J1053" s="31">
        <v>0</v>
      </c>
      <c r="K1053" s="33">
        <v>0</v>
      </c>
      <c r="L1053" s="31">
        <v>0</v>
      </c>
      <c r="M1053" s="31">
        <v>1234</v>
      </c>
      <c r="N1053" s="31">
        <v>4987819.21</v>
      </c>
      <c r="O1053" s="31">
        <v>0</v>
      </c>
      <c r="P1053" s="31">
        <v>0</v>
      </c>
      <c r="Q1053" s="31">
        <v>0</v>
      </c>
      <c r="R1053" s="31">
        <v>0</v>
      </c>
      <c r="S1053" s="31">
        <v>0</v>
      </c>
      <c r="T1053" s="31">
        <v>0</v>
      </c>
      <c r="U1053" s="31">
        <v>0</v>
      </c>
      <c r="V1053" s="31">
        <v>0</v>
      </c>
      <c r="W1053" s="31">
        <v>0</v>
      </c>
      <c r="X1053" s="31">
        <v>0</v>
      </c>
      <c r="Y1053" s="31">
        <v>0</v>
      </c>
      <c r="Z1053" s="31">
        <v>0</v>
      </c>
      <c r="AA1053" s="31">
        <v>0</v>
      </c>
      <c r="AB1053" s="31">
        <v>0</v>
      </c>
      <c r="AC1053" s="31">
        <v>74817.289999999994</v>
      </c>
      <c r="AD1053" s="31">
        <v>101500</v>
      </c>
      <c r="AE1053" s="31">
        <v>0</v>
      </c>
      <c r="AF1053" s="34">
        <v>2022</v>
      </c>
      <c r="AG1053" s="34">
        <v>2022</v>
      </c>
      <c r="AH1053" s="35">
        <v>2022</v>
      </c>
      <c r="AT1053" s="20" t="e">
        <f t="shared" si="311"/>
        <v>#N/A</v>
      </c>
      <c r="BZ1053" s="71"/>
    </row>
    <row r="1054" spans="1:82" ht="61.5" x14ac:dyDescent="0.85">
      <c r="A1054" s="20">
        <v>1</v>
      </c>
      <c r="B1054" s="66">
        <f>SUBTOTAL(103,$A$1006:A1054)</f>
        <v>49</v>
      </c>
      <c r="C1054" s="24" t="s">
        <v>1699</v>
      </c>
      <c r="D1054" s="31">
        <f t="shared" si="308"/>
        <v>4900259.8</v>
      </c>
      <c r="E1054" s="31">
        <v>0</v>
      </c>
      <c r="F1054" s="31">
        <v>0</v>
      </c>
      <c r="G1054" s="31">
        <v>0</v>
      </c>
      <c r="H1054" s="31">
        <v>0</v>
      </c>
      <c r="I1054" s="31">
        <v>0</v>
      </c>
      <c r="J1054" s="31">
        <v>0</v>
      </c>
      <c r="K1054" s="33">
        <v>0</v>
      </c>
      <c r="L1054" s="31">
        <v>0</v>
      </c>
      <c r="M1054" s="31">
        <v>1200</v>
      </c>
      <c r="N1054" s="31">
        <v>4729320</v>
      </c>
      <c r="O1054" s="31">
        <v>0</v>
      </c>
      <c r="P1054" s="31">
        <v>0</v>
      </c>
      <c r="Q1054" s="31">
        <v>0</v>
      </c>
      <c r="R1054" s="31">
        <v>0</v>
      </c>
      <c r="S1054" s="31">
        <v>0</v>
      </c>
      <c r="T1054" s="31">
        <v>0</v>
      </c>
      <c r="U1054" s="31">
        <v>0</v>
      </c>
      <c r="V1054" s="31">
        <v>0</v>
      </c>
      <c r="W1054" s="31">
        <v>0</v>
      </c>
      <c r="X1054" s="31">
        <v>0</v>
      </c>
      <c r="Y1054" s="31">
        <v>0</v>
      </c>
      <c r="Z1054" s="31">
        <v>0</v>
      </c>
      <c r="AA1054" s="31">
        <v>0</v>
      </c>
      <c r="AB1054" s="31">
        <v>0</v>
      </c>
      <c r="AC1054" s="31">
        <v>70939.8</v>
      </c>
      <c r="AD1054" s="31">
        <v>100000</v>
      </c>
      <c r="AE1054" s="31">
        <v>0</v>
      </c>
      <c r="AF1054" s="34">
        <v>2022</v>
      </c>
      <c r="AG1054" s="34">
        <v>2022</v>
      </c>
      <c r="AH1054" s="35">
        <v>2022</v>
      </c>
      <c r="AT1054" s="20" t="e">
        <f t="shared" si="311"/>
        <v>#N/A</v>
      </c>
      <c r="BZ1054" s="71"/>
    </row>
    <row r="1055" spans="1:82" ht="61.5" x14ac:dyDescent="0.85">
      <c r="A1055" s="20">
        <v>1</v>
      </c>
      <c r="B1055" s="66">
        <f>SUBTOTAL(103,$A$1006:A1055)</f>
        <v>50</v>
      </c>
      <c r="C1055" s="24" t="s">
        <v>543</v>
      </c>
      <c r="D1055" s="31">
        <f t="shared" si="308"/>
        <v>3229425.65</v>
      </c>
      <c r="E1055" s="31">
        <v>0</v>
      </c>
      <c r="F1055" s="31">
        <v>0</v>
      </c>
      <c r="G1055" s="31">
        <v>0</v>
      </c>
      <c r="H1055" s="31">
        <v>0</v>
      </c>
      <c r="I1055" s="31">
        <v>0</v>
      </c>
      <c r="J1055" s="31">
        <v>0</v>
      </c>
      <c r="K1055" s="33">
        <v>0</v>
      </c>
      <c r="L1055" s="31">
        <v>0</v>
      </c>
      <c r="M1055" s="31">
        <v>650</v>
      </c>
      <c r="N1055" s="31">
        <v>3083177.98</v>
      </c>
      <c r="O1055" s="31">
        <v>0</v>
      </c>
      <c r="P1055" s="31">
        <v>0</v>
      </c>
      <c r="Q1055" s="31">
        <v>0</v>
      </c>
      <c r="R1055" s="31">
        <v>0</v>
      </c>
      <c r="S1055" s="31">
        <v>0</v>
      </c>
      <c r="T1055" s="31">
        <v>0</v>
      </c>
      <c r="U1055" s="31">
        <v>0</v>
      </c>
      <c r="V1055" s="31">
        <v>0</v>
      </c>
      <c r="W1055" s="31">
        <v>0</v>
      </c>
      <c r="X1055" s="31">
        <v>0</v>
      </c>
      <c r="Y1055" s="31">
        <v>0</v>
      </c>
      <c r="Z1055" s="31">
        <v>0</v>
      </c>
      <c r="AA1055" s="31">
        <v>0</v>
      </c>
      <c r="AB1055" s="31">
        <v>0</v>
      </c>
      <c r="AC1055" s="31">
        <v>46247.67</v>
      </c>
      <c r="AD1055" s="31">
        <v>100000</v>
      </c>
      <c r="AE1055" s="31">
        <v>0</v>
      </c>
      <c r="AF1055" s="34">
        <v>2022</v>
      </c>
      <c r="AG1055" s="34">
        <v>2022</v>
      </c>
      <c r="AH1055" s="35">
        <v>2022</v>
      </c>
      <c r="AT1055" s="20" t="e">
        <f t="shared" si="311"/>
        <v>#N/A</v>
      </c>
      <c r="BZ1055" s="71"/>
      <c r="CD1055" s="20" t="e">
        <f t="shared" ref="CD1055:CD1067" si="312">VLOOKUP(C1055,CE:CF,2,FALSE)</f>
        <v>#N/A</v>
      </c>
    </row>
    <row r="1056" spans="1:82" ht="61.5" x14ac:dyDescent="0.85">
      <c r="A1056" s="20">
        <v>1</v>
      </c>
      <c r="B1056" s="66">
        <f>SUBTOTAL(103,$A$1006:A1056)</f>
        <v>51</v>
      </c>
      <c r="C1056" s="24" t="s">
        <v>546</v>
      </c>
      <c r="D1056" s="31">
        <f t="shared" si="308"/>
        <v>4517275.3499999996</v>
      </c>
      <c r="E1056" s="31">
        <v>0</v>
      </c>
      <c r="F1056" s="31">
        <v>0</v>
      </c>
      <c r="G1056" s="31">
        <v>0</v>
      </c>
      <c r="H1056" s="31">
        <v>0</v>
      </c>
      <c r="I1056" s="31">
        <v>0</v>
      </c>
      <c r="J1056" s="31">
        <v>0</v>
      </c>
      <c r="K1056" s="33">
        <v>0</v>
      </c>
      <c r="L1056" s="31">
        <v>0</v>
      </c>
      <c r="M1056" s="31">
        <v>980</v>
      </c>
      <c r="N1056" s="31">
        <v>4351995.42</v>
      </c>
      <c r="O1056" s="31">
        <v>0</v>
      </c>
      <c r="P1056" s="31">
        <v>0</v>
      </c>
      <c r="Q1056" s="31">
        <v>0</v>
      </c>
      <c r="R1056" s="31">
        <v>0</v>
      </c>
      <c r="S1056" s="31">
        <v>0</v>
      </c>
      <c r="T1056" s="31">
        <v>0</v>
      </c>
      <c r="U1056" s="31">
        <v>0</v>
      </c>
      <c r="V1056" s="31">
        <v>0</v>
      </c>
      <c r="W1056" s="31">
        <v>0</v>
      </c>
      <c r="X1056" s="31">
        <v>0</v>
      </c>
      <c r="Y1056" s="31">
        <v>0</v>
      </c>
      <c r="Z1056" s="31">
        <v>0</v>
      </c>
      <c r="AA1056" s="31">
        <v>0</v>
      </c>
      <c r="AB1056" s="31">
        <v>0</v>
      </c>
      <c r="AC1056" s="31">
        <v>65279.93</v>
      </c>
      <c r="AD1056" s="31">
        <v>100000</v>
      </c>
      <c r="AE1056" s="31">
        <v>0</v>
      </c>
      <c r="AF1056" s="34">
        <v>2022</v>
      </c>
      <c r="AG1056" s="34">
        <v>2022</v>
      </c>
      <c r="AH1056" s="35">
        <v>2022</v>
      </c>
      <c r="AT1056" s="20" t="e">
        <f t="shared" si="311"/>
        <v>#N/A</v>
      </c>
      <c r="BZ1056" s="71"/>
      <c r="CD1056" s="20" t="e">
        <f t="shared" si="312"/>
        <v>#N/A</v>
      </c>
    </row>
    <row r="1057" spans="1:82" ht="61.5" x14ac:dyDescent="0.85">
      <c r="A1057" s="20">
        <v>1</v>
      </c>
      <c r="B1057" s="66">
        <f>SUBTOTAL(103,$A$1006:A1057)</f>
        <v>52</v>
      </c>
      <c r="C1057" s="24" t="s">
        <v>530</v>
      </c>
      <c r="D1057" s="31">
        <f t="shared" si="308"/>
        <v>4625631.57</v>
      </c>
      <c r="E1057" s="31">
        <v>0</v>
      </c>
      <c r="F1057" s="31">
        <v>0</v>
      </c>
      <c r="G1057" s="31">
        <v>0</v>
      </c>
      <c r="H1057" s="31">
        <v>0</v>
      </c>
      <c r="I1057" s="31">
        <v>0</v>
      </c>
      <c r="J1057" s="31">
        <v>0</v>
      </c>
      <c r="K1057" s="33">
        <v>0</v>
      </c>
      <c r="L1057" s="31">
        <v>0</v>
      </c>
      <c r="M1057" s="31">
        <v>940</v>
      </c>
      <c r="N1057" s="31">
        <v>4458750.32</v>
      </c>
      <c r="O1057" s="31">
        <v>0</v>
      </c>
      <c r="P1057" s="31">
        <v>0</v>
      </c>
      <c r="Q1057" s="31">
        <v>0</v>
      </c>
      <c r="R1057" s="31">
        <v>0</v>
      </c>
      <c r="S1057" s="31">
        <v>0</v>
      </c>
      <c r="T1057" s="31">
        <v>0</v>
      </c>
      <c r="U1057" s="31">
        <v>0</v>
      </c>
      <c r="V1057" s="31">
        <v>0</v>
      </c>
      <c r="W1057" s="31">
        <v>0</v>
      </c>
      <c r="X1057" s="31">
        <v>0</v>
      </c>
      <c r="Y1057" s="31">
        <v>0</v>
      </c>
      <c r="Z1057" s="31">
        <v>0</v>
      </c>
      <c r="AA1057" s="31">
        <v>0</v>
      </c>
      <c r="AB1057" s="31">
        <v>0</v>
      </c>
      <c r="AC1057" s="31">
        <v>66881.25</v>
      </c>
      <c r="AD1057" s="31">
        <v>100000</v>
      </c>
      <c r="AE1057" s="31">
        <v>0</v>
      </c>
      <c r="AF1057" s="34">
        <v>2022</v>
      </c>
      <c r="AG1057" s="34">
        <v>2022</v>
      </c>
      <c r="AH1057" s="35">
        <v>2022</v>
      </c>
      <c r="AT1057" s="20" t="e">
        <f t="shared" si="311"/>
        <v>#N/A</v>
      </c>
      <c r="BZ1057" s="71"/>
      <c r="CD1057" s="20" t="e">
        <f t="shared" si="312"/>
        <v>#N/A</v>
      </c>
    </row>
    <row r="1058" spans="1:82" ht="61.5" x14ac:dyDescent="0.85">
      <c r="A1058" s="20">
        <v>1</v>
      </c>
      <c r="B1058" s="66">
        <f>SUBTOTAL(103,$A$1006:A1058)</f>
        <v>53</v>
      </c>
      <c r="C1058" s="24" t="s">
        <v>536</v>
      </c>
      <c r="D1058" s="31">
        <f t="shared" si="308"/>
        <v>4642018.24</v>
      </c>
      <c r="E1058" s="31">
        <v>0</v>
      </c>
      <c r="F1058" s="31">
        <v>0</v>
      </c>
      <c r="G1058" s="31">
        <v>0</v>
      </c>
      <c r="H1058" s="31">
        <v>0</v>
      </c>
      <c r="I1058" s="31">
        <v>0</v>
      </c>
      <c r="J1058" s="31">
        <v>0</v>
      </c>
      <c r="K1058" s="33">
        <v>0</v>
      </c>
      <c r="L1058" s="31">
        <v>0</v>
      </c>
      <c r="M1058" s="31">
        <v>980</v>
      </c>
      <c r="N1058" s="31">
        <v>4474894.82</v>
      </c>
      <c r="O1058" s="31">
        <v>0</v>
      </c>
      <c r="P1058" s="31">
        <v>0</v>
      </c>
      <c r="Q1058" s="31">
        <v>0</v>
      </c>
      <c r="R1058" s="31">
        <v>0</v>
      </c>
      <c r="S1058" s="31">
        <v>0</v>
      </c>
      <c r="T1058" s="31">
        <v>0</v>
      </c>
      <c r="U1058" s="31">
        <v>0</v>
      </c>
      <c r="V1058" s="31">
        <v>0</v>
      </c>
      <c r="W1058" s="31">
        <v>0</v>
      </c>
      <c r="X1058" s="31">
        <v>0</v>
      </c>
      <c r="Y1058" s="31">
        <v>0</v>
      </c>
      <c r="Z1058" s="31">
        <v>0</v>
      </c>
      <c r="AA1058" s="31">
        <v>0</v>
      </c>
      <c r="AB1058" s="31">
        <v>0</v>
      </c>
      <c r="AC1058" s="31">
        <v>67123.42</v>
      </c>
      <c r="AD1058" s="31">
        <v>100000</v>
      </c>
      <c r="AE1058" s="31">
        <v>0</v>
      </c>
      <c r="AF1058" s="34">
        <v>2022</v>
      </c>
      <c r="AG1058" s="34">
        <v>2022</v>
      </c>
      <c r="AH1058" s="35">
        <v>2022</v>
      </c>
      <c r="BZ1058" s="71"/>
      <c r="CD1058" s="20" t="e">
        <f t="shared" si="312"/>
        <v>#N/A</v>
      </c>
    </row>
    <row r="1059" spans="1:82" ht="61.5" x14ac:dyDescent="0.85">
      <c r="A1059" s="20">
        <v>1</v>
      </c>
      <c r="B1059" s="66">
        <f>SUBTOTAL(103,$A$1006:A1059)</f>
        <v>54</v>
      </c>
      <c r="C1059" s="24" t="s">
        <v>554</v>
      </c>
      <c r="D1059" s="31">
        <f t="shared" si="308"/>
        <v>4412836.3</v>
      </c>
      <c r="E1059" s="31">
        <v>0</v>
      </c>
      <c r="F1059" s="31">
        <v>0</v>
      </c>
      <c r="G1059" s="31">
        <v>0</v>
      </c>
      <c r="H1059" s="31">
        <v>0</v>
      </c>
      <c r="I1059" s="31">
        <v>0</v>
      </c>
      <c r="J1059" s="31">
        <v>0</v>
      </c>
      <c r="K1059" s="33">
        <v>0</v>
      </c>
      <c r="L1059" s="31">
        <v>0</v>
      </c>
      <c r="M1059" s="31">
        <v>897.3</v>
      </c>
      <c r="N1059" s="31">
        <v>4199838.72</v>
      </c>
      <c r="O1059" s="31">
        <v>0</v>
      </c>
      <c r="P1059" s="31">
        <v>0</v>
      </c>
      <c r="Q1059" s="31">
        <v>0</v>
      </c>
      <c r="R1059" s="31">
        <v>0</v>
      </c>
      <c r="S1059" s="31">
        <v>0</v>
      </c>
      <c r="T1059" s="31">
        <v>0</v>
      </c>
      <c r="U1059" s="31">
        <v>0</v>
      </c>
      <c r="V1059" s="31">
        <v>0</v>
      </c>
      <c r="W1059" s="31">
        <v>0</v>
      </c>
      <c r="X1059" s="31">
        <v>0</v>
      </c>
      <c r="Y1059" s="31">
        <v>0</v>
      </c>
      <c r="Z1059" s="31">
        <v>0</v>
      </c>
      <c r="AA1059" s="31">
        <v>0</v>
      </c>
      <c r="AB1059" s="31">
        <v>0</v>
      </c>
      <c r="AC1059" s="31">
        <v>62997.58</v>
      </c>
      <c r="AD1059" s="31">
        <v>150000</v>
      </c>
      <c r="AE1059" s="31">
        <v>0</v>
      </c>
      <c r="AF1059" s="34">
        <v>2022</v>
      </c>
      <c r="AG1059" s="34">
        <v>2022</v>
      </c>
      <c r="AH1059" s="35">
        <v>2022</v>
      </c>
      <c r="AT1059" s="20" t="e">
        <f>VLOOKUP(C1059,AW:AX,2,FALSE)</f>
        <v>#N/A</v>
      </c>
      <c r="BZ1059" s="71"/>
      <c r="CD1059" s="20" t="e">
        <f t="shared" si="312"/>
        <v>#N/A</v>
      </c>
    </row>
    <row r="1060" spans="1:82" ht="61.5" x14ac:dyDescent="0.85">
      <c r="A1060" s="20">
        <v>1</v>
      </c>
      <c r="B1060" s="66">
        <f>SUBTOTAL(103,$A$1006:A1060)</f>
        <v>55</v>
      </c>
      <c r="C1060" s="24" t="s">
        <v>487</v>
      </c>
      <c r="D1060" s="31">
        <f t="shared" si="308"/>
        <v>4270645.5</v>
      </c>
      <c r="E1060" s="31">
        <v>0</v>
      </c>
      <c r="F1060" s="31">
        <v>0</v>
      </c>
      <c r="G1060" s="31">
        <v>0</v>
      </c>
      <c r="H1060" s="31">
        <v>0</v>
      </c>
      <c r="I1060" s="31">
        <v>0</v>
      </c>
      <c r="J1060" s="31">
        <v>0</v>
      </c>
      <c r="K1060" s="74">
        <v>0</v>
      </c>
      <c r="L1060" s="31">
        <v>0</v>
      </c>
      <c r="M1060" s="31">
        <v>1089.5999999999999</v>
      </c>
      <c r="N1060" s="31">
        <v>4207532.51</v>
      </c>
      <c r="O1060" s="31">
        <v>0</v>
      </c>
      <c r="P1060" s="31">
        <v>0</v>
      </c>
      <c r="Q1060" s="31">
        <v>0</v>
      </c>
      <c r="R1060" s="31">
        <v>0</v>
      </c>
      <c r="S1060" s="31">
        <v>0</v>
      </c>
      <c r="T1060" s="31">
        <v>0</v>
      </c>
      <c r="U1060" s="31">
        <v>0</v>
      </c>
      <c r="V1060" s="31">
        <v>0</v>
      </c>
      <c r="W1060" s="31">
        <v>0</v>
      </c>
      <c r="X1060" s="31">
        <v>0</v>
      </c>
      <c r="Y1060" s="31">
        <v>0</v>
      </c>
      <c r="Z1060" s="31">
        <v>0</v>
      </c>
      <c r="AA1060" s="31">
        <v>0</v>
      </c>
      <c r="AB1060" s="31">
        <v>0</v>
      </c>
      <c r="AC1060" s="31">
        <v>63112.99</v>
      </c>
      <c r="AD1060" s="31">
        <v>0</v>
      </c>
      <c r="AE1060" s="31">
        <v>0</v>
      </c>
      <c r="AF1060" s="34" t="s">
        <v>270</v>
      </c>
      <c r="AG1060" s="34">
        <v>2022</v>
      </c>
      <c r="AH1060" s="35">
        <v>2022</v>
      </c>
      <c r="BZ1060" s="71"/>
      <c r="CD1060" s="20" t="e">
        <f t="shared" si="312"/>
        <v>#N/A</v>
      </c>
    </row>
    <row r="1061" spans="1:82" ht="61.5" x14ac:dyDescent="0.85">
      <c r="A1061" s="20">
        <v>1</v>
      </c>
      <c r="B1061" s="66">
        <f>SUBTOTAL(103,$A$1006:A1061)</f>
        <v>56</v>
      </c>
      <c r="C1061" s="24" t="s">
        <v>1596</v>
      </c>
      <c r="D1061" s="31">
        <f t="shared" si="308"/>
        <v>2312500.0499999998</v>
      </c>
      <c r="E1061" s="31">
        <v>0</v>
      </c>
      <c r="F1061" s="31">
        <v>0</v>
      </c>
      <c r="G1061" s="31">
        <v>0</v>
      </c>
      <c r="H1061" s="31">
        <v>0</v>
      </c>
      <c r="I1061" s="31">
        <v>0</v>
      </c>
      <c r="J1061" s="31">
        <v>0</v>
      </c>
      <c r="K1061" s="74">
        <v>0</v>
      </c>
      <c r="L1061" s="31">
        <v>0</v>
      </c>
      <c r="M1061" s="31">
        <v>0</v>
      </c>
      <c r="N1061" s="31">
        <v>0</v>
      </c>
      <c r="O1061" s="31">
        <v>0</v>
      </c>
      <c r="P1061" s="31">
        <v>0</v>
      </c>
      <c r="Q1061" s="31">
        <v>840</v>
      </c>
      <c r="R1061" s="31">
        <v>2179803</v>
      </c>
      <c r="S1061" s="31">
        <v>0</v>
      </c>
      <c r="T1061" s="31">
        <v>0</v>
      </c>
      <c r="U1061" s="31">
        <v>0</v>
      </c>
      <c r="V1061" s="31">
        <v>0</v>
      </c>
      <c r="W1061" s="31">
        <v>0</v>
      </c>
      <c r="X1061" s="31">
        <v>0</v>
      </c>
      <c r="Y1061" s="31">
        <v>0</v>
      </c>
      <c r="Z1061" s="31">
        <v>0</v>
      </c>
      <c r="AA1061" s="31">
        <v>0</v>
      </c>
      <c r="AB1061" s="31">
        <v>0</v>
      </c>
      <c r="AC1061" s="31">
        <v>32697.05</v>
      </c>
      <c r="AD1061" s="31">
        <v>100000</v>
      </c>
      <c r="AE1061" s="31">
        <v>0</v>
      </c>
      <c r="AF1061" s="34">
        <v>2022</v>
      </c>
      <c r="AG1061" s="34">
        <v>2022</v>
      </c>
      <c r="AH1061" s="35">
        <v>2022</v>
      </c>
      <c r="BZ1061" s="71"/>
      <c r="CD1061" s="20" t="e">
        <f t="shared" si="312"/>
        <v>#N/A</v>
      </c>
    </row>
    <row r="1062" spans="1:82" ht="61.5" x14ac:dyDescent="0.85">
      <c r="A1062" s="20">
        <v>1</v>
      </c>
      <c r="B1062" s="66">
        <f>SUBTOTAL(103,$A$1006:A1062)</f>
        <v>57</v>
      </c>
      <c r="C1062" s="24" t="s">
        <v>1124</v>
      </c>
      <c r="D1062" s="31">
        <f t="shared" si="308"/>
        <v>4348142.72</v>
      </c>
      <c r="E1062" s="31">
        <v>0</v>
      </c>
      <c r="F1062" s="31">
        <v>0</v>
      </c>
      <c r="G1062" s="31">
        <v>0</v>
      </c>
      <c r="H1062" s="31">
        <v>0</v>
      </c>
      <c r="I1062" s="31">
        <v>0</v>
      </c>
      <c r="J1062" s="31">
        <v>0</v>
      </c>
      <c r="K1062" s="74">
        <v>0</v>
      </c>
      <c r="L1062" s="31">
        <v>0</v>
      </c>
      <c r="M1062" s="31">
        <v>0</v>
      </c>
      <c r="N1062" s="31">
        <v>0</v>
      </c>
      <c r="O1062" s="31">
        <v>0</v>
      </c>
      <c r="P1062" s="31">
        <v>0</v>
      </c>
      <c r="Q1062" s="31">
        <v>1389</v>
      </c>
      <c r="R1062" s="31">
        <v>4165657.85</v>
      </c>
      <c r="S1062" s="31">
        <v>0</v>
      </c>
      <c r="T1062" s="31">
        <v>0</v>
      </c>
      <c r="U1062" s="31">
        <v>0</v>
      </c>
      <c r="V1062" s="31">
        <v>0</v>
      </c>
      <c r="W1062" s="31">
        <v>0</v>
      </c>
      <c r="X1062" s="31">
        <v>0</v>
      </c>
      <c r="Y1062" s="31">
        <v>0</v>
      </c>
      <c r="Z1062" s="31">
        <v>0</v>
      </c>
      <c r="AA1062" s="31">
        <v>0</v>
      </c>
      <c r="AB1062" s="31">
        <v>0</v>
      </c>
      <c r="AC1062" s="31">
        <v>62484.87</v>
      </c>
      <c r="AD1062" s="31">
        <v>120000</v>
      </c>
      <c r="AE1062" s="31">
        <v>0</v>
      </c>
      <c r="AF1062" s="34">
        <v>2022</v>
      </c>
      <c r="AG1062" s="34">
        <v>2022</v>
      </c>
      <c r="AH1062" s="35">
        <v>2022</v>
      </c>
      <c r="BZ1062" s="71"/>
      <c r="CD1062" s="20" t="e">
        <f t="shared" si="312"/>
        <v>#N/A</v>
      </c>
    </row>
    <row r="1063" spans="1:82" ht="61.5" x14ac:dyDescent="0.85">
      <c r="A1063" s="20">
        <v>1</v>
      </c>
      <c r="B1063" s="66">
        <f>SUBTOTAL(103,$A$1006:A1063)</f>
        <v>58</v>
      </c>
      <c r="C1063" s="24" t="s">
        <v>1109</v>
      </c>
      <c r="D1063" s="31">
        <f t="shared" si="308"/>
        <v>2785299.21</v>
      </c>
      <c r="E1063" s="31">
        <v>0</v>
      </c>
      <c r="F1063" s="31">
        <v>0</v>
      </c>
      <c r="G1063" s="31">
        <v>0</v>
      </c>
      <c r="H1063" s="31">
        <v>0</v>
      </c>
      <c r="I1063" s="31">
        <v>0</v>
      </c>
      <c r="J1063" s="31">
        <v>0</v>
      </c>
      <c r="K1063" s="74">
        <v>0</v>
      </c>
      <c r="L1063" s="31">
        <v>0</v>
      </c>
      <c r="M1063" s="31">
        <v>0</v>
      </c>
      <c r="N1063" s="31">
        <v>0</v>
      </c>
      <c r="O1063" s="31">
        <v>0</v>
      </c>
      <c r="P1063" s="31">
        <v>0</v>
      </c>
      <c r="Q1063" s="31">
        <v>1524.32</v>
      </c>
      <c r="R1063" s="31">
        <v>2744339.94</v>
      </c>
      <c r="S1063" s="31">
        <v>0</v>
      </c>
      <c r="T1063" s="31">
        <v>0</v>
      </c>
      <c r="U1063" s="31">
        <v>0</v>
      </c>
      <c r="V1063" s="31">
        <v>0</v>
      </c>
      <c r="W1063" s="31">
        <v>0</v>
      </c>
      <c r="X1063" s="31">
        <v>0</v>
      </c>
      <c r="Y1063" s="31">
        <v>0</v>
      </c>
      <c r="Z1063" s="31">
        <v>0</v>
      </c>
      <c r="AA1063" s="31">
        <v>0</v>
      </c>
      <c r="AB1063" s="31">
        <v>0</v>
      </c>
      <c r="AC1063" s="31">
        <v>40959.269999999997</v>
      </c>
      <c r="AD1063" s="31">
        <v>0</v>
      </c>
      <c r="AE1063" s="31">
        <v>0</v>
      </c>
      <c r="AF1063" s="34" t="s">
        <v>270</v>
      </c>
      <c r="AG1063" s="34">
        <v>2022</v>
      </c>
      <c r="AH1063" s="35">
        <v>2022</v>
      </c>
      <c r="BZ1063" s="71"/>
      <c r="CD1063" s="20" t="e">
        <f t="shared" si="312"/>
        <v>#N/A</v>
      </c>
    </row>
    <row r="1064" spans="1:82" ht="61.5" x14ac:dyDescent="0.85">
      <c r="A1064" s="20">
        <v>1</v>
      </c>
      <c r="B1064" s="66">
        <f>SUBTOTAL(103,$A$1006:A1064)</f>
        <v>59</v>
      </c>
      <c r="C1064" s="24" t="s">
        <v>551</v>
      </c>
      <c r="D1064" s="31">
        <f t="shared" si="308"/>
        <v>4057359.23</v>
      </c>
      <c r="E1064" s="31">
        <v>0</v>
      </c>
      <c r="F1064" s="31">
        <v>0</v>
      </c>
      <c r="G1064" s="31">
        <v>0</v>
      </c>
      <c r="H1064" s="31">
        <v>0</v>
      </c>
      <c r="I1064" s="31">
        <v>0</v>
      </c>
      <c r="J1064" s="31">
        <v>0</v>
      </c>
      <c r="K1064" s="74">
        <v>0</v>
      </c>
      <c r="L1064" s="31">
        <v>0</v>
      </c>
      <c r="M1064" s="31">
        <v>0</v>
      </c>
      <c r="N1064" s="31">
        <v>0</v>
      </c>
      <c r="O1064" s="31">
        <v>0</v>
      </c>
      <c r="P1064" s="31">
        <v>0</v>
      </c>
      <c r="Q1064" s="31">
        <v>940.98</v>
      </c>
      <c r="R1064" s="31">
        <v>3849615</v>
      </c>
      <c r="S1064" s="31">
        <v>0</v>
      </c>
      <c r="T1064" s="31">
        <v>0</v>
      </c>
      <c r="U1064" s="31">
        <v>0</v>
      </c>
      <c r="V1064" s="31">
        <v>0</v>
      </c>
      <c r="W1064" s="31">
        <v>0</v>
      </c>
      <c r="X1064" s="31">
        <v>0</v>
      </c>
      <c r="Y1064" s="31">
        <v>0</v>
      </c>
      <c r="Z1064" s="31">
        <v>0</v>
      </c>
      <c r="AA1064" s="31">
        <v>0</v>
      </c>
      <c r="AB1064" s="31">
        <v>0</v>
      </c>
      <c r="AC1064" s="31">
        <v>57744.23</v>
      </c>
      <c r="AD1064" s="31">
        <v>150000</v>
      </c>
      <c r="AE1064" s="31">
        <v>0</v>
      </c>
      <c r="AF1064" s="34">
        <v>2022</v>
      </c>
      <c r="AG1064" s="34">
        <v>2022</v>
      </c>
      <c r="AH1064" s="35">
        <v>2022</v>
      </c>
      <c r="AT1064" s="20" t="e">
        <f t="shared" ref="AT1064:AT1081" si="313">VLOOKUP(C1064,AW:AX,2,FALSE)</f>
        <v>#N/A</v>
      </c>
      <c r="BZ1064" s="71"/>
      <c r="CD1064" s="20" t="e">
        <f t="shared" si="312"/>
        <v>#N/A</v>
      </c>
    </row>
    <row r="1065" spans="1:82" ht="61.5" x14ac:dyDescent="0.85">
      <c r="A1065" s="20">
        <v>1</v>
      </c>
      <c r="B1065" s="66">
        <f>SUBTOTAL(103,$A$1006:A1065)</f>
        <v>60</v>
      </c>
      <c r="C1065" s="24" t="s">
        <v>555</v>
      </c>
      <c r="D1065" s="31">
        <f t="shared" si="308"/>
        <v>4448638.5999999996</v>
      </c>
      <c r="E1065" s="31">
        <v>0</v>
      </c>
      <c r="F1065" s="31">
        <v>0</v>
      </c>
      <c r="G1065" s="31">
        <v>0</v>
      </c>
      <c r="H1065" s="31">
        <v>0</v>
      </c>
      <c r="I1065" s="31">
        <v>0</v>
      </c>
      <c r="J1065" s="31">
        <v>0</v>
      </c>
      <c r="K1065" s="74">
        <v>0</v>
      </c>
      <c r="L1065" s="31">
        <v>0</v>
      </c>
      <c r="M1065" s="31">
        <v>0</v>
      </c>
      <c r="N1065" s="31">
        <v>0</v>
      </c>
      <c r="O1065" s="31">
        <v>0</v>
      </c>
      <c r="P1065" s="31">
        <v>0</v>
      </c>
      <c r="Q1065" s="31">
        <v>1047.25</v>
      </c>
      <c r="R1065" s="31">
        <v>4284373</v>
      </c>
      <c r="S1065" s="31">
        <v>0</v>
      </c>
      <c r="T1065" s="31">
        <v>0</v>
      </c>
      <c r="U1065" s="31">
        <v>0</v>
      </c>
      <c r="V1065" s="31">
        <v>0</v>
      </c>
      <c r="W1065" s="31">
        <v>0</v>
      </c>
      <c r="X1065" s="31">
        <v>0</v>
      </c>
      <c r="Y1065" s="31">
        <v>0</v>
      </c>
      <c r="Z1065" s="31">
        <v>0</v>
      </c>
      <c r="AA1065" s="31">
        <v>0</v>
      </c>
      <c r="AB1065" s="31">
        <v>0</v>
      </c>
      <c r="AC1065" s="31">
        <v>64265.599999999999</v>
      </c>
      <c r="AD1065" s="31">
        <v>100000</v>
      </c>
      <c r="AE1065" s="31">
        <v>0</v>
      </c>
      <c r="AF1065" s="34">
        <v>2022</v>
      </c>
      <c r="AG1065" s="34">
        <v>2022</v>
      </c>
      <c r="AH1065" s="35">
        <v>2022</v>
      </c>
      <c r="AT1065" s="20" t="e">
        <f t="shared" si="313"/>
        <v>#N/A</v>
      </c>
      <c r="BZ1065" s="71"/>
      <c r="CD1065" s="20" t="e">
        <f t="shared" si="312"/>
        <v>#N/A</v>
      </c>
    </row>
    <row r="1066" spans="1:82" ht="61.5" x14ac:dyDescent="0.85">
      <c r="A1066" s="20">
        <v>1</v>
      </c>
      <c r="B1066" s="66">
        <f>SUBTOTAL(103,$A$1006:A1066)</f>
        <v>61</v>
      </c>
      <c r="C1066" s="24" t="s">
        <v>558</v>
      </c>
      <c r="D1066" s="31">
        <f t="shared" si="308"/>
        <v>5133796.7</v>
      </c>
      <c r="E1066" s="31">
        <v>0</v>
      </c>
      <c r="F1066" s="31">
        <v>0</v>
      </c>
      <c r="G1066" s="31">
        <v>0</v>
      </c>
      <c r="H1066" s="31">
        <v>0</v>
      </c>
      <c r="I1066" s="31">
        <v>0</v>
      </c>
      <c r="J1066" s="31">
        <v>0</v>
      </c>
      <c r="K1066" s="74">
        <v>0</v>
      </c>
      <c r="L1066" s="31">
        <v>0</v>
      </c>
      <c r="M1066" s="31">
        <v>0</v>
      </c>
      <c r="N1066" s="31">
        <v>0</v>
      </c>
      <c r="O1066" s="31">
        <v>0</v>
      </c>
      <c r="P1066" s="31">
        <v>0</v>
      </c>
      <c r="Q1066" s="31">
        <v>1160</v>
      </c>
      <c r="R1066" s="31">
        <v>4959405.62</v>
      </c>
      <c r="S1066" s="31">
        <v>0</v>
      </c>
      <c r="T1066" s="31">
        <v>0</v>
      </c>
      <c r="U1066" s="31">
        <v>0</v>
      </c>
      <c r="V1066" s="31">
        <v>0</v>
      </c>
      <c r="W1066" s="31">
        <v>0</v>
      </c>
      <c r="X1066" s="31">
        <v>0</v>
      </c>
      <c r="Y1066" s="31">
        <v>0</v>
      </c>
      <c r="Z1066" s="31">
        <v>0</v>
      </c>
      <c r="AA1066" s="31">
        <v>0</v>
      </c>
      <c r="AB1066" s="31">
        <v>0</v>
      </c>
      <c r="AC1066" s="31">
        <v>74391.08</v>
      </c>
      <c r="AD1066" s="31">
        <v>100000</v>
      </c>
      <c r="AE1066" s="31">
        <v>0</v>
      </c>
      <c r="AF1066" s="34">
        <v>2022</v>
      </c>
      <c r="AG1066" s="34">
        <v>2022</v>
      </c>
      <c r="AH1066" s="35">
        <v>2022</v>
      </c>
      <c r="AT1066" s="20" t="e">
        <f t="shared" si="313"/>
        <v>#N/A</v>
      </c>
      <c r="BZ1066" s="71"/>
      <c r="CD1066" s="20" t="e">
        <f t="shared" si="312"/>
        <v>#N/A</v>
      </c>
    </row>
    <row r="1067" spans="1:82" ht="61.5" x14ac:dyDescent="0.85">
      <c r="A1067" s="20">
        <v>1</v>
      </c>
      <c r="B1067" s="66">
        <f>SUBTOTAL(103,$A$1006:A1067)</f>
        <v>62</v>
      </c>
      <c r="C1067" s="24" t="s">
        <v>552</v>
      </c>
      <c r="D1067" s="31">
        <f t="shared" si="308"/>
        <v>2880414.3600000003</v>
      </c>
      <c r="E1067" s="31">
        <v>0</v>
      </c>
      <c r="F1067" s="31">
        <v>0</v>
      </c>
      <c r="G1067" s="31">
        <v>0</v>
      </c>
      <c r="H1067" s="31">
        <v>0</v>
      </c>
      <c r="I1067" s="31">
        <v>0</v>
      </c>
      <c r="J1067" s="31">
        <v>0</v>
      </c>
      <c r="K1067" s="74">
        <v>0</v>
      </c>
      <c r="L1067" s="31">
        <v>0</v>
      </c>
      <c r="M1067" s="31">
        <v>560</v>
      </c>
      <c r="N1067" s="31">
        <v>2739324.49</v>
      </c>
      <c r="O1067" s="31">
        <v>0</v>
      </c>
      <c r="P1067" s="31">
        <v>0</v>
      </c>
      <c r="Q1067" s="31">
        <v>0</v>
      </c>
      <c r="R1067" s="31">
        <v>0</v>
      </c>
      <c r="S1067" s="31">
        <v>0</v>
      </c>
      <c r="T1067" s="31">
        <v>0</v>
      </c>
      <c r="U1067" s="31">
        <v>0</v>
      </c>
      <c r="V1067" s="31">
        <v>0</v>
      </c>
      <c r="W1067" s="31">
        <v>0</v>
      </c>
      <c r="X1067" s="31">
        <v>0</v>
      </c>
      <c r="Y1067" s="31">
        <v>0</v>
      </c>
      <c r="Z1067" s="31">
        <v>0</v>
      </c>
      <c r="AA1067" s="31">
        <v>0</v>
      </c>
      <c r="AB1067" s="31">
        <v>0</v>
      </c>
      <c r="AC1067" s="31">
        <v>41089.870000000003</v>
      </c>
      <c r="AD1067" s="31">
        <v>100000</v>
      </c>
      <c r="AE1067" s="31">
        <v>0</v>
      </c>
      <c r="AF1067" s="34">
        <v>2022</v>
      </c>
      <c r="AG1067" s="34">
        <v>2022</v>
      </c>
      <c r="AH1067" s="35">
        <v>2022</v>
      </c>
      <c r="AT1067" s="20" t="e">
        <f t="shared" si="313"/>
        <v>#N/A</v>
      </c>
      <c r="BZ1067" s="71"/>
      <c r="CD1067" s="20" t="e">
        <f t="shared" si="312"/>
        <v>#N/A</v>
      </c>
    </row>
    <row r="1068" spans="1:82" ht="61.5" x14ac:dyDescent="0.85">
      <c r="B1068" s="24" t="s">
        <v>762</v>
      </c>
      <c r="C1068" s="108"/>
      <c r="D1068" s="195">
        <f>SUM(D1069:D1082)</f>
        <v>44764760.649999999</v>
      </c>
      <c r="E1068" s="31">
        <f t="shared" ref="E1068:AE1068" si="314">SUM(E1069:E1082)</f>
        <v>0</v>
      </c>
      <c r="F1068" s="31">
        <f t="shared" si="314"/>
        <v>0</v>
      </c>
      <c r="G1068" s="31">
        <f t="shared" si="314"/>
        <v>0</v>
      </c>
      <c r="H1068" s="31">
        <f t="shared" si="314"/>
        <v>415281.24</v>
      </c>
      <c r="I1068" s="31">
        <f t="shared" si="314"/>
        <v>0</v>
      </c>
      <c r="J1068" s="31">
        <f t="shared" si="314"/>
        <v>0</v>
      </c>
      <c r="K1068" s="33">
        <f t="shared" si="314"/>
        <v>0</v>
      </c>
      <c r="L1068" s="31">
        <f t="shared" si="314"/>
        <v>0</v>
      </c>
      <c r="M1068" s="31">
        <f t="shared" si="314"/>
        <v>7727.4100000000008</v>
      </c>
      <c r="N1068" s="31">
        <f t="shared" si="314"/>
        <v>41638670.140000008</v>
      </c>
      <c r="O1068" s="31">
        <f t="shared" si="314"/>
        <v>0</v>
      </c>
      <c r="P1068" s="31">
        <f t="shared" si="314"/>
        <v>0</v>
      </c>
      <c r="Q1068" s="31">
        <f t="shared" si="314"/>
        <v>0</v>
      </c>
      <c r="R1068" s="31">
        <f t="shared" si="314"/>
        <v>0</v>
      </c>
      <c r="S1068" s="31">
        <f t="shared" si="314"/>
        <v>0</v>
      </c>
      <c r="T1068" s="31">
        <f t="shared" si="314"/>
        <v>0</v>
      </c>
      <c r="U1068" s="31">
        <f t="shared" si="314"/>
        <v>0</v>
      </c>
      <c r="V1068" s="31">
        <f t="shared" si="314"/>
        <v>0</v>
      </c>
      <c r="W1068" s="31">
        <f t="shared" si="314"/>
        <v>0</v>
      </c>
      <c r="X1068" s="31">
        <f t="shared" si="314"/>
        <v>0</v>
      </c>
      <c r="Y1068" s="31">
        <f t="shared" si="314"/>
        <v>0</v>
      </c>
      <c r="Z1068" s="31">
        <f t="shared" si="314"/>
        <v>0</v>
      </c>
      <c r="AA1068" s="31">
        <f t="shared" si="314"/>
        <v>0</v>
      </c>
      <c r="AB1068" s="31">
        <f t="shared" si="314"/>
        <v>0</v>
      </c>
      <c r="AC1068" s="31">
        <f t="shared" si="314"/>
        <v>630809.27</v>
      </c>
      <c r="AD1068" s="31">
        <f t="shared" si="314"/>
        <v>1960000</v>
      </c>
      <c r="AE1068" s="31">
        <f t="shared" si="314"/>
        <v>120000</v>
      </c>
      <c r="AF1068" s="72" t="s">
        <v>757</v>
      </c>
      <c r="AG1068" s="72" t="s">
        <v>757</v>
      </c>
      <c r="AH1068" s="87" t="s">
        <v>757</v>
      </c>
      <c r="AT1068" s="20" t="e">
        <f t="shared" si="313"/>
        <v>#N/A</v>
      </c>
      <c r="BZ1068" s="31">
        <v>45048314.759999998</v>
      </c>
      <c r="CA1068" s="31"/>
      <c r="CB1068" s="31">
        <f>BZ1068-D1068</f>
        <v>283554.1099999994</v>
      </c>
    </row>
    <row r="1069" spans="1:82" ht="61.5" x14ac:dyDescent="0.85">
      <c r="A1069" s="20">
        <v>1</v>
      </c>
      <c r="B1069" s="66">
        <f>SUBTOTAL(103,$A$1006:A1069)</f>
        <v>63</v>
      </c>
      <c r="C1069" s="24" t="s">
        <v>468</v>
      </c>
      <c r="D1069" s="31">
        <f t="shared" si="308"/>
        <v>3951259.39</v>
      </c>
      <c r="E1069" s="32">
        <v>0</v>
      </c>
      <c r="F1069" s="32">
        <v>0</v>
      </c>
      <c r="G1069" s="32">
        <v>0</v>
      </c>
      <c r="H1069" s="32">
        <v>0</v>
      </c>
      <c r="I1069" s="32">
        <v>0</v>
      </c>
      <c r="J1069" s="32">
        <v>0</v>
      </c>
      <c r="K1069" s="84">
        <v>0</v>
      </c>
      <c r="L1069" s="32">
        <v>0</v>
      </c>
      <c r="M1069" s="31">
        <v>648.4</v>
      </c>
      <c r="N1069" s="31">
        <v>3745083.14</v>
      </c>
      <c r="O1069" s="32">
        <v>0</v>
      </c>
      <c r="P1069" s="32">
        <v>0</v>
      </c>
      <c r="Q1069" s="32">
        <v>0</v>
      </c>
      <c r="R1069" s="32">
        <v>0</v>
      </c>
      <c r="S1069" s="32">
        <v>0</v>
      </c>
      <c r="T1069" s="32">
        <v>0</v>
      </c>
      <c r="U1069" s="32">
        <v>0</v>
      </c>
      <c r="V1069" s="32">
        <v>0</v>
      </c>
      <c r="W1069" s="32">
        <v>0</v>
      </c>
      <c r="X1069" s="32">
        <v>0</v>
      </c>
      <c r="Y1069" s="32">
        <v>0</v>
      </c>
      <c r="Z1069" s="32">
        <v>0</v>
      </c>
      <c r="AA1069" s="31">
        <v>0</v>
      </c>
      <c r="AB1069" s="31">
        <v>0</v>
      </c>
      <c r="AC1069" s="31">
        <f>ROUND(N1069*1.5%,2)</f>
        <v>56176.25</v>
      </c>
      <c r="AD1069" s="31">
        <v>150000</v>
      </c>
      <c r="AE1069" s="31">
        <v>0</v>
      </c>
      <c r="AF1069" s="34">
        <v>2022</v>
      </c>
      <c r="AG1069" s="34">
        <v>2022</v>
      </c>
      <c r="AH1069" s="35">
        <v>2022</v>
      </c>
      <c r="AT1069" s="20" t="e">
        <f t="shared" si="313"/>
        <v>#N/A</v>
      </c>
      <c r="BZ1069" s="71"/>
    </row>
    <row r="1070" spans="1:82" ht="61.5" x14ac:dyDescent="0.85">
      <c r="A1070" s="20">
        <v>1</v>
      </c>
      <c r="B1070" s="66">
        <f>SUBTOTAL(103,$A$1006:A1070)</f>
        <v>64</v>
      </c>
      <c r="C1070" s="24" t="s">
        <v>469</v>
      </c>
      <c r="D1070" s="31">
        <f t="shared" ref="D1070:D1082" si="315">E1070+F1070+G1070+H1070+I1070+J1070+L1070+N1070+P1070+R1070+T1070+U1070+V1070+W1070+X1070+Y1070+Z1070+AA1070+AB1070+AC1070+AD1070+AE1070</f>
        <v>2999201</v>
      </c>
      <c r="E1070" s="32">
        <v>0</v>
      </c>
      <c r="F1070" s="32">
        <v>0</v>
      </c>
      <c r="G1070" s="32">
        <v>0</v>
      </c>
      <c r="H1070" s="32">
        <v>0</v>
      </c>
      <c r="I1070" s="32">
        <v>0</v>
      </c>
      <c r="J1070" s="32">
        <v>0</v>
      </c>
      <c r="K1070" s="84">
        <v>0</v>
      </c>
      <c r="L1070" s="32">
        <v>0</v>
      </c>
      <c r="M1070" s="31">
        <v>547</v>
      </c>
      <c r="N1070" s="31">
        <v>2807094.58</v>
      </c>
      <c r="O1070" s="32">
        <v>0</v>
      </c>
      <c r="P1070" s="32">
        <v>0</v>
      </c>
      <c r="Q1070" s="32">
        <v>0</v>
      </c>
      <c r="R1070" s="32">
        <v>0</v>
      </c>
      <c r="S1070" s="32">
        <v>0</v>
      </c>
      <c r="T1070" s="32">
        <v>0</v>
      </c>
      <c r="U1070" s="32">
        <v>0</v>
      </c>
      <c r="V1070" s="32">
        <v>0</v>
      </c>
      <c r="W1070" s="32">
        <v>0</v>
      </c>
      <c r="X1070" s="32">
        <v>0</v>
      </c>
      <c r="Y1070" s="32">
        <v>0</v>
      </c>
      <c r="Z1070" s="32">
        <v>0</v>
      </c>
      <c r="AA1070" s="31">
        <v>0</v>
      </c>
      <c r="AB1070" s="31">
        <v>0</v>
      </c>
      <c r="AC1070" s="31">
        <f>ROUND(N1070*1.5%,2)</f>
        <v>42106.42</v>
      </c>
      <c r="AD1070" s="31">
        <v>150000</v>
      </c>
      <c r="AE1070" s="31">
        <v>0</v>
      </c>
      <c r="AF1070" s="34">
        <v>2022</v>
      </c>
      <c r="AG1070" s="34">
        <v>2022</v>
      </c>
      <c r="AH1070" s="35">
        <v>2022</v>
      </c>
      <c r="AT1070" s="20" t="e">
        <f t="shared" si="313"/>
        <v>#N/A</v>
      </c>
      <c r="BZ1070" s="71"/>
    </row>
    <row r="1071" spans="1:82" ht="61.5" x14ac:dyDescent="0.85">
      <c r="A1071" s="20">
        <v>1</v>
      </c>
      <c r="B1071" s="66">
        <f>SUBTOTAL(103,$A$1006:A1071)</f>
        <v>65</v>
      </c>
      <c r="C1071" s="24" t="s">
        <v>470</v>
      </c>
      <c r="D1071" s="31">
        <f t="shared" si="315"/>
        <v>2584541.12</v>
      </c>
      <c r="E1071" s="32">
        <v>0</v>
      </c>
      <c r="F1071" s="32">
        <v>0</v>
      </c>
      <c r="G1071" s="32">
        <v>0</v>
      </c>
      <c r="H1071" s="32">
        <v>0</v>
      </c>
      <c r="I1071" s="32">
        <v>0</v>
      </c>
      <c r="J1071" s="32">
        <v>0</v>
      </c>
      <c r="K1071" s="84">
        <v>0</v>
      </c>
      <c r="L1071" s="32">
        <v>0</v>
      </c>
      <c r="M1071" s="31">
        <v>493.2</v>
      </c>
      <c r="N1071" s="31">
        <v>2428119.33</v>
      </c>
      <c r="O1071" s="32">
        <v>0</v>
      </c>
      <c r="P1071" s="32">
        <v>0</v>
      </c>
      <c r="Q1071" s="32">
        <v>0</v>
      </c>
      <c r="R1071" s="32">
        <v>0</v>
      </c>
      <c r="S1071" s="32">
        <v>0</v>
      </c>
      <c r="T1071" s="32">
        <v>0</v>
      </c>
      <c r="U1071" s="32">
        <v>0</v>
      </c>
      <c r="V1071" s="32">
        <v>0</v>
      </c>
      <c r="W1071" s="32">
        <v>0</v>
      </c>
      <c r="X1071" s="32">
        <v>0</v>
      </c>
      <c r="Y1071" s="32">
        <v>0</v>
      </c>
      <c r="Z1071" s="32">
        <v>0</v>
      </c>
      <c r="AA1071" s="31">
        <v>0</v>
      </c>
      <c r="AB1071" s="31">
        <v>0</v>
      </c>
      <c r="AC1071" s="31">
        <f>ROUND(N1071*1.5%,2)</f>
        <v>36421.79</v>
      </c>
      <c r="AD1071" s="31">
        <v>120000</v>
      </c>
      <c r="AE1071" s="31">
        <v>0</v>
      </c>
      <c r="AF1071" s="34">
        <v>2022</v>
      </c>
      <c r="AG1071" s="34">
        <v>2022</v>
      </c>
      <c r="AH1071" s="35">
        <v>2022</v>
      </c>
      <c r="AT1071" s="20" t="e">
        <f t="shared" si="313"/>
        <v>#N/A</v>
      </c>
      <c r="BZ1071" s="71"/>
    </row>
    <row r="1072" spans="1:82" ht="61.5" x14ac:dyDescent="0.85">
      <c r="A1072" s="20">
        <v>1</v>
      </c>
      <c r="B1072" s="66">
        <f>SUBTOTAL(103,$A$1006:A1072)</f>
        <v>66</v>
      </c>
      <c r="C1072" s="24" t="s">
        <v>471</v>
      </c>
      <c r="D1072" s="31">
        <f t="shared" si="315"/>
        <v>6581549.3999999994</v>
      </c>
      <c r="E1072" s="32">
        <v>0</v>
      </c>
      <c r="F1072" s="32">
        <v>0</v>
      </c>
      <c r="G1072" s="32">
        <v>0</v>
      </c>
      <c r="H1072" s="32">
        <v>0</v>
      </c>
      <c r="I1072" s="32">
        <v>0</v>
      </c>
      <c r="J1072" s="32">
        <v>0</v>
      </c>
      <c r="K1072" s="84">
        <v>0</v>
      </c>
      <c r="L1072" s="32">
        <v>0</v>
      </c>
      <c r="M1072" s="31">
        <v>1130</v>
      </c>
      <c r="N1072" s="31">
        <v>6306945.2199999997</v>
      </c>
      <c r="O1072" s="32">
        <v>0</v>
      </c>
      <c r="P1072" s="32">
        <v>0</v>
      </c>
      <c r="Q1072" s="32">
        <v>0</v>
      </c>
      <c r="R1072" s="32">
        <v>0</v>
      </c>
      <c r="S1072" s="32">
        <v>0</v>
      </c>
      <c r="T1072" s="32">
        <v>0</v>
      </c>
      <c r="U1072" s="32">
        <v>0</v>
      </c>
      <c r="V1072" s="32">
        <v>0</v>
      </c>
      <c r="W1072" s="32">
        <v>0</v>
      </c>
      <c r="X1072" s="32">
        <v>0</v>
      </c>
      <c r="Y1072" s="32">
        <v>0</v>
      </c>
      <c r="Z1072" s="32">
        <v>0</v>
      </c>
      <c r="AA1072" s="31">
        <v>0</v>
      </c>
      <c r="AB1072" s="31">
        <v>0</v>
      </c>
      <c r="AC1072" s="31">
        <f>ROUND(N1072*1.5%,2)</f>
        <v>94604.18</v>
      </c>
      <c r="AD1072" s="31">
        <v>180000</v>
      </c>
      <c r="AE1072" s="31">
        <v>0</v>
      </c>
      <c r="AF1072" s="34">
        <v>2022</v>
      </c>
      <c r="AG1072" s="34">
        <v>2022</v>
      </c>
      <c r="AH1072" s="35">
        <v>2022</v>
      </c>
      <c r="AT1072" s="20" t="e">
        <f t="shared" si="313"/>
        <v>#N/A</v>
      </c>
      <c r="BZ1072" s="71"/>
    </row>
    <row r="1073" spans="1:82" ht="61.5" x14ac:dyDescent="0.85">
      <c r="A1073" s="20">
        <v>1</v>
      </c>
      <c r="B1073" s="66">
        <f>SUBTOTAL(103,$A$1006:A1073)</f>
        <v>67</v>
      </c>
      <c r="C1073" s="24" t="s">
        <v>472</v>
      </c>
      <c r="D1073" s="31">
        <f t="shared" si="315"/>
        <v>4737312</v>
      </c>
      <c r="E1073" s="32">
        <v>0</v>
      </c>
      <c r="F1073" s="32">
        <v>0</v>
      </c>
      <c r="G1073" s="32">
        <v>0</v>
      </c>
      <c r="H1073" s="32">
        <v>0</v>
      </c>
      <c r="I1073" s="32">
        <v>0</v>
      </c>
      <c r="J1073" s="32">
        <v>0</v>
      </c>
      <c r="K1073" s="84">
        <v>0</v>
      </c>
      <c r="L1073" s="32">
        <v>0</v>
      </c>
      <c r="M1073" s="31">
        <v>864</v>
      </c>
      <c r="N1073" s="31">
        <v>4519519.21</v>
      </c>
      <c r="O1073" s="32">
        <v>0</v>
      </c>
      <c r="P1073" s="32">
        <v>0</v>
      </c>
      <c r="Q1073" s="32">
        <v>0</v>
      </c>
      <c r="R1073" s="32">
        <v>0</v>
      </c>
      <c r="S1073" s="32">
        <v>0</v>
      </c>
      <c r="T1073" s="32">
        <v>0</v>
      </c>
      <c r="U1073" s="32">
        <v>0</v>
      </c>
      <c r="V1073" s="32">
        <v>0</v>
      </c>
      <c r="W1073" s="32">
        <v>0</v>
      </c>
      <c r="X1073" s="32">
        <v>0</v>
      </c>
      <c r="Y1073" s="32">
        <v>0</v>
      </c>
      <c r="Z1073" s="32">
        <v>0</v>
      </c>
      <c r="AA1073" s="31">
        <v>0</v>
      </c>
      <c r="AB1073" s="31">
        <v>0</v>
      </c>
      <c r="AC1073" s="31">
        <f>ROUND(N1073*1.5%,2)</f>
        <v>67792.789999999994</v>
      </c>
      <c r="AD1073" s="31">
        <v>150000</v>
      </c>
      <c r="AE1073" s="31">
        <v>0</v>
      </c>
      <c r="AF1073" s="34">
        <v>2022</v>
      </c>
      <c r="AG1073" s="34">
        <v>2022</v>
      </c>
      <c r="AH1073" s="35">
        <v>2022</v>
      </c>
      <c r="AT1073" s="20" t="e">
        <f t="shared" si="313"/>
        <v>#N/A</v>
      </c>
      <c r="BZ1073" s="71"/>
    </row>
    <row r="1074" spans="1:82" ht="61.5" x14ac:dyDescent="0.85">
      <c r="A1074" s="20">
        <v>1</v>
      </c>
      <c r="B1074" s="66">
        <f>SUBTOTAL(103,$A$1006:A1074)</f>
        <v>68</v>
      </c>
      <c r="C1074" s="24" t="s">
        <v>473</v>
      </c>
      <c r="D1074" s="31">
        <f t="shared" si="315"/>
        <v>491510.45999999996</v>
      </c>
      <c r="E1074" s="32">
        <v>0</v>
      </c>
      <c r="F1074" s="32">
        <v>0</v>
      </c>
      <c r="G1074" s="32">
        <v>0</v>
      </c>
      <c r="H1074" s="31">
        <v>415281.24</v>
      </c>
      <c r="I1074" s="32">
        <v>0</v>
      </c>
      <c r="J1074" s="32">
        <v>0</v>
      </c>
      <c r="K1074" s="84">
        <v>0</v>
      </c>
      <c r="L1074" s="32">
        <v>0</v>
      </c>
      <c r="M1074" s="31">
        <v>0</v>
      </c>
      <c r="N1074" s="31">
        <v>0</v>
      </c>
      <c r="O1074" s="32">
        <v>0</v>
      </c>
      <c r="P1074" s="32">
        <v>0</v>
      </c>
      <c r="Q1074" s="32">
        <v>0</v>
      </c>
      <c r="R1074" s="32">
        <v>0</v>
      </c>
      <c r="S1074" s="32">
        <v>0</v>
      </c>
      <c r="T1074" s="32">
        <v>0</v>
      </c>
      <c r="U1074" s="32">
        <v>0</v>
      </c>
      <c r="V1074" s="32">
        <v>0</v>
      </c>
      <c r="W1074" s="32">
        <v>0</v>
      </c>
      <c r="X1074" s="32">
        <v>0</v>
      </c>
      <c r="Y1074" s="32">
        <v>0</v>
      </c>
      <c r="Z1074" s="32">
        <v>0</v>
      </c>
      <c r="AA1074" s="31">
        <v>0</v>
      </c>
      <c r="AB1074" s="31">
        <v>0</v>
      </c>
      <c r="AC1074" s="31">
        <f>ROUND((E1074+F1074+G1074+H1074+I1074+J1074)*1.5%,2)</f>
        <v>6229.22</v>
      </c>
      <c r="AD1074" s="31">
        <v>70000</v>
      </c>
      <c r="AE1074" s="31">
        <v>0</v>
      </c>
      <c r="AF1074" s="34">
        <v>2022</v>
      </c>
      <c r="AG1074" s="34">
        <v>2022</v>
      </c>
      <c r="AH1074" s="35">
        <v>2022</v>
      </c>
      <c r="AT1074" s="20" t="e">
        <f t="shared" si="313"/>
        <v>#N/A</v>
      </c>
      <c r="BZ1074" s="71"/>
    </row>
    <row r="1075" spans="1:82" ht="61.5" x14ac:dyDescent="0.85">
      <c r="A1075" s="20">
        <v>1</v>
      </c>
      <c r="B1075" s="66">
        <f>SUBTOTAL(103,$A$1006:A1075)</f>
        <v>69</v>
      </c>
      <c r="C1075" s="24" t="s">
        <v>474</v>
      </c>
      <c r="D1075" s="31">
        <f t="shared" si="315"/>
        <v>3422817.5799999996</v>
      </c>
      <c r="E1075" s="32">
        <v>0</v>
      </c>
      <c r="F1075" s="32">
        <v>0</v>
      </c>
      <c r="G1075" s="32">
        <v>0</v>
      </c>
      <c r="H1075" s="32">
        <v>0</v>
      </c>
      <c r="I1075" s="32">
        <v>0</v>
      </c>
      <c r="J1075" s="32">
        <v>0</v>
      </c>
      <c r="K1075" s="84">
        <v>0</v>
      </c>
      <c r="L1075" s="32">
        <v>0</v>
      </c>
      <c r="M1075" s="31">
        <v>624.26</v>
      </c>
      <c r="N1075" s="31">
        <v>3224450.82</v>
      </c>
      <c r="O1075" s="32">
        <v>0</v>
      </c>
      <c r="P1075" s="32">
        <v>0</v>
      </c>
      <c r="Q1075" s="32">
        <v>0</v>
      </c>
      <c r="R1075" s="32">
        <v>0</v>
      </c>
      <c r="S1075" s="32">
        <v>0</v>
      </c>
      <c r="T1075" s="32">
        <v>0</v>
      </c>
      <c r="U1075" s="32">
        <v>0</v>
      </c>
      <c r="V1075" s="32">
        <v>0</v>
      </c>
      <c r="W1075" s="32">
        <v>0</v>
      </c>
      <c r="X1075" s="32">
        <v>0</v>
      </c>
      <c r="Y1075" s="32">
        <v>0</v>
      </c>
      <c r="Z1075" s="32">
        <v>0</v>
      </c>
      <c r="AA1075" s="31">
        <v>0</v>
      </c>
      <c r="AB1075" s="31">
        <v>0</v>
      </c>
      <c r="AC1075" s="31">
        <f t="shared" ref="AC1075:AC1080" si="316">ROUND(N1075*1.5%,2)</f>
        <v>48366.76</v>
      </c>
      <c r="AD1075" s="31">
        <v>150000</v>
      </c>
      <c r="AE1075" s="31">
        <v>0</v>
      </c>
      <c r="AF1075" s="34">
        <v>2022</v>
      </c>
      <c r="AG1075" s="34">
        <v>2022</v>
      </c>
      <c r="AH1075" s="35">
        <v>2022</v>
      </c>
      <c r="AT1075" s="20" t="e">
        <f t="shared" si="313"/>
        <v>#N/A</v>
      </c>
      <c r="BZ1075" s="71"/>
    </row>
    <row r="1076" spans="1:82" ht="61.5" x14ac:dyDescent="0.85">
      <c r="A1076" s="20">
        <v>1</v>
      </c>
      <c r="B1076" s="66">
        <f>SUBTOTAL(103,$A$1006:A1076)</f>
        <v>70</v>
      </c>
      <c r="C1076" s="24" t="s">
        <v>475</v>
      </c>
      <c r="D1076" s="31">
        <f t="shared" si="315"/>
        <v>2888444.4</v>
      </c>
      <c r="E1076" s="32">
        <v>0</v>
      </c>
      <c r="F1076" s="32">
        <v>0</v>
      </c>
      <c r="G1076" s="32">
        <v>0</v>
      </c>
      <c r="H1076" s="32">
        <v>0</v>
      </c>
      <c r="I1076" s="32">
        <v>0</v>
      </c>
      <c r="J1076" s="32">
        <v>0</v>
      </c>
      <c r="K1076" s="84">
        <v>0</v>
      </c>
      <c r="L1076" s="32">
        <v>0</v>
      </c>
      <c r="M1076" s="31">
        <v>526.79999999999995</v>
      </c>
      <c r="N1076" s="31">
        <v>2697974.78</v>
      </c>
      <c r="O1076" s="32">
        <v>0</v>
      </c>
      <c r="P1076" s="32">
        <v>0</v>
      </c>
      <c r="Q1076" s="32">
        <v>0</v>
      </c>
      <c r="R1076" s="32">
        <v>0</v>
      </c>
      <c r="S1076" s="32">
        <v>0</v>
      </c>
      <c r="T1076" s="32">
        <v>0</v>
      </c>
      <c r="U1076" s="32">
        <v>0</v>
      </c>
      <c r="V1076" s="32">
        <v>0</v>
      </c>
      <c r="W1076" s="32">
        <v>0</v>
      </c>
      <c r="X1076" s="32">
        <v>0</v>
      </c>
      <c r="Y1076" s="32">
        <v>0</v>
      </c>
      <c r="Z1076" s="32">
        <v>0</v>
      </c>
      <c r="AA1076" s="31">
        <v>0</v>
      </c>
      <c r="AB1076" s="31">
        <v>0</v>
      </c>
      <c r="AC1076" s="31">
        <f t="shared" si="316"/>
        <v>40469.620000000003</v>
      </c>
      <c r="AD1076" s="31">
        <v>150000</v>
      </c>
      <c r="AE1076" s="31">
        <v>0</v>
      </c>
      <c r="AF1076" s="34">
        <v>2022</v>
      </c>
      <c r="AG1076" s="34">
        <v>2022</v>
      </c>
      <c r="AH1076" s="35">
        <v>2022</v>
      </c>
      <c r="AT1076" s="20" t="e">
        <f t="shared" si="313"/>
        <v>#N/A</v>
      </c>
      <c r="BZ1076" s="71"/>
    </row>
    <row r="1077" spans="1:82" ht="61.5" x14ac:dyDescent="0.85">
      <c r="A1077" s="20">
        <v>1</v>
      </c>
      <c r="B1077" s="66">
        <f>SUBTOTAL(103,$A$1006:A1077)</f>
        <v>71</v>
      </c>
      <c r="C1077" s="24" t="s">
        <v>476</v>
      </c>
      <c r="D1077" s="31">
        <f t="shared" si="315"/>
        <v>3422817.5799999996</v>
      </c>
      <c r="E1077" s="32">
        <v>0</v>
      </c>
      <c r="F1077" s="32">
        <v>0</v>
      </c>
      <c r="G1077" s="32">
        <v>0</v>
      </c>
      <c r="H1077" s="32">
        <v>0</v>
      </c>
      <c r="I1077" s="32">
        <v>0</v>
      </c>
      <c r="J1077" s="32">
        <v>0</v>
      </c>
      <c r="K1077" s="84">
        <v>0</v>
      </c>
      <c r="L1077" s="32">
        <v>0</v>
      </c>
      <c r="M1077" s="31">
        <v>624.26</v>
      </c>
      <c r="N1077" s="31">
        <v>3224450.82</v>
      </c>
      <c r="O1077" s="32">
        <v>0</v>
      </c>
      <c r="P1077" s="32">
        <v>0</v>
      </c>
      <c r="Q1077" s="32">
        <v>0</v>
      </c>
      <c r="R1077" s="32">
        <v>0</v>
      </c>
      <c r="S1077" s="32">
        <v>0</v>
      </c>
      <c r="T1077" s="32">
        <v>0</v>
      </c>
      <c r="U1077" s="32">
        <v>0</v>
      </c>
      <c r="V1077" s="32">
        <v>0</v>
      </c>
      <c r="W1077" s="32">
        <v>0</v>
      </c>
      <c r="X1077" s="32">
        <v>0</v>
      </c>
      <c r="Y1077" s="32">
        <v>0</v>
      </c>
      <c r="Z1077" s="32">
        <v>0</v>
      </c>
      <c r="AA1077" s="31">
        <v>0</v>
      </c>
      <c r="AB1077" s="31">
        <v>0</v>
      </c>
      <c r="AC1077" s="31">
        <f t="shared" si="316"/>
        <v>48366.76</v>
      </c>
      <c r="AD1077" s="31">
        <v>150000</v>
      </c>
      <c r="AE1077" s="31">
        <v>0</v>
      </c>
      <c r="AF1077" s="34">
        <v>2022</v>
      </c>
      <c r="AG1077" s="34">
        <v>2022</v>
      </c>
      <c r="AH1077" s="35">
        <v>2022</v>
      </c>
      <c r="AT1077" s="20" t="e">
        <f t="shared" si="313"/>
        <v>#N/A</v>
      </c>
      <c r="BZ1077" s="71"/>
    </row>
    <row r="1078" spans="1:82" ht="61.5" x14ac:dyDescent="0.85">
      <c r="A1078" s="20">
        <v>1</v>
      </c>
      <c r="B1078" s="66">
        <f>SUBTOTAL(103,$A$1006:A1078)</f>
        <v>72</v>
      </c>
      <c r="C1078" s="24" t="s">
        <v>477</v>
      </c>
      <c r="D1078" s="31">
        <f t="shared" si="315"/>
        <v>3106903.4</v>
      </c>
      <c r="E1078" s="32">
        <v>0</v>
      </c>
      <c r="F1078" s="32">
        <v>0</v>
      </c>
      <c r="G1078" s="32">
        <v>0</v>
      </c>
      <c r="H1078" s="32">
        <v>0</v>
      </c>
      <c r="I1078" s="32">
        <v>0</v>
      </c>
      <c r="J1078" s="32">
        <v>0</v>
      </c>
      <c r="K1078" s="84">
        <v>0</v>
      </c>
      <c r="L1078" s="32">
        <v>0</v>
      </c>
      <c r="M1078" s="31">
        <v>544.85</v>
      </c>
      <c r="N1078" s="31">
        <f>2664960.76+248244.56</f>
        <v>2913205.32</v>
      </c>
      <c r="O1078" s="32">
        <v>0</v>
      </c>
      <c r="P1078" s="32">
        <v>0</v>
      </c>
      <c r="Q1078" s="32">
        <v>0</v>
      </c>
      <c r="R1078" s="32">
        <v>0</v>
      </c>
      <c r="S1078" s="32">
        <v>0</v>
      </c>
      <c r="T1078" s="32">
        <v>0</v>
      </c>
      <c r="U1078" s="32">
        <v>0</v>
      </c>
      <c r="V1078" s="32">
        <v>0</v>
      </c>
      <c r="W1078" s="32">
        <v>0</v>
      </c>
      <c r="X1078" s="32">
        <v>0</v>
      </c>
      <c r="Y1078" s="32">
        <v>0</v>
      </c>
      <c r="Z1078" s="32">
        <v>0</v>
      </c>
      <c r="AA1078" s="31">
        <v>0</v>
      </c>
      <c r="AB1078" s="31">
        <v>0</v>
      </c>
      <c r="AC1078" s="31">
        <f t="shared" si="316"/>
        <v>43698.080000000002</v>
      </c>
      <c r="AD1078" s="31">
        <v>150000</v>
      </c>
      <c r="AE1078" s="31">
        <v>0</v>
      </c>
      <c r="AF1078" s="34">
        <v>2022</v>
      </c>
      <c r="AG1078" s="34">
        <v>2022</v>
      </c>
      <c r="AH1078" s="35">
        <v>2022</v>
      </c>
      <c r="AT1078" s="20" t="e">
        <f t="shared" si="313"/>
        <v>#N/A</v>
      </c>
      <c r="BZ1078" s="71"/>
    </row>
    <row r="1079" spans="1:82" ht="61.5" x14ac:dyDescent="0.85">
      <c r="A1079" s="20">
        <v>1</v>
      </c>
      <c r="B1079" s="66">
        <f>SUBTOTAL(103,$A$1006:A1079)</f>
        <v>73</v>
      </c>
      <c r="C1079" s="24" t="s">
        <v>1709</v>
      </c>
      <c r="D1079" s="31">
        <f t="shared" si="315"/>
        <v>2564145.2799999998</v>
      </c>
      <c r="E1079" s="30">
        <v>0</v>
      </c>
      <c r="F1079" s="32">
        <v>0</v>
      </c>
      <c r="G1079" s="30">
        <v>0</v>
      </c>
      <c r="H1079" s="32">
        <v>0</v>
      </c>
      <c r="I1079" s="32">
        <v>0</v>
      </c>
      <c r="J1079" s="32">
        <v>0</v>
      </c>
      <c r="K1079" s="84">
        <v>0</v>
      </c>
      <c r="L1079" s="32">
        <v>0</v>
      </c>
      <c r="M1079" s="31">
        <v>375</v>
      </c>
      <c r="N1079" s="31">
        <v>2378468.2599999998</v>
      </c>
      <c r="O1079" s="32">
        <v>0</v>
      </c>
      <c r="P1079" s="32">
        <v>0</v>
      </c>
      <c r="Q1079" s="32">
        <v>0</v>
      </c>
      <c r="R1079" s="32">
        <v>0</v>
      </c>
      <c r="S1079" s="32">
        <v>0</v>
      </c>
      <c r="T1079" s="32">
        <v>0</v>
      </c>
      <c r="U1079" s="32">
        <v>0</v>
      </c>
      <c r="V1079" s="32">
        <v>0</v>
      </c>
      <c r="W1079" s="32">
        <v>0</v>
      </c>
      <c r="X1079" s="32">
        <v>0</v>
      </c>
      <c r="Y1079" s="32">
        <v>0</v>
      </c>
      <c r="Z1079" s="32">
        <v>0</v>
      </c>
      <c r="AA1079" s="31">
        <v>0</v>
      </c>
      <c r="AB1079" s="31">
        <v>0</v>
      </c>
      <c r="AC1079" s="31">
        <f t="shared" si="316"/>
        <v>35677.019999999997</v>
      </c>
      <c r="AD1079" s="31">
        <v>150000</v>
      </c>
      <c r="AE1079" s="31">
        <v>0</v>
      </c>
      <c r="AF1079" s="34">
        <v>2022</v>
      </c>
      <c r="AG1079" s="34">
        <v>2022</v>
      </c>
      <c r="AH1079" s="35">
        <v>2022</v>
      </c>
      <c r="AT1079" s="20" t="e">
        <f t="shared" si="313"/>
        <v>#N/A</v>
      </c>
      <c r="BZ1079" s="71"/>
    </row>
    <row r="1080" spans="1:82" ht="61.5" x14ac:dyDescent="0.85">
      <c r="A1080" s="20">
        <v>1</v>
      </c>
      <c r="B1080" s="66">
        <f>SUBTOTAL(103,$A$1006:A1080)</f>
        <v>74</v>
      </c>
      <c r="C1080" s="24" t="s">
        <v>479</v>
      </c>
      <c r="D1080" s="31">
        <f t="shared" si="315"/>
        <v>3110189.0700000003</v>
      </c>
      <c r="E1080" s="32">
        <v>0</v>
      </c>
      <c r="F1080" s="32">
        <v>0</v>
      </c>
      <c r="G1080" s="32">
        <v>0</v>
      </c>
      <c r="H1080" s="32">
        <v>0</v>
      </c>
      <c r="I1080" s="32">
        <v>0</v>
      </c>
      <c r="J1080" s="32">
        <v>0</v>
      </c>
      <c r="K1080" s="84">
        <v>0</v>
      </c>
      <c r="L1080" s="32">
        <v>0</v>
      </c>
      <c r="M1080" s="31">
        <v>547</v>
      </c>
      <c r="N1080" s="31">
        <f>2667213.48+249224.14+4.81</f>
        <v>2916442.43</v>
      </c>
      <c r="O1080" s="32">
        <v>0</v>
      </c>
      <c r="P1080" s="32">
        <v>0</v>
      </c>
      <c r="Q1080" s="32">
        <v>0</v>
      </c>
      <c r="R1080" s="32">
        <v>0</v>
      </c>
      <c r="S1080" s="32">
        <v>0</v>
      </c>
      <c r="T1080" s="31">
        <v>0</v>
      </c>
      <c r="U1080" s="32">
        <v>0</v>
      </c>
      <c r="V1080" s="32">
        <v>0</v>
      </c>
      <c r="W1080" s="32">
        <v>0</v>
      </c>
      <c r="X1080" s="32">
        <v>0</v>
      </c>
      <c r="Y1080" s="32">
        <v>0</v>
      </c>
      <c r="Z1080" s="32">
        <v>0</v>
      </c>
      <c r="AA1080" s="31">
        <v>0</v>
      </c>
      <c r="AB1080" s="31">
        <v>0</v>
      </c>
      <c r="AC1080" s="31">
        <f t="shared" si="316"/>
        <v>43746.64</v>
      </c>
      <c r="AD1080" s="31">
        <v>150000</v>
      </c>
      <c r="AE1080" s="31">
        <v>0</v>
      </c>
      <c r="AF1080" s="34">
        <v>2022</v>
      </c>
      <c r="AG1080" s="34">
        <v>2022</v>
      </c>
      <c r="AH1080" s="35">
        <v>2022</v>
      </c>
      <c r="AT1080" s="20" t="e">
        <f t="shared" si="313"/>
        <v>#N/A</v>
      </c>
      <c r="BZ1080" s="71"/>
    </row>
    <row r="1081" spans="1:82" ht="61.5" x14ac:dyDescent="0.85">
      <c r="A1081" s="20">
        <v>1</v>
      </c>
      <c r="B1081" s="66">
        <f>SUBTOTAL(103,$A$1006:A1081)</f>
        <v>75</v>
      </c>
      <c r="C1081" s="24" t="s">
        <v>480</v>
      </c>
      <c r="D1081" s="31">
        <f t="shared" si="315"/>
        <v>2521758.64</v>
      </c>
      <c r="E1081" s="32">
        <v>0</v>
      </c>
      <c r="F1081" s="32">
        <v>0</v>
      </c>
      <c r="G1081" s="32">
        <v>0</v>
      </c>
      <c r="H1081" s="32">
        <v>0</v>
      </c>
      <c r="I1081" s="32">
        <v>0</v>
      </c>
      <c r="J1081" s="32">
        <v>0</v>
      </c>
      <c r="K1081" s="84">
        <v>0</v>
      </c>
      <c r="L1081" s="32">
        <v>0</v>
      </c>
      <c r="M1081" s="31">
        <v>398.44</v>
      </c>
      <c r="N1081" s="31">
        <v>2366264.67</v>
      </c>
      <c r="O1081" s="32">
        <v>0</v>
      </c>
      <c r="P1081" s="32">
        <v>0</v>
      </c>
      <c r="Q1081" s="32">
        <v>0</v>
      </c>
      <c r="R1081" s="32">
        <v>0</v>
      </c>
      <c r="S1081" s="32">
        <v>0</v>
      </c>
      <c r="T1081" s="32">
        <v>0</v>
      </c>
      <c r="U1081" s="32">
        <v>0</v>
      </c>
      <c r="V1081" s="32">
        <v>0</v>
      </c>
      <c r="W1081" s="32">
        <v>0</v>
      </c>
      <c r="X1081" s="32">
        <v>0</v>
      </c>
      <c r="Y1081" s="32">
        <v>0</v>
      </c>
      <c r="Z1081" s="32">
        <v>0</v>
      </c>
      <c r="AA1081" s="31">
        <v>0</v>
      </c>
      <c r="AB1081" s="31">
        <v>0</v>
      </c>
      <c r="AC1081" s="31">
        <f>ROUND(N1081*1.5%,2)</f>
        <v>35493.97</v>
      </c>
      <c r="AD1081" s="31">
        <v>120000</v>
      </c>
      <c r="AE1081" s="31">
        <v>0</v>
      </c>
      <c r="AF1081" s="34">
        <v>2022</v>
      </c>
      <c r="AG1081" s="34">
        <v>2022</v>
      </c>
      <c r="AH1081" s="35">
        <v>2022</v>
      </c>
      <c r="AT1081" s="20" t="e">
        <f t="shared" si="313"/>
        <v>#N/A</v>
      </c>
      <c r="BZ1081" s="71"/>
    </row>
    <row r="1082" spans="1:82" ht="61.5" x14ac:dyDescent="0.85">
      <c r="A1082" s="20">
        <v>1</v>
      </c>
      <c r="B1082" s="66">
        <f>SUBTOTAL(103,$A$1006:A1082)</f>
        <v>76</v>
      </c>
      <c r="C1082" s="24" t="s">
        <v>1604</v>
      </c>
      <c r="D1082" s="31">
        <f t="shared" si="315"/>
        <v>2382311.33</v>
      </c>
      <c r="E1082" s="32">
        <v>0</v>
      </c>
      <c r="F1082" s="32">
        <v>0</v>
      </c>
      <c r="G1082" s="32">
        <v>0</v>
      </c>
      <c r="H1082" s="32">
        <v>0</v>
      </c>
      <c r="I1082" s="32">
        <v>0</v>
      </c>
      <c r="J1082" s="32">
        <v>0</v>
      </c>
      <c r="K1082" s="84">
        <v>0</v>
      </c>
      <c r="L1082" s="32">
        <v>0</v>
      </c>
      <c r="M1082" s="31">
        <v>404.2</v>
      </c>
      <c r="N1082" s="31">
        <v>2110651.56</v>
      </c>
      <c r="O1082" s="32">
        <v>0</v>
      </c>
      <c r="P1082" s="32">
        <v>0</v>
      </c>
      <c r="Q1082" s="32">
        <v>0</v>
      </c>
      <c r="R1082" s="32">
        <v>0</v>
      </c>
      <c r="S1082" s="32">
        <v>0</v>
      </c>
      <c r="T1082" s="32">
        <v>0</v>
      </c>
      <c r="U1082" s="32">
        <v>0</v>
      </c>
      <c r="V1082" s="32">
        <v>0</v>
      </c>
      <c r="W1082" s="32">
        <v>0</v>
      </c>
      <c r="X1082" s="32">
        <v>0</v>
      </c>
      <c r="Y1082" s="32">
        <v>0</v>
      </c>
      <c r="Z1082" s="32">
        <v>0</v>
      </c>
      <c r="AA1082" s="31">
        <v>0</v>
      </c>
      <c r="AB1082" s="31">
        <v>0</v>
      </c>
      <c r="AC1082" s="31">
        <f>ROUND(N1082*1.5%,2)</f>
        <v>31659.77</v>
      </c>
      <c r="AD1082" s="31">
        <v>120000</v>
      </c>
      <c r="AE1082" s="31">
        <v>120000</v>
      </c>
      <c r="AF1082" s="34">
        <v>2022</v>
      </c>
      <c r="AG1082" s="34">
        <v>2022</v>
      </c>
      <c r="AH1082" s="35">
        <v>2022</v>
      </c>
      <c r="BZ1082" s="71"/>
    </row>
    <row r="1083" spans="1:82" ht="61.5" x14ac:dyDescent="0.85">
      <c r="B1083" s="24" t="s">
        <v>763</v>
      </c>
      <c r="C1083" s="108"/>
      <c r="D1083" s="195">
        <f t="shared" ref="D1083:AE1083" si="317">SUM(D1084:D1109)</f>
        <v>90625537.659999982</v>
      </c>
      <c r="E1083" s="31">
        <f t="shared" si="317"/>
        <v>0</v>
      </c>
      <c r="F1083" s="31">
        <f t="shared" si="317"/>
        <v>501213.02</v>
      </c>
      <c r="G1083" s="31">
        <f t="shared" si="317"/>
        <v>2727709.55</v>
      </c>
      <c r="H1083" s="31">
        <f t="shared" si="317"/>
        <v>377747.66</v>
      </c>
      <c r="I1083" s="31">
        <f t="shared" si="317"/>
        <v>1794795.08</v>
      </c>
      <c r="J1083" s="31">
        <f t="shared" si="317"/>
        <v>0</v>
      </c>
      <c r="K1083" s="33">
        <f t="shared" si="317"/>
        <v>5</v>
      </c>
      <c r="L1083" s="31">
        <f t="shared" si="317"/>
        <v>10631631.530000001</v>
      </c>
      <c r="M1083" s="31">
        <f t="shared" si="317"/>
        <v>13835</v>
      </c>
      <c r="N1083" s="31">
        <f t="shared" si="317"/>
        <v>64129525.969999999</v>
      </c>
      <c r="O1083" s="31">
        <f t="shared" si="317"/>
        <v>0</v>
      </c>
      <c r="P1083" s="31">
        <f t="shared" si="317"/>
        <v>0</v>
      </c>
      <c r="Q1083" s="31">
        <f t="shared" si="317"/>
        <v>1050</v>
      </c>
      <c r="R1083" s="31">
        <f t="shared" si="317"/>
        <v>5664975.3700000001</v>
      </c>
      <c r="S1083" s="31">
        <f t="shared" si="317"/>
        <v>0</v>
      </c>
      <c r="T1083" s="31">
        <f t="shared" si="317"/>
        <v>0</v>
      </c>
      <c r="U1083" s="31">
        <f t="shared" si="317"/>
        <v>0</v>
      </c>
      <c r="V1083" s="31">
        <f t="shared" si="317"/>
        <v>0</v>
      </c>
      <c r="W1083" s="31">
        <f t="shared" si="317"/>
        <v>0</v>
      </c>
      <c r="X1083" s="31">
        <f t="shared" si="317"/>
        <v>0</v>
      </c>
      <c r="Y1083" s="31">
        <f t="shared" si="317"/>
        <v>0</v>
      </c>
      <c r="Z1083" s="31">
        <f t="shared" si="317"/>
        <v>0</v>
      </c>
      <c r="AA1083" s="31">
        <f t="shared" si="317"/>
        <v>0</v>
      </c>
      <c r="AB1083" s="31">
        <f t="shared" si="317"/>
        <v>0</v>
      </c>
      <c r="AC1083" s="31">
        <f t="shared" si="317"/>
        <v>1127939.48</v>
      </c>
      <c r="AD1083" s="31">
        <f t="shared" si="317"/>
        <v>3550000</v>
      </c>
      <c r="AE1083" s="31">
        <f t="shared" si="317"/>
        <v>120000</v>
      </c>
      <c r="AF1083" s="72" t="s">
        <v>757</v>
      </c>
      <c r="AG1083" s="72" t="s">
        <v>757</v>
      </c>
      <c r="AH1083" s="87" t="s">
        <v>757</v>
      </c>
      <c r="AT1083" s="20" t="e">
        <f t="shared" ref="AT1083:AT1120" si="318">VLOOKUP(C1083,AW:AX,2,FALSE)</f>
        <v>#N/A</v>
      </c>
      <c r="BZ1083" s="71">
        <v>91626897.959999993</v>
      </c>
    </row>
    <row r="1084" spans="1:82" ht="61.5" x14ac:dyDescent="0.85">
      <c r="A1084" s="20">
        <v>1</v>
      </c>
      <c r="B1084" s="66">
        <f>SUBTOTAL(103,$A$1006:A1084)</f>
        <v>77</v>
      </c>
      <c r="C1084" s="24" t="s">
        <v>425</v>
      </c>
      <c r="D1084" s="31">
        <f t="shared" ref="D1084:D1109" si="319">E1084+F1084+G1084+H1084+I1084+J1084+L1084+N1084+P1084+R1084+T1084+U1084+V1084+W1084+X1084+Y1084+Z1084+AA1084+AB1084+AC1084+AD1084+AE1084</f>
        <v>4487224.8899999997</v>
      </c>
      <c r="E1084" s="31">
        <v>0</v>
      </c>
      <c r="F1084" s="31">
        <v>0</v>
      </c>
      <c r="G1084" s="31">
        <v>0</v>
      </c>
      <c r="H1084" s="31">
        <v>0</v>
      </c>
      <c r="I1084" s="31">
        <v>0</v>
      </c>
      <c r="J1084" s="31">
        <v>0</v>
      </c>
      <c r="K1084" s="33">
        <v>0</v>
      </c>
      <c r="L1084" s="31">
        <v>0</v>
      </c>
      <c r="M1084" s="31">
        <v>930</v>
      </c>
      <c r="N1084" s="31">
        <v>4273127.97</v>
      </c>
      <c r="O1084" s="31">
        <v>0</v>
      </c>
      <c r="P1084" s="31">
        <v>0</v>
      </c>
      <c r="Q1084" s="31">
        <v>0</v>
      </c>
      <c r="R1084" s="31">
        <v>0</v>
      </c>
      <c r="S1084" s="31">
        <v>0</v>
      </c>
      <c r="T1084" s="31">
        <v>0</v>
      </c>
      <c r="U1084" s="31">
        <v>0</v>
      </c>
      <c r="V1084" s="31">
        <v>0</v>
      </c>
      <c r="W1084" s="31">
        <v>0</v>
      </c>
      <c r="X1084" s="31">
        <v>0</v>
      </c>
      <c r="Y1084" s="31">
        <v>0</v>
      </c>
      <c r="Z1084" s="31">
        <v>0</v>
      </c>
      <c r="AA1084" s="31">
        <v>0</v>
      </c>
      <c r="AB1084" s="31">
        <v>0</v>
      </c>
      <c r="AC1084" s="31">
        <f>ROUND(N1084*1.5%,2)</f>
        <v>64096.92</v>
      </c>
      <c r="AD1084" s="31">
        <v>150000</v>
      </c>
      <c r="AE1084" s="31">
        <v>0</v>
      </c>
      <c r="AF1084" s="34">
        <v>2022</v>
      </c>
      <c r="AG1084" s="34">
        <v>2022</v>
      </c>
      <c r="AH1084" s="35">
        <v>2022</v>
      </c>
      <c r="AT1084" s="20" t="e">
        <f t="shared" si="318"/>
        <v>#N/A</v>
      </c>
      <c r="BZ1084" s="71"/>
    </row>
    <row r="1085" spans="1:82" ht="61.5" x14ac:dyDescent="0.85">
      <c r="A1085" s="20">
        <v>1</v>
      </c>
      <c r="B1085" s="66">
        <f>SUBTOTAL(103,$A$1006:A1085)</f>
        <v>78</v>
      </c>
      <c r="C1085" s="24" t="s">
        <v>426</v>
      </c>
      <c r="D1085" s="31">
        <f t="shared" si="319"/>
        <v>3810770.28</v>
      </c>
      <c r="E1085" s="31">
        <v>0</v>
      </c>
      <c r="F1085" s="31">
        <v>501213.02</v>
      </c>
      <c r="G1085" s="31">
        <f>1795210.65+932498.9</f>
        <v>2727709.55</v>
      </c>
      <c r="H1085" s="31">
        <v>377747.66</v>
      </c>
      <c r="I1085" s="31">
        <v>0</v>
      </c>
      <c r="J1085" s="31">
        <v>0</v>
      </c>
      <c r="K1085" s="33">
        <v>0</v>
      </c>
      <c r="L1085" s="31">
        <v>0</v>
      </c>
      <c r="M1085" s="31">
        <v>0</v>
      </c>
      <c r="N1085" s="31">
        <v>0</v>
      </c>
      <c r="O1085" s="31">
        <v>0</v>
      </c>
      <c r="P1085" s="31">
        <v>0</v>
      </c>
      <c r="Q1085" s="31">
        <v>0</v>
      </c>
      <c r="R1085" s="31">
        <v>0</v>
      </c>
      <c r="S1085" s="31">
        <v>0</v>
      </c>
      <c r="T1085" s="31">
        <v>0</v>
      </c>
      <c r="U1085" s="31">
        <v>0</v>
      </c>
      <c r="V1085" s="31">
        <v>0</v>
      </c>
      <c r="W1085" s="31">
        <v>0</v>
      </c>
      <c r="X1085" s="31">
        <v>0</v>
      </c>
      <c r="Y1085" s="31">
        <v>0</v>
      </c>
      <c r="Z1085" s="31">
        <v>0</v>
      </c>
      <c r="AA1085" s="31">
        <v>0</v>
      </c>
      <c r="AB1085" s="31">
        <v>0</v>
      </c>
      <c r="AC1085" s="31">
        <f>ROUND((F1085+G1085+H1085)*1.5%,2)</f>
        <v>54100.05</v>
      </c>
      <c r="AD1085" s="31">
        <v>150000</v>
      </c>
      <c r="AE1085" s="31">
        <v>0</v>
      </c>
      <c r="AF1085" s="34">
        <v>2022</v>
      </c>
      <c r="AG1085" s="34">
        <v>2022</v>
      </c>
      <c r="AH1085" s="35">
        <v>2022</v>
      </c>
      <c r="AT1085" s="20" t="e">
        <f t="shared" si="318"/>
        <v>#N/A</v>
      </c>
      <c r="BZ1085" s="71"/>
    </row>
    <row r="1086" spans="1:82" ht="61.5" x14ac:dyDescent="0.85">
      <c r="A1086" s="20">
        <v>1</v>
      </c>
      <c r="B1086" s="66">
        <f>SUBTOTAL(103,$A$1006:A1086)</f>
        <v>79</v>
      </c>
      <c r="C1086" s="24" t="s">
        <v>427</v>
      </c>
      <c r="D1086" s="31">
        <f t="shared" si="319"/>
        <v>5394319.6899999995</v>
      </c>
      <c r="E1086" s="31">
        <v>0</v>
      </c>
      <c r="F1086" s="31">
        <v>0</v>
      </c>
      <c r="G1086" s="31">
        <v>0</v>
      </c>
      <c r="H1086" s="31">
        <v>0</v>
      </c>
      <c r="I1086" s="31">
        <v>0</v>
      </c>
      <c r="J1086" s="31">
        <v>0</v>
      </c>
      <c r="K1086" s="33">
        <v>0</v>
      </c>
      <c r="L1086" s="31">
        <v>0</v>
      </c>
      <c r="M1086" s="31">
        <v>1118</v>
      </c>
      <c r="N1086" s="31">
        <v>5137260.7799999993</v>
      </c>
      <c r="O1086" s="31">
        <v>0</v>
      </c>
      <c r="P1086" s="31">
        <v>0</v>
      </c>
      <c r="Q1086" s="31">
        <v>0</v>
      </c>
      <c r="R1086" s="31">
        <v>0</v>
      </c>
      <c r="S1086" s="31">
        <v>0</v>
      </c>
      <c r="T1086" s="31">
        <v>0</v>
      </c>
      <c r="U1086" s="31">
        <v>0</v>
      </c>
      <c r="V1086" s="31">
        <v>0</v>
      </c>
      <c r="W1086" s="31">
        <v>0</v>
      </c>
      <c r="X1086" s="31">
        <v>0</v>
      </c>
      <c r="Y1086" s="31">
        <v>0</v>
      </c>
      <c r="Z1086" s="31">
        <v>0</v>
      </c>
      <c r="AA1086" s="31">
        <v>0</v>
      </c>
      <c r="AB1086" s="31">
        <v>0</v>
      </c>
      <c r="AC1086" s="31">
        <f>ROUND(N1086*1.5%,2)</f>
        <v>77058.91</v>
      </c>
      <c r="AD1086" s="31">
        <v>180000</v>
      </c>
      <c r="AE1086" s="31">
        <v>0</v>
      </c>
      <c r="AF1086" s="34">
        <v>2022</v>
      </c>
      <c r="AG1086" s="34">
        <v>2022</v>
      </c>
      <c r="AH1086" s="35">
        <v>2022</v>
      </c>
      <c r="AT1086" s="20" t="e">
        <f t="shared" si="318"/>
        <v>#N/A</v>
      </c>
      <c r="BZ1086" s="71"/>
    </row>
    <row r="1087" spans="1:82" ht="61.5" x14ac:dyDescent="0.85">
      <c r="A1087" s="20">
        <v>1</v>
      </c>
      <c r="B1087" s="66">
        <f>SUBTOTAL(103,$A$1006:A1087)</f>
        <v>80</v>
      </c>
      <c r="C1087" s="24" t="s">
        <v>428</v>
      </c>
      <c r="D1087" s="31">
        <f t="shared" si="319"/>
        <v>5949950</v>
      </c>
      <c r="E1087" s="31">
        <v>0</v>
      </c>
      <c r="F1087" s="31">
        <v>0</v>
      </c>
      <c r="G1087" s="31">
        <v>0</v>
      </c>
      <c r="H1087" s="31">
        <v>0</v>
      </c>
      <c r="I1087" s="31">
        <v>0</v>
      </c>
      <c r="J1087" s="31">
        <v>0</v>
      </c>
      <c r="K1087" s="33">
        <v>0</v>
      </c>
      <c r="L1087" s="31">
        <v>0</v>
      </c>
      <c r="M1087" s="31">
        <v>0</v>
      </c>
      <c r="N1087" s="31">
        <v>0</v>
      </c>
      <c r="O1087" s="31">
        <v>0</v>
      </c>
      <c r="P1087" s="31">
        <v>0</v>
      </c>
      <c r="Q1087" s="31">
        <v>1050</v>
      </c>
      <c r="R1087" s="31">
        <v>5664975.3700000001</v>
      </c>
      <c r="S1087" s="31">
        <v>0</v>
      </c>
      <c r="T1087" s="31">
        <v>0</v>
      </c>
      <c r="U1087" s="31">
        <v>0</v>
      </c>
      <c r="V1087" s="31">
        <v>0</v>
      </c>
      <c r="W1087" s="31">
        <v>0</v>
      </c>
      <c r="X1087" s="31">
        <v>0</v>
      </c>
      <c r="Y1087" s="31">
        <v>0</v>
      </c>
      <c r="Z1087" s="31">
        <v>0</v>
      </c>
      <c r="AA1087" s="31">
        <v>0</v>
      </c>
      <c r="AB1087" s="31">
        <v>0</v>
      </c>
      <c r="AC1087" s="31">
        <f>ROUND(R1087*1.5%,2)</f>
        <v>84974.63</v>
      </c>
      <c r="AD1087" s="31">
        <v>200000</v>
      </c>
      <c r="AE1087" s="31">
        <v>0</v>
      </c>
      <c r="AF1087" s="34">
        <v>2022</v>
      </c>
      <c r="AG1087" s="34">
        <v>2022</v>
      </c>
      <c r="AH1087" s="35">
        <v>2022</v>
      </c>
      <c r="AT1087" s="20" t="e">
        <f t="shared" si="318"/>
        <v>#N/A</v>
      </c>
      <c r="BZ1087" s="71"/>
    </row>
    <row r="1088" spans="1:82" ht="61.5" x14ac:dyDescent="0.85">
      <c r="A1088" s="20">
        <v>1</v>
      </c>
      <c r="B1088" s="66">
        <f>SUBTOTAL(103,$A$1006:A1088)</f>
        <v>81</v>
      </c>
      <c r="C1088" s="24" t="s">
        <v>421</v>
      </c>
      <c r="D1088" s="31">
        <f t="shared" si="319"/>
        <v>2345314.9499999997</v>
      </c>
      <c r="E1088" s="31">
        <v>0</v>
      </c>
      <c r="F1088" s="31">
        <v>0</v>
      </c>
      <c r="G1088" s="31">
        <v>0</v>
      </c>
      <c r="H1088" s="31">
        <v>0</v>
      </c>
      <c r="I1088" s="31">
        <v>0</v>
      </c>
      <c r="J1088" s="31">
        <v>0</v>
      </c>
      <c r="K1088" s="74">
        <v>0</v>
      </c>
      <c r="L1088" s="31">
        <v>0</v>
      </c>
      <c r="M1088" s="31">
        <v>365</v>
      </c>
      <c r="N1088" s="31">
        <v>2074201.92</v>
      </c>
      <c r="O1088" s="31">
        <v>0</v>
      </c>
      <c r="P1088" s="31">
        <v>0</v>
      </c>
      <c r="Q1088" s="31">
        <v>0</v>
      </c>
      <c r="R1088" s="31">
        <v>0</v>
      </c>
      <c r="S1088" s="31">
        <v>0</v>
      </c>
      <c r="T1088" s="31">
        <v>0</v>
      </c>
      <c r="U1088" s="31">
        <v>0</v>
      </c>
      <c r="V1088" s="31">
        <v>0</v>
      </c>
      <c r="W1088" s="31">
        <v>0</v>
      </c>
      <c r="X1088" s="31">
        <v>0</v>
      </c>
      <c r="Y1088" s="31">
        <v>0</v>
      </c>
      <c r="Z1088" s="31">
        <v>0</v>
      </c>
      <c r="AA1088" s="31">
        <v>0</v>
      </c>
      <c r="AB1088" s="31">
        <v>0</v>
      </c>
      <c r="AC1088" s="31">
        <f t="shared" ref="AC1088" si="320">ROUND(N1088*1.5%,2)</f>
        <v>31113.03</v>
      </c>
      <c r="AD1088" s="31">
        <v>120000</v>
      </c>
      <c r="AE1088" s="31">
        <v>120000</v>
      </c>
      <c r="AF1088" s="34">
        <v>2022</v>
      </c>
      <c r="AG1088" s="34">
        <v>2022</v>
      </c>
      <c r="AH1088" s="34">
        <v>2022</v>
      </c>
      <c r="AT1088" s="20" t="e">
        <f t="shared" si="318"/>
        <v>#N/A</v>
      </c>
      <c r="BZ1088" s="71"/>
      <c r="CD1088" s="20" t="e">
        <f>VLOOKUP(C1088,CE:CF,2,FALSE)</f>
        <v>#N/A</v>
      </c>
    </row>
    <row r="1089" spans="1:78" ht="61.5" x14ac:dyDescent="0.85">
      <c r="A1089" s="20">
        <v>1</v>
      </c>
      <c r="B1089" s="66">
        <f>SUBTOTAL(103,$A$1006:A1089)</f>
        <v>82</v>
      </c>
      <c r="C1089" s="24" t="s">
        <v>430</v>
      </c>
      <c r="D1089" s="31">
        <f t="shared" si="319"/>
        <v>8270003.5300000003</v>
      </c>
      <c r="E1089" s="31">
        <v>0</v>
      </c>
      <c r="F1089" s="31">
        <v>0</v>
      </c>
      <c r="G1089" s="31">
        <v>0</v>
      </c>
      <c r="H1089" s="31">
        <v>0</v>
      </c>
      <c r="I1089" s="31">
        <v>0</v>
      </c>
      <c r="J1089" s="31">
        <v>0</v>
      </c>
      <c r="K1089" s="33">
        <v>0</v>
      </c>
      <c r="L1089" s="31">
        <v>0</v>
      </c>
      <c r="M1089" s="31">
        <v>1714</v>
      </c>
      <c r="N1089" s="31">
        <v>7970446.8300000001</v>
      </c>
      <c r="O1089" s="31">
        <v>0</v>
      </c>
      <c r="P1089" s="31">
        <v>0</v>
      </c>
      <c r="Q1089" s="31">
        <v>0</v>
      </c>
      <c r="R1089" s="31">
        <v>0</v>
      </c>
      <c r="S1089" s="31">
        <v>0</v>
      </c>
      <c r="T1089" s="31">
        <v>0</v>
      </c>
      <c r="U1089" s="31">
        <v>0</v>
      </c>
      <c r="V1089" s="31">
        <v>0</v>
      </c>
      <c r="W1089" s="31">
        <v>0</v>
      </c>
      <c r="X1089" s="31">
        <v>0</v>
      </c>
      <c r="Y1089" s="31">
        <v>0</v>
      </c>
      <c r="Z1089" s="31">
        <v>0</v>
      </c>
      <c r="AA1089" s="31">
        <v>0</v>
      </c>
      <c r="AB1089" s="31">
        <v>0</v>
      </c>
      <c r="AC1089" s="31">
        <f>ROUND(N1089*1.5%,2)</f>
        <v>119556.7</v>
      </c>
      <c r="AD1089" s="31">
        <v>180000</v>
      </c>
      <c r="AE1089" s="31">
        <v>0</v>
      </c>
      <c r="AF1089" s="34">
        <v>2022</v>
      </c>
      <c r="AG1089" s="34">
        <v>2022</v>
      </c>
      <c r="AH1089" s="35">
        <v>2022</v>
      </c>
      <c r="AT1089" s="20" t="e">
        <f t="shared" si="318"/>
        <v>#N/A</v>
      </c>
      <c r="BZ1089" s="71"/>
    </row>
    <row r="1090" spans="1:78" ht="61.5" x14ac:dyDescent="0.85">
      <c r="A1090" s="20">
        <v>1</v>
      </c>
      <c r="B1090" s="66">
        <f>SUBTOTAL(103,$A$1006:A1090)</f>
        <v>83</v>
      </c>
      <c r="C1090" s="24" t="s">
        <v>431</v>
      </c>
      <c r="D1090" s="31">
        <f t="shared" si="319"/>
        <v>2894983.73</v>
      </c>
      <c r="E1090" s="31">
        <v>0</v>
      </c>
      <c r="F1090" s="31">
        <v>0</v>
      </c>
      <c r="G1090" s="31">
        <v>0</v>
      </c>
      <c r="H1090" s="31">
        <v>0</v>
      </c>
      <c r="I1090" s="31">
        <v>0</v>
      </c>
      <c r="J1090" s="31">
        <v>0</v>
      </c>
      <c r="K1090" s="33">
        <v>0</v>
      </c>
      <c r="L1090" s="31">
        <v>0</v>
      </c>
      <c r="M1090" s="31">
        <v>600</v>
      </c>
      <c r="N1090" s="31">
        <v>2704417.47</v>
      </c>
      <c r="O1090" s="31">
        <v>0</v>
      </c>
      <c r="P1090" s="31">
        <v>0</v>
      </c>
      <c r="Q1090" s="31">
        <v>0</v>
      </c>
      <c r="R1090" s="31">
        <v>0</v>
      </c>
      <c r="S1090" s="31">
        <v>0</v>
      </c>
      <c r="T1090" s="31">
        <v>0</v>
      </c>
      <c r="U1090" s="31">
        <v>0</v>
      </c>
      <c r="V1090" s="31">
        <v>0</v>
      </c>
      <c r="W1090" s="31">
        <v>0</v>
      </c>
      <c r="X1090" s="31">
        <v>0</v>
      </c>
      <c r="Y1090" s="31">
        <v>0</v>
      </c>
      <c r="Z1090" s="31">
        <v>0</v>
      </c>
      <c r="AA1090" s="31">
        <v>0</v>
      </c>
      <c r="AB1090" s="31">
        <v>0</v>
      </c>
      <c r="AC1090" s="31">
        <f>ROUND(N1090*1.5%,2)</f>
        <v>40566.26</v>
      </c>
      <c r="AD1090" s="31">
        <v>150000</v>
      </c>
      <c r="AE1090" s="31">
        <v>0</v>
      </c>
      <c r="AF1090" s="34">
        <v>2022</v>
      </c>
      <c r="AG1090" s="34">
        <v>2022</v>
      </c>
      <c r="AH1090" s="35">
        <v>2022</v>
      </c>
      <c r="AT1090" s="20" t="e">
        <f t="shared" si="318"/>
        <v>#N/A</v>
      </c>
      <c r="BZ1090" s="71"/>
    </row>
    <row r="1091" spans="1:78" ht="61.5" x14ac:dyDescent="0.85">
      <c r="A1091" s="20">
        <v>1</v>
      </c>
      <c r="B1091" s="66">
        <f>SUBTOTAL(103,$A$1006:A1091)</f>
        <v>84</v>
      </c>
      <c r="C1091" s="24" t="s">
        <v>1714</v>
      </c>
      <c r="D1091" s="31">
        <f t="shared" si="319"/>
        <v>1688740.5100000002</v>
      </c>
      <c r="E1091" s="31">
        <v>0</v>
      </c>
      <c r="F1091" s="31">
        <v>0</v>
      </c>
      <c r="G1091" s="31">
        <v>0</v>
      </c>
      <c r="H1091" s="31">
        <v>0</v>
      </c>
      <c r="I1091" s="31">
        <v>0</v>
      </c>
      <c r="J1091" s="31">
        <v>0</v>
      </c>
      <c r="K1091" s="33">
        <v>0</v>
      </c>
      <c r="L1091" s="31">
        <v>0</v>
      </c>
      <c r="M1091" s="31">
        <v>350</v>
      </c>
      <c r="N1091" s="31">
        <v>1545557.1500000001</v>
      </c>
      <c r="O1091" s="31">
        <v>0</v>
      </c>
      <c r="P1091" s="31">
        <v>0</v>
      </c>
      <c r="Q1091" s="31">
        <v>0</v>
      </c>
      <c r="R1091" s="31">
        <v>0</v>
      </c>
      <c r="S1091" s="31">
        <v>0</v>
      </c>
      <c r="T1091" s="31">
        <v>0</v>
      </c>
      <c r="U1091" s="31">
        <v>0</v>
      </c>
      <c r="V1091" s="31">
        <v>0</v>
      </c>
      <c r="W1091" s="31">
        <v>0</v>
      </c>
      <c r="X1091" s="31">
        <v>0</v>
      </c>
      <c r="Y1091" s="31">
        <v>0</v>
      </c>
      <c r="Z1091" s="31">
        <v>0</v>
      </c>
      <c r="AA1091" s="31">
        <v>0</v>
      </c>
      <c r="AB1091" s="31">
        <v>0</v>
      </c>
      <c r="AC1091" s="31">
        <f>ROUND(N1091*1.5%,2)</f>
        <v>23183.360000000001</v>
      </c>
      <c r="AD1091" s="31">
        <v>120000</v>
      </c>
      <c r="AE1091" s="31">
        <v>0</v>
      </c>
      <c r="AF1091" s="34">
        <v>2022</v>
      </c>
      <c r="AG1091" s="34">
        <v>2022</v>
      </c>
      <c r="AH1091" s="35">
        <v>2022</v>
      </c>
      <c r="AT1091" s="20" t="e">
        <f t="shared" si="318"/>
        <v>#N/A</v>
      </c>
      <c r="BZ1091" s="71"/>
    </row>
    <row r="1092" spans="1:78" ht="61.5" x14ac:dyDescent="0.85">
      <c r="A1092" s="20">
        <v>1</v>
      </c>
      <c r="B1092" s="66">
        <f>SUBTOTAL(103,$A$1006:A1092)</f>
        <v>85</v>
      </c>
      <c r="C1092" s="24" t="s">
        <v>205</v>
      </c>
      <c r="D1092" s="31">
        <f t="shared" si="319"/>
        <v>4821497.92</v>
      </c>
      <c r="E1092" s="31">
        <v>0</v>
      </c>
      <c r="F1092" s="31">
        <v>0</v>
      </c>
      <c r="G1092" s="31">
        <v>0</v>
      </c>
      <c r="H1092" s="31">
        <v>0</v>
      </c>
      <c r="I1092" s="31">
        <v>0</v>
      </c>
      <c r="J1092" s="31">
        <v>0</v>
      </c>
      <c r="K1092" s="33">
        <v>0</v>
      </c>
      <c r="L1092" s="31">
        <v>0</v>
      </c>
      <c r="M1092" s="31">
        <v>999</v>
      </c>
      <c r="N1092" s="31">
        <v>4602461</v>
      </c>
      <c r="O1092" s="31">
        <v>0</v>
      </c>
      <c r="P1092" s="31">
        <v>0</v>
      </c>
      <c r="Q1092" s="31">
        <v>0</v>
      </c>
      <c r="R1092" s="31">
        <v>0</v>
      </c>
      <c r="S1092" s="31">
        <v>0</v>
      </c>
      <c r="T1092" s="31">
        <v>0</v>
      </c>
      <c r="U1092" s="31">
        <v>0</v>
      </c>
      <c r="V1092" s="31">
        <v>0</v>
      </c>
      <c r="W1092" s="31">
        <v>0</v>
      </c>
      <c r="X1092" s="31">
        <v>0</v>
      </c>
      <c r="Y1092" s="31">
        <v>0</v>
      </c>
      <c r="Z1092" s="31">
        <v>0</v>
      </c>
      <c r="AA1092" s="31">
        <v>0</v>
      </c>
      <c r="AB1092" s="31">
        <v>0</v>
      </c>
      <c r="AC1092" s="31">
        <f>ROUND(N1092*1.5%,2)</f>
        <v>69036.92</v>
      </c>
      <c r="AD1092" s="31">
        <v>150000</v>
      </c>
      <c r="AE1092" s="31">
        <v>0</v>
      </c>
      <c r="AF1092" s="34">
        <v>2022</v>
      </c>
      <c r="AG1092" s="34">
        <v>2022</v>
      </c>
      <c r="AH1092" s="35">
        <v>2022</v>
      </c>
      <c r="AT1092" s="20" t="e">
        <f t="shared" si="318"/>
        <v>#N/A</v>
      </c>
      <c r="BZ1092" s="71"/>
    </row>
    <row r="1093" spans="1:78" ht="61.5" x14ac:dyDescent="0.85">
      <c r="A1093" s="20">
        <v>1</v>
      </c>
      <c r="B1093" s="66">
        <f>SUBTOTAL(103,$A$1006:A1093)</f>
        <v>86</v>
      </c>
      <c r="C1093" s="24" t="s">
        <v>206</v>
      </c>
      <c r="D1093" s="31">
        <f t="shared" si="319"/>
        <v>527907</v>
      </c>
      <c r="E1093" s="31">
        <v>0</v>
      </c>
      <c r="F1093" s="31">
        <v>0</v>
      </c>
      <c r="G1093" s="31">
        <v>0</v>
      </c>
      <c r="H1093" s="31">
        <v>0</v>
      </c>
      <c r="I1093" s="31">
        <v>451139.9</v>
      </c>
      <c r="J1093" s="31">
        <v>0</v>
      </c>
      <c r="K1093" s="33">
        <v>0</v>
      </c>
      <c r="L1093" s="31">
        <v>0</v>
      </c>
      <c r="M1093" s="31">
        <v>0</v>
      </c>
      <c r="N1093" s="31">
        <v>0</v>
      </c>
      <c r="O1093" s="31">
        <v>0</v>
      </c>
      <c r="P1093" s="31">
        <v>0</v>
      </c>
      <c r="Q1093" s="31">
        <v>0</v>
      </c>
      <c r="R1093" s="31">
        <v>0</v>
      </c>
      <c r="S1093" s="31">
        <v>0</v>
      </c>
      <c r="T1093" s="31">
        <v>0</v>
      </c>
      <c r="U1093" s="31">
        <v>0</v>
      </c>
      <c r="V1093" s="31">
        <v>0</v>
      </c>
      <c r="W1093" s="31">
        <v>0</v>
      </c>
      <c r="X1093" s="31">
        <v>0</v>
      </c>
      <c r="Y1093" s="31">
        <v>0</v>
      </c>
      <c r="Z1093" s="31">
        <v>0</v>
      </c>
      <c r="AA1093" s="31">
        <v>0</v>
      </c>
      <c r="AB1093" s="31">
        <v>0</v>
      </c>
      <c r="AC1093" s="31">
        <f>ROUND((E1093+F1093+G1093+H1093+I1093+J1093)*1.5%,2)</f>
        <v>6767.1</v>
      </c>
      <c r="AD1093" s="31">
        <v>70000</v>
      </c>
      <c r="AE1093" s="31">
        <v>0</v>
      </c>
      <c r="AF1093" s="34">
        <v>2022</v>
      </c>
      <c r="AG1093" s="34">
        <v>2022</v>
      </c>
      <c r="AH1093" s="35">
        <v>2022</v>
      </c>
      <c r="AT1093" s="20" t="e">
        <f t="shared" si="318"/>
        <v>#N/A</v>
      </c>
      <c r="BZ1093" s="71"/>
    </row>
    <row r="1094" spans="1:78" ht="61.5" x14ac:dyDescent="0.85">
      <c r="A1094" s="20">
        <v>1</v>
      </c>
      <c r="B1094" s="66">
        <f>SUBTOTAL(103,$A$1006:A1094)</f>
        <v>87</v>
      </c>
      <c r="C1094" s="24" t="s">
        <v>207</v>
      </c>
      <c r="D1094" s="31">
        <f t="shared" si="319"/>
        <v>702281</v>
      </c>
      <c r="E1094" s="31">
        <v>0</v>
      </c>
      <c r="F1094" s="31">
        <v>0</v>
      </c>
      <c r="G1094" s="31">
        <v>0</v>
      </c>
      <c r="H1094" s="31">
        <v>0</v>
      </c>
      <c r="I1094" s="31">
        <v>622936.94999999995</v>
      </c>
      <c r="J1094" s="31">
        <v>0</v>
      </c>
      <c r="K1094" s="33">
        <v>0</v>
      </c>
      <c r="L1094" s="31">
        <v>0</v>
      </c>
      <c r="M1094" s="31">
        <v>0</v>
      </c>
      <c r="N1094" s="31">
        <v>0</v>
      </c>
      <c r="O1094" s="31">
        <v>0</v>
      </c>
      <c r="P1094" s="31">
        <v>0</v>
      </c>
      <c r="Q1094" s="31">
        <v>0</v>
      </c>
      <c r="R1094" s="31">
        <v>0</v>
      </c>
      <c r="S1094" s="31">
        <v>0</v>
      </c>
      <c r="T1094" s="31">
        <v>0</v>
      </c>
      <c r="U1094" s="31">
        <v>0</v>
      </c>
      <c r="V1094" s="31">
        <v>0</v>
      </c>
      <c r="W1094" s="31">
        <v>0</v>
      </c>
      <c r="X1094" s="31">
        <v>0</v>
      </c>
      <c r="Y1094" s="31">
        <v>0</v>
      </c>
      <c r="Z1094" s="31">
        <v>0</v>
      </c>
      <c r="AA1094" s="31">
        <v>0</v>
      </c>
      <c r="AB1094" s="31">
        <v>0</v>
      </c>
      <c r="AC1094" s="31">
        <f>ROUND((E1094+F1094+G1094+H1094+I1094+J1094)*1.5%,2)</f>
        <v>9344.0499999999993</v>
      </c>
      <c r="AD1094" s="31">
        <v>70000</v>
      </c>
      <c r="AE1094" s="31">
        <v>0</v>
      </c>
      <c r="AF1094" s="34">
        <v>2022</v>
      </c>
      <c r="AG1094" s="34">
        <v>2022</v>
      </c>
      <c r="AH1094" s="35">
        <v>2022</v>
      </c>
      <c r="AT1094" s="20" t="e">
        <f t="shared" si="318"/>
        <v>#N/A</v>
      </c>
      <c r="BZ1094" s="71"/>
    </row>
    <row r="1095" spans="1:78" ht="61.5" x14ac:dyDescent="0.85">
      <c r="A1095" s="20">
        <v>1</v>
      </c>
      <c r="B1095" s="66">
        <f>SUBTOTAL(103,$A$1006:A1095)</f>
        <v>88</v>
      </c>
      <c r="C1095" s="24" t="s">
        <v>208</v>
      </c>
      <c r="D1095" s="31">
        <f t="shared" si="319"/>
        <v>801529</v>
      </c>
      <c r="E1095" s="31">
        <v>0</v>
      </c>
      <c r="F1095" s="31">
        <v>0</v>
      </c>
      <c r="G1095" s="31">
        <v>0</v>
      </c>
      <c r="H1095" s="31">
        <v>0</v>
      </c>
      <c r="I1095" s="31">
        <v>720718.23</v>
      </c>
      <c r="J1095" s="31">
        <v>0</v>
      </c>
      <c r="K1095" s="33">
        <v>0</v>
      </c>
      <c r="L1095" s="31">
        <v>0</v>
      </c>
      <c r="M1095" s="31">
        <v>0</v>
      </c>
      <c r="N1095" s="31">
        <v>0</v>
      </c>
      <c r="O1095" s="31">
        <v>0</v>
      </c>
      <c r="P1095" s="31">
        <v>0</v>
      </c>
      <c r="Q1095" s="31">
        <v>0</v>
      </c>
      <c r="R1095" s="31">
        <v>0</v>
      </c>
      <c r="S1095" s="31">
        <v>0</v>
      </c>
      <c r="T1095" s="31">
        <v>0</v>
      </c>
      <c r="U1095" s="31">
        <v>0</v>
      </c>
      <c r="V1095" s="31">
        <v>0</v>
      </c>
      <c r="W1095" s="31">
        <v>0</v>
      </c>
      <c r="X1095" s="31">
        <v>0</v>
      </c>
      <c r="Y1095" s="31">
        <v>0</v>
      </c>
      <c r="Z1095" s="31">
        <v>0</v>
      </c>
      <c r="AA1095" s="31">
        <v>0</v>
      </c>
      <c r="AB1095" s="31">
        <v>0</v>
      </c>
      <c r="AC1095" s="31">
        <f>ROUND((E1095+F1095+G1095+H1095+I1095+J1095)*1.5%,2)</f>
        <v>10810.77</v>
      </c>
      <c r="AD1095" s="31">
        <v>70000</v>
      </c>
      <c r="AE1095" s="31">
        <v>0</v>
      </c>
      <c r="AF1095" s="34">
        <v>2022</v>
      </c>
      <c r="AG1095" s="34">
        <v>2022</v>
      </c>
      <c r="AH1095" s="35">
        <v>2022</v>
      </c>
      <c r="AT1095" s="20" t="e">
        <f t="shared" si="318"/>
        <v>#N/A</v>
      </c>
      <c r="BZ1095" s="71"/>
    </row>
    <row r="1096" spans="1:78" ht="61.5" x14ac:dyDescent="0.85">
      <c r="A1096" s="20">
        <v>1</v>
      </c>
      <c r="B1096" s="66">
        <f>SUBTOTAL(103,$A$1006:A1096)</f>
        <v>89</v>
      </c>
      <c r="C1096" s="24" t="s">
        <v>432</v>
      </c>
      <c r="D1096" s="31">
        <f t="shared" si="319"/>
        <v>4940772.24</v>
      </c>
      <c r="E1096" s="31">
        <v>0</v>
      </c>
      <c r="F1096" s="31">
        <v>0</v>
      </c>
      <c r="G1096" s="31">
        <v>0</v>
      </c>
      <c r="H1096" s="31">
        <v>0</v>
      </c>
      <c r="I1096" s="31">
        <v>0</v>
      </c>
      <c r="J1096" s="31">
        <v>0</v>
      </c>
      <c r="K1096" s="33">
        <v>0</v>
      </c>
      <c r="L1096" s="31">
        <v>0</v>
      </c>
      <c r="M1096" s="31">
        <v>1024</v>
      </c>
      <c r="N1096" s="31">
        <v>4690416</v>
      </c>
      <c r="O1096" s="31">
        <v>0</v>
      </c>
      <c r="P1096" s="31">
        <v>0</v>
      </c>
      <c r="Q1096" s="31">
        <v>0</v>
      </c>
      <c r="R1096" s="31">
        <v>0</v>
      </c>
      <c r="S1096" s="31">
        <v>0</v>
      </c>
      <c r="T1096" s="31">
        <v>0</v>
      </c>
      <c r="U1096" s="31">
        <v>0</v>
      </c>
      <c r="V1096" s="31">
        <v>0</v>
      </c>
      <c r="W1096" s="31">
        <v>0</v>
      </c>
      <c r="X1096" s="31">
        <v>0</v>
      </c>
      <c r="Y1096" s="31">
        <v>0</v>
      </c>
      <c r="Z1096" s="31">
        <v>0</v>
      </c>
      <c r="AA1096" s="31">
        <v>0</v>
      </c>
      <c r="AB1096" s="31">
        <v>0</v>
      </c>
      <c r="AC1096" s="31">
        <f>ROUND(N1096*1.5%,2)</f>
        <v>70356.240000000005</v>
      </c>
      <c r="AD1096" s="31">
        <v>180000</v>
      </c>
      <c r="AE1096" s="31">
        <v>0</v>
      </c>
      <c r="AF1096" s="34">
        <v>2022</v>
      </c>
      <c r="AG1096" s="34">
        <v>2022</v>
      </c>
      <c r="AH1096" s="35">
        <v>2022</v>
      </c>
      <c r="AT1096" s="20" t="e">
        <f t="shared" si="318"/>
        <v>#N/A</v>
      </c>
      <c r="BZ1096" s="71"/>
    </row>
    <row r="1097" spans="1:78" ht="61.5" x14ac:dyDescent="0.85">
      <c r="A1097" s="20">
        <v>1</v>
      </c>
      <c r="B1097" s="66">
        <f>SUBTOTAL(103,$A$1006:A1097)</f>
        <v>90</v>
      </c>
      <c r="C1097" s="24" t="s">
        <v>433</v>
      </c>
      <c r="D1097" s="31">
        <f t="shared" si="319"/>
        <v>4431631.53</v>
      </c>
      <c r="E1097" s="31">
        <v>0</v>
      </c>
      <c r="F1097" s="31">
        <v>0</v>
      </c>
      <c r="G1097" s="31">
        <v>0</v>
      </c>
      <c r="H1097" s="31">
        <v>0</v>
      </c>
      <c r="I1097" s="31">
        <v>0</v>
      </c>
      <c r="J1097" s="31">
        <v>0</v>
      </c>
      <c r="K1097" s="33">
        <v>2</v>
      </c>
      <c r="L1097" s="31">
        <v>4331631.53</v>
      </c>
      <c r="M1097" s="31">
        <v>0</v>
      </c>
      <c r="N1097" s="31">
        <v>0</v>
      </c>
      <c r="O1097" s="31">
        <v>0</v>
      </c>
      <c r="P1097" s="31">
        <v>0</v>
      </c>
      <c r="Q1097" s="31">
        <v>0</v>
      </c>
      <c r="R1097" s="31">
        <v>0</v>
      </c>
      <c r="S1097" s="31">
        <v>0</v>
      </c>
      <c r="T1097" s="31">
        <v>0</v>
      </c>
      <c r="U1097" s="31">
        <v>0</v>
      </c>
      <c r="V1097" s="31">
        <v>0</v>
      </c>
      <c r="W1097" s="31">
        <v>0</v>
      </c>
      <c r="X1097" s="31">
        <v>0</v>
      </c>
      <c r="Y1097" s="31">
        <v>0</v>
      </c>
      <c r="Z1097" s="31">
        <v>0</v>
      </c>
      <c r="AA1097" s="31">
        <v>0</v>
      </c>
      <c r="AB1097" s="31">
        <v>0</v>
      </c>
      <c r="AC1097" s="31">
        <v>0</v>
      </c>
      <c r="AD1097" s="31">
        <v>100000</v>
      </c>
      <c r="AE1097" s="31">
        <v>0</v>
      </c>
      <c r="AF1097" s="34">
        <v>2022</v>
      </c>
      <c r="AG1097" s="34">
        <v>2022</v>
      </c>
      <c r="AH1097" s="35" t="s">
        <v>270</v>
      </c>
      <c r="AT1097" s="20">
        <f t="shared" si="318"/>
        <v>1</v>
      </c>
      <c r="BZ1097" s="71"/>
    </row>
    <row r="1098" spans="1:78" ht="61.5" x14ac:dyDescent="0.85">
      <c r="A1098" s="20">
        <v>1</v>
      </c>
      <c r="B1098" s="66">
        <f>SUBTOTAL(103,$A$1006:A1098)</f>
        <v>91</v>
      </c>
      <c r="C1098" s="24" t="s">
        <v>434</v>
      </c>
      <c r="D1098" s="31">
        <f t="shared" si="319"/>
        <v>2939948.7</v>
      </c>
      <c r="E1098" s="31">
        <v>0</v>
      </c>
      <c r="F1098" s="31">
        <v>0</v>
      </c>
      <c r="G1098" s="31">
        <v>0</v>
      </c>
      <c r="H1098" s="31">
        <v>0</v>
      </c>
      <c r="I1098" s="31">
        <v>0</v>
      </c>
      <c r="J1098" s="31">
        <v>0</v>
      </c>
      <c r="K1098" s="33">
        <v>0</v>
      </c>
      <c r="L1098" s="31">
        <v>0</v>
      </c>
      <c r="M1098" s="31">
        <v>600</v>
      </c>
      <c r="N1098" s="31">
        <v>2748717.93</v>
      </c>
      <c r="O1098" s="31">
        <v>0</v>
      </c>
      <c r="P1098" s="31">
        <v>0</v>
      </c>
      <c r="Q1098" s="31">
        <v>0</v>
      </c>
      <c r="R1098" s="31">
        <v>0</v>
      </c>
      <c r="S1098" s="31">
        <v>0</v>
      </c>
      <c r="T1098" s="31">
        <v>0</v>
      </c>
      <c r="U1098" s="31">
        <v>0</v>
      </c>
      <c r="V1098" s="31">
        <v>0</v>
      </c>
      <c r="W1098" s="31">
        <v>0</v>
      </c>
      <c r="X1098" s="31">
        <v>0</v>
      </c>
      <c r="Y1098" s="31">
        <v>0</v>
      </c>
      <c r="Z1098" s="31">
        <v>0</v>
      </c>
      <c r="AA1098" s="31">
        <v>0</v>
      </c>
      <c r="AB1098" s="31">
        <v>0</v>
      </c>
      <c r="AC1098" s="31">
        <f t="shared" ref="AC1098:AC1105" si="321">ROUND(N1098*1.5%,2)</f>
        <v>41230.769999999997</v>
      </c>
      <c r="AD1098" s="31">
        <v>150000</v>
      </c>
      <c r="AE1098" s="31">
        <v>0</v>
      </c>
      <c r="AF1098" s="34">
        <v>2022</v>
      </c>
      <c r="AG1098" s="34">
        <v>2022</v>
      </c>
      <c r="AH1098" s="35">
        <v>2022</v>
      </c>
      <c r="AT1098" s="20" t="e">
        <f t="shared" si="318"/>
        <v>#N/A</v>
      </c>
      <c r="BZ1098" s="71"/>
    </row>
    <row r="1099" spans="1:78" ht="61.5" x14ac:dyDescent="0.85">
      <c r="A1099" s="20">
        <v>1</v>
      </c>
      <c r="B1099" s="66">
        <f>SUBTOTAL(103,$A$1006:A1099)</f>
        <v>92</v>
      </c>
      <c r="C1099" s="24" t="s">
        <v>435</v>
      </c>
      <c r="D1099" s="31">
        <f t="shared" si="319"/>
        <v>3392314.75</v>
      </c>
      <c r="E1099" s="31">
        <v>0</v>
      </c>
      <c r="F1099" s="31">
        <v>0</v>
      </c>
      <c r="G1099" s="31">
        <v>0</v>
      </c>
      <c r="H1099" s="31">
        <v>0</v>
      </c>
      <c r="I1099" s="31">
        <v>0</v>
      </c>
      <c r="J1099" s="31">
        <v>0</v>
      </c>
      <c r="K1099" s="33">
        <v>0</v>
      </c>
      <c r="L1099" s="31">
        <v>0</v>
      </c>
      <c r="M1099" s="31">
        <v>747</v>
      </c>
      <c r="N1099" s="31">
        <v>3194398.77</v>
      </c>
      <c r="O1099" s="31">
        <v>0</v>
      </c>
      <c r="P1099" s="31">
        <v>0</v>
      </c>
      <c r="Q1099" s="31">
        <v>0</v>
      </c>
      <c r="R1099" s="31">
        <v>0</v>
      </c>
      <c r="S1099" s="31">
        <v>0</v>
      </c>
      <c r="T1099" s="31">
        <v>0</v>
      </c>
      <c r="U1099" s="31">
        <v>0</v>
      </c>
      <c r="V1099" s="31">
        <v>0</v>
      </c>
      <c r="W1099" s="31">
        <v>0</v>
      </c>
      <c r="X1099" s="31">
        <v>0</v>
      </c>
      <c r="Y1099" s="31">
        <v>0</v>
      </c>
      <c r="Z1099" s="31">
        <v>0</v>
      </c>
      <c r="AA1099" s="31">
        <v>0</v>
      </c>
      <c r="AB1099" s="31">
        <v>0</v>
      </c>
      <c r="AC1099" s="31">
        <f t="shared" si="321"/>
        <v>47915.98</v>
      </c>
      <c r="AD1099" s="31">
        <v>150000</v>
      </c>
      <c r="AE1099" s="31">
        <v>0</v>
      </c>
      <c r="AF1099" s="34">
        <v>2022</v>
      </c>
      <c r="AG1099" s="34">
        <v>2022</v>
      </c>
      <c r="AH1099" s="35">
        <v>2022</v>
      </c>
      <c r="AT1099" s="20" t="e">
        <f t="shared" si="318"/>
        <v>#N/A</v>
      </c>
      <c r="BZ1099" s="71"/>
    </row>
    <row r="1100" spans="1:78" ht="61.5" x14ac:dyDescent="0.85">
      <c r="A1100" s="20">
        <v>1</v>
      </c>
      <c r="B1100" s="66">
        <f>SUBTOTAL(103,$A$1006:A1100)</f>
        <v>93</v>
      </c>
      <c r="C1100" s="24" t="s">
        <v>436</v>
      </c>
      <c r="D1100" s="31">
        <f t="shared" si="319"/>
        <v>2330461.9000000004</v>
      </c>
      <c r="E1100" s="31">
        <v>0</v>
      </c>
      <c r="F1100" s="31">
        <v>0</v>
      </c>
      <c r="G1100" s="31">
        <v>0</v>
      </c>
      <c r="H1100" s="31">
        <v>0</v>
      </c>
      <c r="I1100" s="31">
        <v>0</v>
      </c>
      <c r="J1100" s="31">
        <v>0</v>
      </c>
      <c r="K1100" s="33">
        <v>0</v>
      </c>
      <c r="L1100" s="31">
        <v>0</v>
      </c>
      <c r="M1100" s="31">
        <v>483</v>
      </c>
      <c r="N1100" s="31">
        <v>2177794.9800000004</v>
      </c>
      <c r="O1100" s="31">
        <v>0</v>
      </c>
      <c r="P1100" s="31">
        <v>0</v>
      </c>
      <c r="Q1100" s="31">
        <v>0</v>
      </c>
      <c r="R1100" s="31">
        <v>0</v>
      </c>
      <c r="S1100" s="31">
        <v>0</v>
      </c>
      <c r="T1100" s="31">
        <v>0</v>
      </c>
      <c r="U1100" s="31">
        <v>0</v>
      </c>
      <c r="V1100" s="31">
        <v>0</v>
      </c>
      <c r="W1100" s="31">
        <v>0</v>
      </c>
      <c r="X1100" s="31">
        <v>0</v>
      </c>
      <c r="Y1100" s="31">
        <v>0</v>
      </c>
      <c r="Z1100" s="31">
        <v>0</v>
      </c>
      <c r="AA1100" s="31">
        <v>0</v>
      </c>
      <c r="AB1100" s="31">
        <v>0</v>
      </c>
      <c r="AC1100" s="31">
        <f t="shared" si="321"/>
        <v>32666.92</v>
      </c>
      <c r="AD1100" s="31">
        <v>120000</v>
      </c>
      <c r="AE1100" s="31">
        <v>0</v>
      </c>
      <c r="AF1100" s="34">
        <v>2022</v>
      </c>
      <c r="AG1100" s="34">
        <v>2022</v>
      </c>
      <c r="AH1100" s="35">
        <v>2022</v>
      </c>
      <c r="AT1100" s="20" t="e">
        <f t="shared" si="318"/>
        <v>#N/A</v>
      </c>
      <c r="BZ1100" s="71"/>
    </row>
    <row r="1101" spans="1:78" ht="61.5" x14ac:dyDescent="0.85">
      <c r="A1101" s="20">
        <v>1</v>
      </c>
      <c r="B1101" s="66">
        <f>SUBTOTAL(103,$A$1006:A1101)</f>
        <v>94</v>
      </c>
      <c r="C1101" s="24" t="s">
        <v>437</v>
      </c>
      <c r="D1101" s="31">
        <f t="shared" si="319"/>
        <v>7737284.3099999996</v>
      </c>
      <c r="E1101" s="31">
        <v>0</v>
      </c>
      <c r="F1101" s="31">
        <v>0</v>
      </c>
      <c r="G1101" s="31">
        <v>0</v>
      </c>
      <c r="H1101" s="31">
        <v>0</v>
      </c>
      <c r="I1101" s="31">
        <v>0</v>
      </c>
      <c r="J1101" s="31">
        <v>0</v>
      </c>
      <c r="K1101" s="33">
        <v>0</v>
      </c>
      <c r="L1101" s="31">
        <v>0</v>
      </c>
      <c r="M1101" s="31">
        <v>1501</v>
      </c>
      <c r="N1101" s="31">
        <v>7445600.3099999996</v>
      </c>
      <c r="O1101" s="31">
        <v>0</v>
      </c>
      <c r="P1101" s="31">
        <v>0</v>
      </c>
      <c r="Q1101" s="31">
        <v>0</v>
      </c>
      <c r="R1101" s="31">
        <v>0</v>
      </c>
      <c r="S1101" s="31">
        <v>0</v>
      </c>
      <c r="T1101" s="31">
        <v>0</v>
      </c>
      <c r="U1101" s="31">
        <v>0</v>
      </c>
      <c r="V1101" s="31">
        <v>0</v>
      </c>
      <c r="W1101" s="31">
        <v>0</v>
      </c>
      <c r="X1101" s="31">
        <v>0</v>
      </c>
      <c r="Y1101" s="31">
        <v>0</v>
      </c>
      <c r="Z1101" s="31">
        <v>0</v>
      </c>
      <c r="AA1101" s="31">
        <v>0</v>
      </c>
      <c r="AB1101" s="31">
        <v>0</v>
      </c>
      <c r="AC1101" s="31">
        <f t="shared" si="321"/>
        <v>111684</v>
      </c>
      <c r="AD1101" s="31">
        <v>180000</v>
      </c>
      <c r="AE1101" s="31">
        <v>0</v>
      </c>
      <c r="AF1101" s="34">
        <v>2022</v>
      </c>
      <c r="AG1101" s="34">
        <v>2022</v>
      </c>
      <c r="AH1101" s="35">
        <v>2022</v>
      </c>
      <c r="AT1101" s="20" t="e">
        <f t="shared" si="318"/>
        <v>#N/A</v>
      </c>
      <c r="BZ1101" s="71"/>
    </row>
    <row r="1102" spans="1:78" ht="61.5" x14ac:dyDescent="0.85">
      <c r="A1102" s="20">
        <v>1</v>
      </c>
      <c r="B1102" s="66">
        <f>SUBTOTAL(103,$A$1006:A1102)</f>
        <v>95</v>
      </c>
      <c r="C1102" s="24" t="s">
        <v>438</v>
      </c>
      <c r="D1102" s="31">
        <f t="shared" si="319"/>
        <v>3223377.74</v>
      </c>
      <c r="E1102" s="31">
        <v>0</v>
      </c>
      <c r="F1102" s="31">
        <v>0</v>
      </c>
      <c r="G1102" s="31">
        <v>0</v>
      </c>
      <c r="H1102" s="31">
        <v>0</v>
      </c>
      <c r="I1102" s="31">
        <v>0</v>
      </c>
      <c r="J1102" s="31">
        <v>0</v>
      </c>
      <c r="K1102" s="33">
        <v>0</v>
      </c>
      <c r="L1102" s="31">
        <v>0</v>
      </c>
      <c r="M1102" s="31">
        <v>600</v>
      </c>
      <c r="N1102" s="31">
        <v>3027958.3600000003</v>
      </c>
      <c r="O1102" s="31">
        <v>0</v>
      </c>
      <c r="P1102" s="31">
        <v>0</v>
      </c>
      <c r="Q1102" s="31">
        <v>0</v>
      </c>
      <c r="R1102" s="31">
        <v>0</v>
      </c>
      <c r="S1102" s="31">
        <v>0</v>
      </c>
      <c r="T1102" s="31">
        <v>0</v>
      </c>
      <c r="U1102" s="31">
        <v>0</v>
      </c>
      <c r="V1102" s="31">
        <v>0</v>
      </c>
      <c r="W1102" s="31">
        <v>0</v>
      </c>
      <c r="X1102" s="31">
        <v>0</v>
      </c>
      <c r="Y1102" s="31">
        <v>0</v>
      </c>
      <c r="Z1102" s="31">
        <v>0</v>
      </c>
      <c r="AA1102" s="31">
        <v>0</v>
      </c>
      <c r="AB1102" s="31">
        <v>0</v>
      </c>
      <c r="AC1102" s="31">
        <f t="shared" si="321"/>
        <v>45419.38</v>
      </c>
      <c r="AD1102" s="31">
        <v>150000</v>
      </c>
      <c r="AE1102" s="31">
        <v>0</v>
      </c>
      <c r="AF1102" s="34">
        <v>2022</v>
      </c>
      <c r="AG1102" s="34">
        <v>2022</v>
      </c>
      <c r="AH1102" s="35">
        <v>2022</v>
      </c>
      <c r="AT1102" s="20" t="e">
        <f t="shared" si="318"/>
        <v>#N/A</v>
      </c>
      <c r="BZ1102" s="71"/>
    </row>
    <row r="1103" spans="1:78" ht="61.5" x14ac:dyDescent="0.85">
      <c r="A1103" s="20">
        <v>1</v>
      </c>
      <c r="B1103" s="66">
        <f>SUBTOTAL(103,$A$1006:A1103)</f>
        <v>96</v>
      </c>
      <c r="C1103" s="24" t="s">
        <v>439</v>
      </c>
      <c r="D1103" s="31">
        <f t="shared" si="319"/>
        <v>1785415</v>
      </c>
      <c r="E1103" s="31">
        <v>0</v>
      </c>
      <c r="F1103" s="31">
        <v>0</v>
      </c>
      <c r="G1103" s="31">
        <v>0</v>
      </c>
      <c r="H1103" s="31">
        <v>0</v>
      </c>
      <c r="I1103" s="31">
        <v>0</v>
      </c>
      <c r="J1103" s="31">
        <v>0</v>
      </c>
      <c r="K1103" s="33">
        <v>0</v>
      </c>
      <c r="L1103" s="31">
        <v>0</v>
      </c>
      <c r="M1103" s="31">
        <v>369</v>
      </c>
      <c r="N1103" s="31">
        <v>1640802.96</v>
      </c>
      <c r="O1103" s="31">
        <v>0</v>
      </c>
      <c r="P1103" s="31">
        <v>0</v>
      </c>
      <c r="Q1103" s="31">
        <v>0</v>
      </c>
      <c r="R1103" s="31">
        <v>0</v>
      </c>
      <c r="S1103" s="31">
        <v>0</v>
      </c>
      <c r="T1103" s="31">
        <v>0</v>
      </c>
      <c r="U1103" s="31">
        <v>0</v>
      </c>
      <c r="V1103" s="31">
        <v>0</v>
      </c>
      <c r="W1103" s="31">
        <v>0</v>
      </c>
      <c r="X1103" s="31">
        <v>0</v>
      </c>
      <c r="Y1103" s="31">
        <v>0</v>
      </c>
      <c r="Z1103" s="31">
        <v>0</v>
      </c>
      <c r="AA1103" s="31">
        <v>0</v>
      </c>
      <c r="AB1103" s="31">
        <v>0</v>
      </c>
      <c r="AC1103" s="31">
        <f t="shared" si="321"/>
        <v>24612.04</v>
      </c>
      <c r="AD1103" s="31">
        <v>120000</v>
      </c>
      <c r="AE1103" s="31">
        <v>0</v>
      </c>
      <c r="AF1103" s="34">
        <v>2022</v>
      </c>
      <c r="AG1103" s="34">
        <v>2022</v>
      </c>
      <c r="AH1103" s="35">
        <v>2022</v>
      </c>
      <c r="AT1103" s="20" t="e">
        <f t="shared" si="318"/>
        <v>#N/A</v>
      </c>
      <c r="BZ1103" s="71"/>
    </row>
    <row r="1104" spans="1:78" ht="61.5" x14ac:dyDescent="0.85">
      <c r="A1104" s="20">
        <v>1</v>
      </c>
      <c r="B1104" s="66">
        <f>SUBTOTAL(103,$A$1006:A1104)</f>
        <v>97</v>
      </c>
      <c r="C1104" s="24" t="s">
        <v>210</v>
      </c>
      <c r="D1104" s="31">
        <f t="shared" si="319"/>
        <v>2534110.7700000005</v>
      </c>
      <c r="E1104" s="31">
        <v>0</v>
      </c>
      <c r="F1104" s="31">
        <v>0</v>
      </c>
      <c r="G1104" s="31">
        <v>0</v>
      </c>
      <c r="H1104" s="31">
        <v>0</v>
      </c>
      <c r="I1104" s="31">
        <v>0</v>
      </c>
      <c r="J1104" s="31">
        <v>0</v>
      </c>
      <c r="K1104" s="33">
        <v>0</v>
      </c>
      <c r="L1104" s="31">
        <v>0</v>
      </c>
      <c r="M1104" s="31">
        <v>525</v>
      </c>
      <c r="N1104" s="31">
        <v>2348877.6100000003</v>
      </c>
      <c r="O1104" s="31">
        <v>0</v>
      </c>
      <c r="P1104" s="31">
        <v>0</v>
      </c>
      <c r="Q1104" s="31">
        <v>0</v>
      </c>
      <c r="R1104" s="31">
        <v>0</v>
      </c>
      <c r="S1104" s="31">
        <v>0</v>
      </c>
      <c r="T1104" s="31">
        <v>0</v>
      </c>
      <c r="U1104" s="31">
        <v>0</v>
      </c>
      <c r="V1104" s="31">
        <v>0</v>
      </c>
      <c r="W1104" s="31">
        <v>0</v>
      </c>
      <c r="X1104" s="31">
        <v>0</v>
      </c>
      <c r="Y1104" s="31">
        <v>0</v>
      </c>
      <c r="Z1104" s="31">
        <v>0</v>
      </c>
      <c r="AA1104" s="31">
        <v>0</v>
      </c>
      <c r="AB1104" s="31">
        <v>0</v>
      </c>
      <c r="AC1104" s="31">
        <f t="shared" si="321"/>
        <v>35233.160000000003</v>
      </c>
      <c r="AD1104" s="31">
        <v>150000</v>
      </c>
      <c r="AE1104" s="31">
        <v>0</v>
      </c>
      <c r="AF1104" s="34">
        <v>2022</v>
      </c>
      <c r="AG1104" s="34">
        <v>2022</v>
      </c>
      <c r="AH1104" s="35">
        <v>2022</v>
      </c>
      <c r="AT1104" s="20" t="e">
        <f t="shared" si="318"/>
        <v>#N/A</v>
      </c>
      <c r="BZ1104" s="71"/>
    </row>
    <row r="1105" spans="1:78" ht="61.5" x14ac:dyDescent="0.85">
      <c r="A1105" s="20">
        <v>1</v>
      </c>
      <c r="B1105" s="66">
        <f>SUBTOTAL(103,$A$1006:A1105)</f>
        <v>98</v>
      </c>
      <c r="C1105" s="24" t="s">
        <v>209</v>
      </c>
      <c r="D1105" s="31">
        <f t="shared" si="319"/>
        <v>2967533.3499999996</v>
      </c>
      <c r="E1105" s="31">
        <v>0</v>
      </c>
      <c r="F1105" s="31">
        <v>0</v>
      </c>
      <c r="G1105" s="31">
        <v>0</v>
      </c>
      <c r="H1105" s="31">
        <v>0</v>
      </c>
      <c r="I1105" s="31">
        <v>0</v>
      </c>
      <c r="J1105" s="31">
        <v>0</v>
      </c>
      <c r="K1105" s="33">
        <v>0</v>
      </c>
      <c r="L1105" s="31">
        <v>0</v>
      </c>
      <c r="M1105" s="31">
        <v>614</v>
      </c>
      <c r="N1105" s="31">
        <v>2775894.9299999997</v>
      </c>
      <c r="O1105" s="31">
        <v>0</v>
      </c>
      <c r="P1105" s="31">
        <v>0</v>
      </c>
      <c r="Q1105" s="31">
        <v>0</v>
      </c>
      <c r="R1105" s="31">
        <v>0</v>
      </c>
      <c r="S1105" s="31">
        <v>0</v>
      </c>
      <c r="T1105" s="31">
        <v>0</v>
      </c>
      <c r="U1105" s="31">
        <v>0</v>
      </c>
      <c r="V1105" s="31">
        <v>0</v>
      </c>
      <c r="W1105" s="31">
        <v>0</v>
      </c>
      <c r="X1105" s="31">
        <v>0</v>
      </c>
      <c r="Y1105" s="31">
        <v>0</v>
      </c>
      <c r="Z1105" s="31">
        <v>0</v>
      </c>
      <c r="AA1105" s="31">
        <v>0</v>
      </c>
      <c r="AB1105" s="31">
        <v>0</v>
      </c>
      <c r="AC1105" s="31">
        <f t="shared" si="321"/>
        <v>41638.42</v>
      </c>
      <c r="AD1105" s="31">
        <v>150000</v>
      </c>
      <c r="AE1105" s="31">
        <v>0</v>
      </c>
      <c r="AF1105" s="34">
        <v>2022</v>
      </c>
      <c r="AG1105" s="34">
        <v>2022</v>
      </c>
      <c r="AH1105" s="35">
        <v>2022</v>
      </c>
      <c r="AT1105" s="20" t="e">
        <f t="shared" si="318"/>
        <v>#N/A</v>
      </c>
      <c r="BZ1105" s="71"/>
    </row>
    <row r="1106" spans="1:78" ht="61.5" x14ac:dyDescent="0.85">
      <c r="A1106" s="20">
        <v>1</v>
      </c>
      <c r="B1106" s="66">
        <f>SUBTOTAL(103,$A$1006:A1106)</f>
        <v>99</v>
      </c>
      <c r="C1106" s="24" t="s">
        <v>441</v>
      </c>
      <c r="D1106" s="31">
        <f t="shared" si="319"/>
        <v>1780239.97</v>
      </c>
      <c r="E1106" s="31">
        <v>0</v>
      </c>
      <c r="F1106" s="31">
        <v>0</v>
      </c>
      <c r="G1106" s="31">
        <v>0</v>
      </c>
      <c r="H1106" s="31">
        <v>0</v>
      </c>
      <c r="I1106" s="31">
        <v>0</v>
      </c>
      <c r="J1106" s="31">
        <v>0</v>
      </c>
      <c r="K1106" s="33">
        <v>0</v>
      </c>
      <c r="L1106" s="31">
        <v>0</v>
      </c>
      <c r="M1106" s="31">
        <v>370</v>
      </c>
      <c r="N1106" s="31">
        <v>1635704.4</v>
      </c>
      <c r="O1106" s="31">
        <v>0</v>
      </c>
      <c r="P1106" s="31">
        <v>0</v>
      </c>
      <c r="Q1106" s="31">
        <v>0</v>
      </c>
      <c r="R1106" s="31">
        <v>0</v>
      </c>
      <c r="S1106" s="31">
        <v>0</v>
      </c>
      <c r="T1106" s="31">
        <v>0</v>
      </c>
      <c r="U1106" s="31">
        <v>0</v>
      </c>
      <c r="V1106" s="31">
        <v>0</v>
      </c>
      <c r="W1106" s="31">
        <v>0</v>
      </c>
      <c r="X1106" s="31">
        <v>0</v>
      </c>
      <c r="Y1106" s="31">
        <v>0</v>
      </c>
      <c r="Z1106" s="31">
        <v>0</v>
      </c>
      <c r="AA1106" s="31">
        <v>0</v>
      </c>
      <c r="AB1106" s="31">
        <v>0</v>
      </c>
      <c r="AC1106" s="31">
        <f>ROUND(N1106*1.5%,2)</f>
        <v>24535.57</v>
      </c>
      <c r="AD1106" s="31">
        <v>120000</v>
      </c>
      <c r="AE1106" s="31">
        <v>0</v>
      </c>
      <c r="AF1106" s="34">
        <v>2022</v>
      </c>
      <c r="AG1106" s="34">
        <v>2022</v>
      </c>
      <c r="AH1106" s="35">
        <v>2022</v>
      </c>
      <c r="AT1106" s="20" t="e">
        <f t="shared" si="318"/>
        <v>#N/A</v>
      </c>
      <c r="BZ1106" s="71"/>
    </row>
    <row r="1107" spans="1:78" ht="61.5" x14ac:dyDescent="0.85">
      <c r="A1107" s="20">
        <v>1</v>
      </c>
      <c r="B1107" s="66">
        <f>SUBTOTAL(103,$A$1006:A1107)</f>
        <v>100</v>
      </c>
      <c r="C1107" s="24" t="s">
        <v>442</v>
      </c>
      <c r="D1107" s="31">
        <f t="shared" si="319"/>
        <v>2557235.63</v>
      </c>
      <c r="E1107" s="31">
        <v>0</v>
      </c>
      <c r="F1107" s="31">
        <v>0</v>
      </c>
      <c r="G1107" s="31">
        <v>0</v>
      </c>
      <c r="H1107" s="31">
        <v>0</v>
      </c>
      <c r="I1107" s="31">
        <v>0</v>
      </c>
      <c r="J1107" s="31">
        <v>0</v>
      </c>
      <c r="K1107" s="33">
        <v>0</v>
      </c>
      <c r="L1107" s="31">
        <v>0</v>
      </c>
      <c r="M1107" s="31">
        <v>530</v>
      </c>
      <c r="N1107" s="31">
        <v>2371660.7199999997</v>
      </c>
      <c r="O1107" s="31">
        <v>0</v>
      </c>
      <c r="P1107" s="31">
        <v>0</v>
      </c>
      <c r="Q1107" s="31">
        <v>0</v>
      </c>
      <c r="R1107" s="31">
        <v>0</v>
      </c>
      <c r="S1107" s="31">
        <v>0</v>
      </c>
      <c r="T1107" s="31">
        <v>0</v>
      </c>
      <c r="U1107" s="31">
        <v>0</v>
      </c>
      <c r="V1107" s="31">
        <v>0</v>
      </c>
      <c r="W1107" s="31">
        <v>0</v>
      </c>
      <c r="X1107" s="31">
        <v>0</v>
      </c>
      <c r="Y1107" s="31">
        <v>0</v>
      </c>
      <c r="Z1107" s="31">
        <v>0</v>
      </c>
      <c r="AA1107" s="31">
        <v>0</v>
      </c>
      <c r="AB1107" s="31">
        <v>0</v>
      </c>
      <c r="AC1107" s="31">
        <f>ROUND(N1107*1.5%,2)</f>
        <v>35574.910000000003</v>
      </c>
      <c r="AD1107" s="31">
        <v>150000</v>
      </c>
      <c r="AE1107" s="31">
        <v>0</v>
      </c>
      <c r="AF1107" s="34">
        <v>2022</v>
      </c>
      <c r="AG1107" s="34">
        <v>2022</v>
      </c>
      <c r="AH1107" s="35">
        <v>2022</v>
      </c>
      <c r="AT1107" s="20" t="e">
        <f t="shared" si="318"/>
        <v>#N/A</v>
      </c>
      <c r="BZ1107" s="71"/>
    </row>
    <row r="1108" spans="1:78" ht="61.5" x14ac:dyDescent="0.85">
      <c r="A1108" s="20">
        <v>1</v>
      </c>
      <c r="B1108" s="66">
        <f>SUBTOTAL(103,$A$1006:A1108)</f>
        <v>101</v>
      </c>
      <c r="C1108" s="24" t="s">
        <v>443</v>
      </c>
      <c r="D1108" s="31">
        <f t="shared" si="319"/>
        <v>1910689.27</v>
      </c>
      <c r="E1108" s="31">
        <v>0</v>
      </c>
      <c r="F1108" s="31">
        <v>0</v>
      </c>
      <c r="G1108" s="31">
        <v>0</v>
      </c>
      <c r="H1108" s="31">
        <v>0</v>
      </c>
      <c r="I1108" s="31">
        <v>0</v>
      </c>
      <c r="J1108" s="31">
        <v>0</v>
      </c>
      <c r="K1108" s="33">
        <v>0</v>
      </c>
      <c r="L1108" s="31">
        <v>0</v>
      </c>
      <c r="M1108" s="31">
        <v>396</v>
      </c>
      <c r="N1108" s="31">
        <v>1764225.8800000001</v>
      </c>
      <c r="O1108" s="31">
        <v>0</v>
      </c>
      <c r="P1108" s="31">
        <v>0</v>
      </c>
      <c r="Q1108" s="31">
        <v>0</v>
      </c>
      <c r="R1108" s="31">
        <v>0</v>
      </c>
      <c r="S1108" s="31">
        <v>0</v>
      </c>
      <c r="T1108" s="31">
        <v>0</v>
      </c>
      <c r="U1108" s="31">
        <v>0</v>
      </c>
      <c r="V1108" s="31">
        <v>0</v>
      </c>
      <c r="W1108" s="31">
        <v>0</v>
      </c>
      <c r="X1108" s="31">
        <v>0</v>
      </c>
      <c r="Y1108" s="31">
        <v>0</v>
      </c>
      <c r="Z1108" s="31">
        <v>0</v>
      </c>
      <c r="AA1108" s="31">
        <v>0</v>
      </c>
      <c r="AB1108" s="31">
        <v>0</v>
      </c>
      <c r="AC1108" s="31">
        <f>ROUND(N1108*1.5%,2)</f>
        <v>26463.39</v>
      </c>
      <c r="AD1108" s="31">
        <v>120000</v>
      </c>
      <c r="AE1108" s="31">
        <v>0</v>
      </c>
      <c r="AF1108" s="34">
        <v>2022</v>
      </c>
      <c r="AG1108" s="34">
        <v>2022</v>
      </c>
      <c r="AH1108" s="35">
        <v>2022</v>
      </c>
      <c r="AT1108" s="20" t="e">
        <f t="shared" si="318"/>
        <v>#N/A</v>
      </c>
      <c r="BZ1108" s="71"/>
    </row>
    <row r="1109" spans="1:78" ht="61.5" x14ac:dyDescent="0.85">
      <c r="A1109" s="20">
        <v>1</v>
      </c>
      <c r="B1109" s="66">
        <f>SUBTOTAL(103,$A$1006:A1109)</f>
        <v>102</v>
      </c>
      <c r="C1109" s="24" t="s">
        <v>820</v>
      </c>
      <c r="D1109" s="31">
        <f t="shared" si="319"/>
        <v>6400000</v>
      </c>
      <c r="E1109" s="31">
        <v>0</v>
      </c>
      <c r="F1109" s="31">
        <v>0</v>
      </c>
      <c r="G1109" s="31">
        <v>0</v>
      </c>
      <c r="H1109" s="31">
        <v>0</v>
      </c>
      <c r="I1109" s="31">
        <v>0</v>
      </c>
      <c r="J1109" s="31">
        <v>0</v>
      </c>
      <c r="K1109" s="33">
        <v>3</v>
      </c>
      <c r="L1109" s="31">
        <v>6300000</v>
      </c>
      <c r="M1109" s="31">
        <v>0</v>
      </c>
      <c r="N1109" s="31">
        <v>0</v>
      </c>
      <c r="O1109" s="31">
        <v>0</v>
      </c>
      <c r="P1109" s="31">
        <v>0</v>
      </c>
      <c r="Q1109" s="31">
        <v>0</v>
      </c>
      <c r="R1109" s="31">
        <v>0</v>
      </c>
      <c r="S1109" s="31">
        <v>0</v>
      </c>
      <c r="T1109" s="31">
        <v>0</v>
      </c>
      <c r="U1109" s="31">
        <v>0</v>
      </c>
      <c r="V1109" s="31">
        <v>0</v>
      </c>
      <c r="W1109" s="31">
        <v>0</v>
      </c>
      <c r="X1109" s="31">
        <v>0</v>
      </c>
      <c r="Y1109" s="31">
        <v>0</v>
      </c>
      <c r="Z1109" s="31">
        <v>0</v>
      </c>
      <c r="AA1109" s="31">
        <v>0</v>
      </c>
      <c r="AB1109" s="31">
        <v>0</v>
      </c>
      <c r="AC1109" s="31">
        <v>0</v>
      </c>
      <c r="AD1109" s="31">
        <v>100000</v>
      </c>
      <c r="AE1109" s="31">
        <v>0</v>
      </c>
      <c r="AF1109" s="34">
        <v>2022</v>
      </c>
      <c r="AG1109" s="34">
        <v>2022</v>
      </c>
      <c r="AH1109" s="35" t="s">
        <v>270</v>
      </c>
      <c r="AT1109" s="20" t="e">
        <f t="shared" si="318"/>
        <v>#N/A</v>
      </c>
      <c r="BZ1109" s="71"/>
    </row>
    <row r="1110" spans="1:78" ht="61.5" x14ac:dyDescent="0.85">
      <c r="B1110" s="24" t="s">
        <v>787</v>
      </c>
      <c r="C1110" s="24"/>
      <c r="D1110" s="195">
        <f>SUM(D1111:D1121)</f>
        <v>46331140.729999997</v>
      </c>
      <c r="E1110" s="31">
        <f t="shared" ref="E1110:AE1110" si="322">SUM(E1111:E1121)</f>
        <v>0</v>
      </c>
      <c r="F1110" s="31">
        <f t="shared" si="322"/>
        <v>0</v>
      </c>
      <c r="G1110" s="31">
        <f t="shared" si="322"/>
        <v>0</v>
      </c>
      <c r="H1110" s="31">
        <f t="shared" si="322"/>
        <v>0</v>
      </c>
      <c r="I1110" s="31">
        <f t="shared" si="322"/>
        <v>0</v>
      </c>
      <c r="J1110" s="31">
        <f t="shared" si="322"/>
        <v>0</v>
      </c>
      <c r="K1110" s="33">
        <f t="shared" si="322"/>
        <v>4</v>
      </c>
      <c r="L1110" s="31">
        <f t="shared" si="322"/>
        <v>8452796.0600000005</v>
      </c>
      <c r="M1110" s="31">
        <f t="shared" si="322"/>
        <v>7218.5</v>
      </c>
      <c r="N1110" s="31">
        <f t="shared" si="322"/>
        <v>34134436.520000003</v>
      </c>
      <c r="O1110" s="31">
        <f t="shared" si="322"/>
        <v>0</v>
      </c>
      <c r="P1110" s="31">
        <f t="shared" si="322"/>
        <v>0</v>
      </c>
      <c r="Q1110" s="31">
        <f t="shared" si="322"/>
        <v>360</v>
      </c>
      <c r="R1110" s="31">
        <f t="shared" si="322"/>
        <v>1883637.04</v>
      </c>
      <c r="S1110" s="31">
        <f t="shared" si="322"/>
        <v>0</v>
      </c>
      <c r="T1110" s="31">
        <f t="shared" si="322"/>
        <v>0</v>
      </c>
      <c r="U1110" s="31">
        <f t="shared" si="322"/>
        <v>0</v>
      </c>
      <c r="V1110" s="31">
        <f t="shared" si="322"/>
        <v>0</v>
      </c>
      <c r="W1110" s="31">
        <f t="shared" si="322"/>
        <v>0</v>
      </c>
      <c r="X1110" s="31">
        <f t="shared" si="322"/>
        <v>0</v>
      </c>
      <c r="Y1110" s="31">
        <f t="shared" si="322"/>
        <v>0</v>
      </c>
      <c r="Z1110" s="31">
        <f t="shared" si="322"/>
        <v>0</v>
      </c>
      <c r="AA1110" s="31">
        <f t="shared" si="322"/>
        <v>0</v>
      </c>
      <c r="AB1110" s="31">
        <f t="shared" si="322"/>
        <v>0</v>
      </c>
      <c r="AC1110" s="31">
        <f t="shared" si="322"/>
        <v>540271.11</v>
      </c>
      <c r="AD1110" s="31">
        <f t="shared" si="322"/>
        <v>1320000</v>
      </c>
      <c r="AE1110" s="31">
        <f t="shared" si="322"/>
        <v>0</v>
      </c>
      <c r="AF1110" s="34" t="s">
        <v>757</v>
      </c>
      <c r="AG1110" s="34" t="s">
        <v>757</v>
      </c>
      <c r="AH1110" s="35" t="s">
        <v>757</v>
      </c>
      <c r="AT1110" s="20" t="e">
        <f t="shared" si="318"/>
        <v>#N/A</v>
      </c>
      <c r="BZ1110" s="71">
        <v>46315599.309999995</v>
      </c>
    </row>
    <row r="1111" spans="1:78" ht="61.5" x14ac:dyDescent="0.85">
      <c r="A1111" s="20">
        <v>1</v>
      </c>
      <c r="B1111" s="66">
        <f>SUBTOTAL(103,$A$1006:A1111)</f>
        <v>103</v>
      </c>
      <c r="C1111" s="24" t="s">
        <v>788</v>
      </c>
      <c r="D1111" s="31">
        <f t="shared" ref="D1111:D1121" si="323">E1111+F1111+G1111+H1111+I1111+J1111+L1111+N1111+P1111+R1111+T1111+U1111+V1111+W1111+X1111+Y1111+Z1111+AA1111+AB1111+AC1111+AD1111+AE1111</f>
        <v>2642230.7999999998</v>
      </c>
      <c r="E1111" s="31">
        <v>0</v>
      </c>
      <c r="F1111" s="31">
        <v>0</v>
      </c>
      <c r="G1111" s="31">
        <v>0</v>
      </c>
      <c r="H1111" s="31">
        <v>0</v>
      </c>
      <c r="I1111" s="31">
        <v>0</v>
      </c>
      <c r="J1111" s="31">
        <v>0</v>
      </c>
      <c r="K1111" s="33">
        <v>0</v>
      </c>
      <c r="L1111" s="31">
        <v>0</v>
      </c>
      <c r="M1111" s="31">
        <v>506</v>
      </c>
      <c r="N1111" s="31">
        <v>2494808.67</v>
      </c>
      <c r="O1111" s="31">
        <v>0</v>
      </c>
      <c r="P1111" s="31">
        <v>0</v>
      </c>
      <c r="Q1111" s="31">
        <v>0</v>
      </c>
      <c r="R1111" s="31">
        <v>0</v>
      </c>
      <c r="S1111" s="31">
        <v>0</v>
      </c>
      <c r="T1111" s="31">
        <v>0</v>
      </c>
      <c r="U1111" s="31">
        <v>0</v>
      </c>
      <c r="V1111" s="31">
        <v>0</v>
      </c>
      <c r="W1111" s="31">
        <v>0</v>
      </c>
      <c r="X1111" s="31">
        <v>0</v>
      </c>
      <c r="Y1111" s="31">
        <v>0</v>
      </c>
      <c r="Z1111" s="31">
        <v>0</v>
      </c>
      <c r="AA1111" s="31">
        <v>0</v>
      </c>
      <c r="AB1111" s="31">
        <v>0</v>
      </c>
      <c r="AC1111" s="31">
        <f>ROUND(N1111*1.5%,2)</f>
        <v>37422.129999999997</v>
      </c>
      <c r="AD1111" s="31">
        <v>110000</v>
      </c>
      <c r="AE1111" s="31">
        <v>0</v>
      </c>
      <c r="AF1111" s="34">
        <v>2022</v>
      </c>
      <c r="AG1111" s="34">
        <v>2022</v>
      </c>
      <c r="AH1111" s="35">
        <v>2022</v>
      </c>
      <c r="AT1111" s="20" t="e">
        <f t="shared" si="318"/>
        <v>#N/A</v>
      </c>
      <c r="BZ1111" s="71"/>
    </row>
    <row r="1112" spans="1:78" ht="61.5" x14ac:dyDescent="0.85">
      <c r="A1112" s="20">
        <v>1</v>
      </c>
      <c r="B1112" s="66">
        <f>SUBTOTAL(103,$A$1006:A1112)</f>
        <v>104</v>
      </c>
      <c r="C1112" s="24" t="s">
        <v>789</v>
      </c>
      <c r="D1112" s="31">
        <f t="shared" si="323"/>
        <v>2496020.4</v>
      </c>
      <c r="E1112" s="31">
        <v>0</v>
      </c>
      <c r="F1112" s="31">
        <v>0</v>
      </c>
      <c r="G1112" s="31">
        <v>0</v>
      </c>
      <c r="H1112" s="31">
        <v>0</v>
      </c>
      <c r="I1112" s="31">
        <v>0</v>
      </c>
      <c r="J1112" s="31">
        <v>0</v>
      </c>
      <c r="K1112" s="33">
        <v>0</v>
      </c>
      <c r="L1112" s="31">
        <v>0</v>
      </c>
      <c r="M1112" s="31">
        <v>478</v>
      </c>
      <c r="N1112" s="31">
        <v>2350759.0099999998</v>
      </c>
      <c r="O1112" s="31">
        <v>0</v>
      </c>
      <c r="P1112" s="31">
        <v>0</v>
      </c>
      <c r="Q1112" s="31">
        <v>0</v>
      </c>
      <c r="R1112" s="31">
        <v>0</v>
      </c>
      <c r="S1112" s="31">
        <v>0</v>
      </c>
      <c r="T1112" s="31">
        <v>0</v>
      </c>
      <c r="U1112" s="31">
        <v>0</v>
      </c>
      <c r="V1112" s="31">
        <v>0</v>
      </c>
      <c r="W1112" s="31">
        <v>0</v>
      </c>
      <c r="X1112" s="31">
        <v>0</v>
      </c>
      <c r="Y1112" s="31">
        <v>0</v>
      </c>
      <c r="Z1112" s="31">
        <v>0</v>
      </c>
      <c r="AA1112" s="31">
        <v>0</v>
      </c>
      <c r="AB1112" s="31">
        <v>0</v>
      </c>
      <c r="AC1112" s="31">
        <f>ROUND(N1112*1.5%,2)</f>
        <v>35261.39</v>
      </c>
      <c r="AD1112" s="31">
        <v>110000</v>
      </c>
      <c r="AE1112" s="31">
        <v>0</v>
      </c>
      <c r="AF1112" s="34">
        <v>2022</v>
      </c>
      <c r="AG1112" s="34">
        <v>2022</v>
      </c>
      <c r="AH1112" s="35">
        <v>2022</v>
      </c>
      <c r="AT1112" s="20" t="e">
        <f t="shared" si="318"/>
        <v>#N/A</v>
      </c>
      <c r="BZ1112" s="71"/>
    </row>
    <row r="1113" spans="1:78" ht="61.5" x14ac:dyDescent="0.85">
      <c r="A1113" s="20">
        <v>1</v>
      </c>
      <c r="B1113" s="66">
        <f>SUBTOTAL(103,$A$1006:A1113)</f>
        <v>105</v>
      </c>
      <c r="C1113" s="24" t="s">
        <v>2301</v>
      </c>
      <c r="D1113" s="31">
        <f t="shared" si="323"/>
        <v>3119600</v>
      </c>
      <c r="E1113" s="31">
        <v>0</v>
      </c>
      <c r="F1113" s="31">
        <v>0</v>
      </c>
      <c r="G1113" s="31">
        <v>0</v>
      </c>
      <c r="H1113" s="31">
        <v>0</v>
      </c>
      <c r="I1113" s="31">
        <v>0</v>
      </c>
      <c r="J1113" s="31">
        <v>0</v>
      </c>
      <c r="K1113" s="33">
        <v>0</v>
      </c>
      <c r="L1113" s="31">
        <v>0</v>
      </c>
      <c r="M1113" s="31">
        <v>627</v>
      </c>
      <c r="N1113" s="31">
        <v>2965123.15</v>
      </c>
      <c r="O1113" s="31">
        <v>0</v>
      </c>
      <c r="P1113" s="31">
        <v>0</v>
      </c>
      <c r="Q1113" s="31">
        <v>0</v>
      </c>
      <c r="R1113" s="31">
        <v>0</v>
      </c>
      <c r="S1113" s="31">
        <v>0</v>
      </c>
      <c r="T1113" s="31">
        <v>0</v>
      </c>
      <c r="U1113" s="31">
        <v>0</v>
      </c>
      <c r="V1113" s="31">
        <v>0</v>
      </c>
      <c r="W1113" s="31">
        <v>0</v>
      </c>
      <c r="X1113" s="31">
        <v>0</v>
      </c>
      <c r="Y1113" s="31">
        <v>0</v>
      </c>
      <c r="Z1113" s="31">
        <v>0</v>
      </c>
      <c r="AA1113" s="31">
        <v>0</v>
      </c>
      <c r="AB1113" s="31">
        <v>0</v>
      </c>
      <c r="AC1113" s="31">
        <f>ROUND(N1113*1.5%,2)</f>
        <v>44476.85</v>
      </c>
      <c r="AD1113" s="31">
        <v>110000</v>
      </c>
      <c r="AE1113" s="31">
        <v>0</v>
      </c>
      <c r="AF1113" s="34">
        <v>2022</v>
      </c>
      <c r="AG1113" s="34">
        <v>2022</v>
      </c>
      <c r="AH1113" s="35">
        <v>2022</v>
      </c>
      <c r="AT1113" s="20" t="e">
        <f t="shared" si="318"/>
        <v>#N/A</v>
      </c>
      <c r="BZ1113" s="71"/>
    </row>
    <row r="1114" spans="1:78" ht="61.5" x14ac:dyDescent="0.85">
      <c r="A1114" s="20">
        <v>1</v>
      </c>
      <c r="B1114" s="66">
        <f>SUBTOTAL(103,$A$1006:A1114)</f>
        <v>106</v>
      </c>
      <c r="C1114" s="24" t="s">
        <v>791</v>
      </c>
      <c r="D1114" s="31">
        <f t="shared" si="323"/>
        <v>8572796.0600000005</v>
      </c>
      <c r="E1114" s="31">
        <v>0</v>
      </c>
      <c r="F1114" s="31">
        <v>0</v>
      </c>
      <c r="G1114" s="31">
        <v>0</v>
      </c>
      <c r="H1114" s="31">
        <v>0</v>
      </c>
      <c r="I1114" s="31">
        <v>0</v>
      </c>
      <c r="J1114" s="31">
        <v>0</v>
      </c>
      <c r="K1114" s="33">
        <v>4</v>
      </c>
      <c r="L1114" s="31">
        <v>8452796.0600000005</v>
      </c>
      <c r="M1114" s="31">
        <v>0</v>
      </c>
      <c r="N1114" s="31">
        <v>0</v>
      </c>
      <c r="O1114" s="31">
        <v>0</v>
      </c>
      <c r="P1114" s="31">
        <v>0</v>
      </c>
      <c r="Q1114" s="31">
        <v>0</v>
      </c>
      <c r="R1114" s="31">
        <v>0</v>
      </c>
      <c r="S1114" s="31">
        <v>0</v>
      </c>
      <c r="T1114" s="31">
        <v>0</v>
      </c>
      <c r="U1114" s="31">
        <v>0</v>
      </c>
      <c r="V1114" s="31">
        <v>0</v>
      </c>
      <c r="W1114" s="31">
        <v>0</v>
      </c>
      <c r="X1114" s="31">
        <v>0</v>
      </c>
      <c r="Y1114" s="31">
        <v>0</v>
      </c>
      <c r="Z1114" s="31">
        <v>0</v>
      </c>
      <c r="AA1114" s="31">
        <v>0</v>
      </c>
      <c r="AB1114" s="31">
        <v>0</v>
      </c>
      <c r="AC1114" s="31">
        <v>0</v>
      </c>
      <c r="AD1114" s="31">
        <v>120000</v>
      </c>
      <c r="AE1114" s="31">
        <v>0</v>
      </c>
      <c r="AF1114" s="34">
        <v>2022</v>
      </c>
      <c r="AG1114" s="34">
        <v>2022</v>
      </c>
      <c r="AH1114" s="35" t="s">
        <v>270</v>
      </c>
      <c r="AT1114" s="20" t="e">
        <f t="shared" si="318"/>
        <v>#N/A</v>
      </c>
      <c r="BZ1114" s="71"/>
    </row>
    <row r="1115" spans="1:78" ht="61.5" x14ac:dyDescent="0.85">
      <c r="A1115" s="20">
        <v>1</v>
      </c>
      <c r="B1115" s="66">
        <f>SUBTOTAL(103,$A$1006:A1115)</f>
        <v>107</v>
      </c>
      <c r="C1115" s="24" t="s">
        <v>793</v>
      </c>
      <c r="D1115" s="31">
        <f t="shared" si="323"/>
        <v>7101648</v>
      </c>
      <c r="E1115" s="31">
        <v>0</v>
      </c>
      <c r="F1115" s="31">
        <v>0</v>
      </c>
      <c r="G1115" s="31">
        <v>0</v>
      </c>
      <c r="H1115" s="31">
        <v>0</v>
      </c>
      <c r="I1115" s="31">
        <v>0</v>
      </c>
      <c r="J1115" s="31">
        <v>0</v>
      </c>
      <c r="K1115" s="33">
        <v>0</v>
      </c>
      <c r="L1115" s="31">
        <v>0</v>
      </c>
      <c r="M1115" s="31">
        <v>1360</v>
      </c>
      <c r="N1115" s="31">
        <v>6858766.5</v>
      </c>
      <c r="O1115" s="31">
        <v>0</v>
      </c>
      <c r="P1115" s="31">
        <v>0</v>
      </c>
      <c r="Q1115" s="31">
        <v>0</v>
      </c>
      <c r="R1115" s="31">
        <v>0</v>
      </c>
      <c r="S1115" s="31">
        <v>0</v>
      </c>
      <c r="T1115" s="31">
        <v>0</v>
      </c>
      <c r="U1115" s="31">
        <v>0</v>
      </c>
      <c r="V1115" s="31">
        <v>0</v>
      </c>
      <c r="W1115" s="31">
        <v>0</v>
      </c>
      <c r="X1115" s="31">
        <v>0</v>
      </c>
      <c r="Y1115" s="31">
        <v>0</v>
      </c>
      <c r="Z1115" s="31">
        <v>0</v>
      </c>
      <c r="AA1115" s="31">
        <v>0</v>
      </c>
      <c r="AB1115" s="31">
        <v>0</v>
      </c>
      <c r="AC1115" s="31">
        <f>ROUND(N1115*1.5%,2)</f>
        <v>102881.5</v>
      </c>
      <c r="AD1115" s="31">
        <v>140000</v>
      </c>
      <c r="AE1115" s="31">
        <v>0</v>
      </c>
      <c r="AF1115" s="34">
        <v>2022</v>
      </c>
      <c r="AG1115" s="34">
        <v>2022</v>
      </c>
      <c r="AH1115" s="35">
        <v>2022</v>
      </c>
      <c r="AT1115" s="20">
        <f t="shared" si="318"/>
        <v>1</v>
      </c>
      <c r="BZ1115" s="71"/>
    </row>
    <row r="1116" spans="1:78" ht="61.5" x14ac:dyDescent="0.85">
      <c r="A1116" s="20">
        <v>1</v>
      </c>
      <c r="B1116" s="66">
        <f>SUBTOTAL(103,$A$1006:A1116)</f>
        <v>108</v>
      </c>
      <c r="C1116" s="24" t="s">
        <v>794</v>
      </c>
      <c r="D1116" s="31">
        <f t="shared" si="323"/>
        <v>3388948.1999999997</v>
      </c>
      <c r="E1116" s="31">
        <v>0</v>
      </c>
      <c r="F1116" s="31">
        <v>0</v>
      </c>
      <c r="G1116" s="31">
        <v>0</v>
      </c>
      <c r="H1116" s="31">
        <v>0</v>
      </c>
      <c r="I1116" s="31">
        <v>0</v>
      </c>
      <c r="J1116" s="31">
        <v>0</v>
      </c>
      <c r="K1116" s="33">
        <v>0</v>
      </c>
      <c r="L1116" s="31">
        <v>0</v>
      </c>
      <c r="M1116" s="31">
        <v>649</v>
      </c>
      <c r="N1116" s="31">
        <v>3230490.84</v>
      </c>
      <c r="O1116" s="31">
        <v>0</v>
      </c>
      <c r="P1116" s="31">
        <v>0</v>
      </c>
      <c r="Q1116" s="31">
        <v>0</v>
      </c>
      <c r="R1116" s="31">
        <v>0</v>
      </c>
      <c r="S1116" s="31">
        <v>0</v>
      </c>
      <c r="T1116" s="31">
        <v>0</v>
      </c>
      <c r="U1116" s="31">
        <v>0</v>
      </c>
      <c r="V1116" s="31">
        <v>0</v>
      </c>
      <c r="W1116" s="31">
        <v>0</v>
      </c>
      <c r="X1116" s="31">
        <v>0</v>
      </c>
      <c r="Y1116" s="31">
        <v>0</v>
      </c>
      <c r="Z1116" s="31">
        <v>0</v>
      </c>
      <c r="AA1116" s="31">
        <v>0</v>
      </c>
      <c r="AB1116" s="31">
        <v>0</v>
      </c>
      <c r="AC1116" s="31">
        <f>ROUND(N1116*1.5%,2)</f>
        <v>48457.36</v>
      </c>
      <c r="AD1116" s="31">
        <v>110000</v>
      </c>
      <c r="AE1116" s="31">
        <v>0</v>
      </c>
      <c r="AF1116" s="34">
        <v>2022</v>
      </c>
      <c r="AG1116" s="34">
        <v>2022</v>
      </c>
      <c r="AH1116" s="35">
        <v>2022</v>
      </c>
      <c r="AT1116" s="20" t="e">
        <f t="shared" si="318"/>
        <v>#N/A</v>
      </c>
      <c r="BZ1116" s="71"/>
    </row>
    <row r="1117" spans="1:78" ht="61.5" x14ac:dyDescent="0.85">
      <c r="A1117" s="20">
        <v>1</v>
      </c>
      <c r="B1117" s="66">
        <f>SUBTOTAL(103,$A$1006:A1117)</f>
        <v>109</v>
      </c>
      <c r="C1117" s="24" t="s">
        <v>795</v>
      </c>
      <c r="D1117" s="31">
        <f t="shared" si="323"/>
        <v>3446388</v>
      </c>
      <c r="E1117" s="31">
        <v>0</v>
      </c>
      <c r="F1117" s="31">
        <v>0</v>
      </c>
      <c r="G1117" s="31">
        <v>0</v>
      </c>
      <c r="H1117" s="31">
        <v>0</v>
      </c>
      <c r="I1117" s="31">
        <v>0</v>
      </c>
      <c r="J1117" s="31">
        <v>0</v>
      </c>
      <c r="K1117" s="33">
        <v>0</v>
      </c>
      <c r="L1117" s="31">
        <v>0</v>
      </c>
      <c r="M1117" s="31">
        <v>660</v>
      </c>
      <c r="N1117" s="31">
        <v>3287081.77</v>
      </c>
      <c r="O1117" s="31">
        <v>0</v>
      </c>
      <c r="P1117" s="31">
        <v>0</v>
      </c>
      <c r="Q1117" s="31">
        <v>0</v>
      </c>
      <c r="R1117" s="31">
        <v>0</v>
      </c>
      <c r="S1117" s="31">
        <v>0</v>
      </c>
      <c r="T1117" s="31">
        <v>0</v>
      </c>
      <c r="U1117" s="31">
        <v>0</v>
      </c>
      <c r="V1117" s="31">
        <v>0</v>
      </c>
      <c r="W1117" s="31">
        <v>0</v>
      </c>
      <c r="X1117" s="31">
        <v>0</v>
      </c>
      <c r="Y1117" s="31">
        <v>0</v>
      </c>
      <c r="Z1117" s="31">
        <v>0</v>
      </c>
      <c r="AA1117" s="31">
        <v>0</v>
      </c>
      <c r="AB1117" s="31">
        <v>0</v>
      </c>
      <c r="AC1117" s="31">
        <f>ROUND(N1117*1.5%,2)</f>
        <v>49306.23</v>
      </c>
      <c r="AD1117" s="31">
        <v>110000</v>
      </c>
      <c r="AE1117" s="31">
        <v>0</v>
      </c>
      <c r="AF1117" s="34">
        <v>2022</v>
      </c>
      <c r="AG1117" s="34">
        <v>2022</v>
      </c>
      <c r="AH1117" s="35">
        <v>2022</v>
      </c>
      <c r="AT1117" s="20" t="e">
        <f t="shared" si="318"/>
        <v>#N/A</v>
      </c>
      <c r="BZ1117" s="71"/>
    </row>
    <row r="1118" spans="1:78" ht="61.5" x14ac:dyDescent="0.85">
      <c r="A1118" s="20">
        <v>1</v>
      </c>
      <c r="B1118" s="66">
        <f>SUBTOTAL(103,$A$1006:A1118)</f>
        <v>110</v>
      </c>
      <c r="C1118" s="24" t="s">
        <v>796</v>
      </c>
      <c r="D1118" s="31">
        <f t="shared" si="323"/>
        <v>2827058</v>
      </c>
      <c r="E1118" s="31">
        <v>0</v>
      </c>
      <c r="F1118" s="31">
        <v>0</v>
      </c>
      <c r="G1118" s="31">
        <v>0</v>
      </c>
      <c r="H1118" s="31">
        <v>0</v>
      </c>
      <c r="I1118" s="31">
        <v>0</v>
      </c>
      <c r="J1118" s="31">
        <v>0</v>
      </c>
      <c r="K1118" s="33">
        <v>0</v>
      </c>
      <c r="L1118" s="31">
        <v>0</v>
      </c>
      <c r="M1118" s="31">
        <v>511</v>
      </c>
      <c r="N1118" s="31">
        <f>M1118*5200</f>
        <v>2657200</v>
      </c>
      <c r="O1118" s="31">
        <v>0</v>
      </c>
      <c r="P1118" s="31">
        <v>0</v>
      </c>
      <c r="Q1118" s="31">
        <v>0</v>
      </c>
      <c r="R1118" s="31">
        <v>0</v>
      </c>
      <c r="S1118" s="31">
        <v>0</v>
      </c>
      <c r="T1118" s="31">
        <v>0</v>
      </c>
      <c r="U1118" s="31">
        <v>0</v>
      </c>
      <c r="V1118" s="31">
        <v>0</v>
      </c>
      <c r="W1118" s="31">
        <v>0</v>
      </c>
      <c r="X1118" s="31">
        <v>0</v>
      </c>
      <c r="Y1118" s="31">
        <v>0</v>
      </c>
      <c r="Z1118" s="31">
        <v>0</v>
      </c>
      <c r="AA1118" s="31">
        <v>0</v>
      </c>
      <c r="AB1118" s="31">
        <v>0</v>
      </c>
      <c r="AC1118" s="31">
        <f>ROUND(N1118*1.5%,2)</f>
        <v>39858</v>
      </c>
      <c r="AD1118" s="31">
        <v>130000</v>
      </c>
      <c r="AE1118" s="31">
        <v>0</v>
      </c>
      <c r="AF1118" s="34">
        <v>2022</v>
      </c>
      <c r="AG1118" s="34">
        <v>2022</v>
      </c>
      <c r="AH1118" s="35">
        <v>2022</v>
      </c>
      <c r="AT1118" s="20" t="e">
        <f t="shared" si="318"/>
        <v>#N/A</v>
      </c>
      <c r="BZ1118" s="71"/>
    </row>
    <row r="1119" spans="1:78" ht="61.5" x14ac:dyDescent="0.85">
      <c r="A1119" s="20">
        <v>1</v>
      </c>
      <c r="B1119" s="66">
        <f>SUBTOTAL(103,$A$1006:A1119)</f>
        <v>111</v>
      </c>
      <c r="C1119" s="24" t="s">
        <v>797</v>
      </c>
      <c r="D1119" s="31">
        <f t="shared" si="323"/>
        <v>8660275.6699999981</v>
      </c>
      <c r="E1119" s="31">
        <v>0</v>
      </c>
      <c r="F1119" s="31">
        <v>0</v>
      </c>
      <c r="G1119" s="31">
        <v>0</v>
      </c>
      <c r="H1119" s="31">
        <v>0</v>
      </c>
      <c r="I1119" s="31">
        <v>0</v>
      </c>
      <c r="J1119" s="31">
        <v>0</v>
      </c>
      <c r="K1119" s="33">
        <v>0</v>
      </c>
      <c r="L1119" s="31">
        <v>0</v>
      </c>
      <c r="M1119" s="31">
        <v>2047.5</v>
      </c>
      <c r="N1119" s="31">
        <f>10533631.03-3411405.54+1213021.48</f>
        <v>8335246.9699999988</v>
      </c>
      <c r="O1119" s="31">
        <v>0</v>
      </c>
      <c r="P1119" s="31">
        <v>0</v>
      </c>
      <c r="Q1119" s="31">
        <v>0</v>
      </c>
      <c r="R1119" s="31">
        <v>0</v>
      </c>
      <c r="S1119" s="31">
        <v>0</v>
      </c>
      <c r="T1119" s="31">
        <v>0</v>
      </c>
      <c r="U1119" s="31">
        <v>0</v>
      </c>
      <c r="V1119" s="31">
        <v>0</v>
      </c>
      <c r="W1119" s="31">
        <v>0</v>
      </c>
      <c r="X1119" s="31">
        <v>0</v>
      </c>
      <c r="Y1119" s="31">
        <v>0</v>
      </c>
      <c r="Z1119" s="31">
        <v>0</v>
      </c>
      <c r="AA1119" s="31">
        <v>0</v>
      </c>
      <c r="AB1119" s="31">
        <v>0</v>
      </c>
      <c r="AC1119" s="31">
        <f>ROUND(N1119*1.5%,2)</f>
        <v>125028.7</v>
      </c>
      <c r="AD1119" s="31">
        <v>200000</v>
      </c>
      <c r="AE1119" s="31">
        <v>0</v>
      </c>
      <c r="AF1119" s="34">
        <v>2022</v>
      </c>
      <c r="AG1119" s="34">
        <v>2022</v>
      </c>
      <c r="AH1119" s="35">
        <v>2022</v>
      </c>
      <c r="AT1119" s="20" t="e">
        <f t="shared" si="318"/>
        <v>#N/A</v>
      </c>
      <c r="BZ1119" s="71"/>
    </row>
    <row r="1120" spans="1:78" ht="61.5" x14ac:dyDescent="0.85">
      <c r="A1120" s="20">
        <v>1</v>
      </c>
      <c r="B1120" s="66">
        <f>SUBTOTAL(103,$A$1006:A1120)</f>
        <v>112</v>
      </c>
      <c r="C1120" s="24" t="s">
        <v>819</v>
      </c>
      <c r="D1120" s="31">
        <f t="shared" si="323"/>
        <v>1991891.6</v>
      </c>
      <c r="E1120" s="31">
        <v>0</v>
      </c>
      <c r="F1120" s="31">
        <v>0</v>
      </c>
      <c r="G1120" s="31">
        <v>0</v>
      </c>
      <c r="H1120" s="31">
        <v>0</v>
      </c>
      <c r="I1120" s="31">
        <v>0</v>
      </c>
      <c r="J1120" s="31">
        <v>0</v>
      </c>
      <c r="K1120" s="33">
        <v>0</v>
      </c>
      <c r="L1120" s="31">
        <v>0</v>
      </c>
      <c r="M1120" s="31">
        <v>0</v>
      </c>
      <c r="N1120" s="31">
        <v>0</v>
      </c>
      <c r="O1120" s="31">
        <v>0</v>
      </c>
      <c r="P1120" s="31">
        <v>0</v>
      </c>
      <c r="Q1120" s="31">
        <v>360</v>
      </c>
      <c r="R1120" s="31">
        <v>1883637.04</v>
      </c>
      <c r="S1120" s="31">
        <v>0</v>
      </c>
      <c r="T1120" s="31">
        <v>0</v>
      </c>
      <c r="U1120" s="31">
        <v>0</v>
      </c>
      <c r="V1120" s="31">
        <v>0</v>
      </c>
      <c r="W1120" s="31">
        <v>0</v>
      </c>
      <c r="X1120" s="31">
        <v>0</v>
      </c>
      <c r="Y1120" s="31">
        <v>0</v>
      </c>
      <c r="Z1120" s="31">
        <v>0</v>
      </c>
      <c r="AA1120" s="31">
        <v>0</v>
      </c>
      <c r="AB1120" s="31">
        <v>0</v>
      </c>
      <c r="AC1120" s="31">
        <f>ROUND(R1120*1.5%,2)</f>
        <v>28254.560000000001</v>
      </c>
      <c r="AD1120" s="31">
        <v>80000</v>
      </c>
      <c r="AE1120" s="31">
        <v>0</v>
      </c>
      <c r="AF1120" s="34">
        <v>2022</v>
      </c>
      <c r="AG1120" s="34">
        <v>2022</v>
      </c>
      <c r="AH1120" s="35">
        <v>2022</v>
      </c>
      <c r="AT1120" s="20">
        <f t="shared" si="318"/>
        <v>1</v>
      </c>
      <c r="BZ1120" s="71"/>
    </row>
    <row r="1121" spans="1:78" ht="61.5" x14ac:dyDescent="0.85">
      <c r="A1121" s="20">
        <v>1</v>
      </c>
      <c r="B1121" s="66">
        <f>SUBTOTAL(103,$A$1006:A1121)</f>
        <v>113</v>
      </c>
      <c r="C1121" s="24" t="s">
        <v>1614</v>
      </c>
      <c r="D1121" s="31">
        <f t="shared" si="323"/>
        <v>2084284</v>
      </c>
      <c r="E1121" s="31">
        <v>0</v>
      </c>
      <c r="F1121" s="31">
        <v>0</v>
      </c>
      <c r="G1121" s="31">
        <v>0</v>
      </c>
      <c r="H1121" s="31">
        <v>0</v>
      </c>
      <c r="I1121" s="31">
        <v>0</v>
      </c>
      <c r="J1121" s="31">
        <v>0</v>
      </c>
      <c r="K1121" s="33">
        <v>0</v>
      </c>
      <c r="L1121" s="31">
        <v>0</v>
      </c>
      <c r="M1121" s="31">
        <v>380</v>
      </c>
      <c r="N1121" s="31">
        <v>1954959.61</v>
      </c>
      <c r="O1121" s="31">
        <v>0</v>
      </c>
      <c r="P1121" s="31">
        <v>0</v>
      </c>
      <c r="Q1121" s="31">
        <v>0</v>
      </c>
      <c r="R1121" s="31">
        <v>0</v>
      </c>
      <c r="S1121" s="31">
        <v>0</v>
      </c>
      <c r="T1121" s="31">
        <v>0</v>
      </c>
      <c r="U1121" s="31">
        <v>0</v>
      </c>
      <c r="V1121" s="31">
        <v>0</v>
      </c>
      <c r="W1121" s="31">
        <v>0</v>
      </c>
      <c r="X1121" s="31">
        <v>0</v>
      </c>
      <c r="Y1121" s="31">
        <v>0</v>
      </c>
      <c r="Z1121" s="31">
        <v>0</v>
      </c>
      <c r="AA1121" s="31">
        <v>0</v>
      </c>
      <c r="AB1121" s="31">
        <v>0</v>
      </c>
      <c r="AC1121" s="31">
        <f>ROUND(N1121*1.5%,2)</f>
        <v>29324.39</v>
      </c>
      <c r="AD1121" s="31">
        <v>100000</v>
      </c>
      <c r="AE1121" s="31">
        <v>0</v>
      </c>
      <c r="AF1121" s="34">
        <v>2022</v>
      </c>
      <c r="AG1121" s="34">
        <v>2022</v>
      </c>
      <c r="AH1121" s="35">
        <v>2022</v>
      </c>
      <c r="BZ1121" s="71"/>
    </row>
    <row r="1122" spans="1:78" ht="61.5" x14ac:dyDescent="0.85">
      <c r="B1122" s="24" t="s">
        <v>764</v>
      </c>
      <c r="C1122" s="108"/>
      <c r="D1122" s="195">
        <f>SUM(D1123:D1124)</f>
        <v>21856214.649999999</v>
      </c>
      <c r="E1122" s="31">
        <f t="shared" ref="E1122:AE1122" si="324">SUM(E1123:E1124)</f>
        <v>564251.4</v>
      </c>
      <c r="F1122" s="31">
        <f t="shared" si="324"/>
        <v>1368969.5</v>
      </c>
      <c r="G1122" s="31">
        <f t="shared" si="324"/>
        <v>1773880.4000000001</v>
      </c>
      <c r="H1122" s="31">
        <f t="shared" si="324"/>
        <v>1005360.8</v>
      </c>
      <c r="I1122" s="31">
        <f t="shared" si="324"/>
        <v>2430648.5</v>
      </c>
      <c r="J1122" s="31">
        <f t="shared" si="324"/>
        <v>0</v>
      </c>
      <c r="K1122" s="33">
        <f t="shared" si="324"/>
        <v>0</v>
      </c>
      <c r="L1122" s="31">
        <f t="shared" si="324"/>
        <v>0</v>
      </c>
      <c r="M1122" s="31">
        <f t="shared" si="324"/>
        <v>0</v>
      </c>
      <c r="N1122" s="31">
        <f t="shared" si="324"/>
        <v>0</v>
      </c>
      <c r="O1122" s="31">
        <f t="shared" si="324"/>
        <v>0</v>
      </c>
      <c r="P1122" s="31">
        <f t="shared" si="324"/>
        <v>0</v>
      </c>
      <c r="Q1122" s="31">
        <f t="shared" si="324"/>
        <v>7025.9</v>
      </c>
      <c r="R1122" s="31">
        <f t="shared" si="324"/>
        <v>13897494.970000001</v>
      </c>
      <c r="S1122" s="31">
        <f t="shared" si="324"/>
        <v>0</v>
      </c>
      <c r="T1122" s="31">
        <f t="shared" si="324"/>
        <v>0</v>
      </c>
      <c r="U1122" s="31">
        <f t="shared" si="324"/>
        <v>0</v>
      </c>
      <c r="V1122" s="31">
        <f t="shared" si="324"/>
        <v>0</v>
      </c>
      <c r="W1122" s="31">
        <f t="shared" si="324"/>
        <v>0</v>
      </c>
      <c r="X1122" s="31">
        <f t="shared" si="324"/>
        <v>0</v>
      </c>
      <c r="Y1122" s="31">
        <f t="shared" si="324"/>
        <v>0</v>
      </c>
      <c r="Z1122" s="31">
        <f t="shared" si="324"/>
        <v>0</v>
      </c>
      <c r="AA1122" s="31">
        <f t="shared" si="324"/>
        <v>0</v>
      </c>
      <c r="AB1122" s="31">
        <f t="shared" si="324"/>
        <v>0</v>
      </c>
      <c r="AC1122" s="31">
        <f t="shared" si="324"/>
        <v>315609.08</v>
      </c>
      <c r="AD1122" s="31">
        <f t="shared" si="324"/>
        <v>500000</v>
      </c>
      <c r="AE1122" s="31">
        <f t="shared" si="324"/>
        <v>0</v>
      </c>
      <c r="AF1122" s="72" t="s">
        <v>757</v>
      </c>
      <c r="AG1122" s="72" t="s">
        <v>757</v>
      </c>
      <c r="AH1122" s="87" t="s">
        <v>757</v>
      </c>
      <c r="AT1122" s="20" t="e">
        <f t="shared" ref="AT1122:AT1163" si="325">VLOOKUP(C1122,AW:AX,2,FALSE)</f>
        <v>#N/A</v>
      </c>
      <c r="BZ1122" s="71">
        <v>21856214.649999999</v>
      </c>
    </row>
    <row r="1123" spans="1:78" ht="61.5" x14ac:dyDescent="0.85">
      <c r="A1123" s="20">
        <v>1</v>
      </c>
      <c r="B1123" s="66">
        <f>SUBTOTAL(103,$A$1006:A1123)</f>
        <v>114</v>
      </c>
      <c r="C1123" s="24" t="s">
        <v>386</v>
      </c>
      <c r="D1123" s="31">
        <f t="shared" ref="D1123:D1124" si="326">E1123+F1123+G1123+H1123+I1123+J1123+L1123+N1123+P1123+R1123+T1123+U1123+V1123+W1123+X1123+Y1123+Z1123+AA1123+AB1123+AC1123+AD1123+AE1123</f>
        <v>7550257.2599999998</v>
      </c>
      <c r="E1123" s="31">
        <v>564251.4</v>
      </c>
      <c r="F1123" s="31">
        <v>1368969.5</v>
      </c>
      <c r="G1123" s="31">
        <v>1773880.4000000001</v>
      </c>
      <c r="H1123" s="31">
        <v>1005360.8</v>
      </c>
      <c r="I1123" s="31">
        <v>2430648.5</v>
      </c>
      <c r="J1123" s="31">
        <v>0</v>
      </c>
      <c r="K1123" s="33">
        <v>0</v>
      </c>
      <c r="L1123" s="31">
        <v>0</v>
      </c>
      <c r="M1123" s="31">
        <v>0</v>
      </c>
      <c r="N1123" s="31">
        <v>0</v>
      </c>
      <c r="O1123" s="31">
        <v>0</v>
      </c>
      <c r="P1123" s="31">
        <v>0</v>
      </c>
      <c r="Q1123" s="31">
        <v>0</v>
      </c>
      <c r="R1123" s="31">
        <v>0</v>
      </c>
      <c r="S1123" s="31">
        <v>0</v>
      </c>
      <c r="T1123" s="31">
        <v>0</v>
      </c>
      <c r="U1123" s="31">
        <v>0</v>
      </c>
      <c r="V1123" s="31">
        <v>0</v>
      </c>
      <c r="W1123" s="31">
        <v>0</v>
      </c>
      <c r="X1123" s="31">
        <v>0</v>
      </c>
      <c r="Y1123" s="31">
        <v>0</v>
      </c>
      <c r="Z1123" s="31">
        <v>0</v>
      </c>
      <c r="AA1123" s="31">
        <v>0</v>
      </c>
      <c r="AB1123" s="31">
        <v>0</v>
      </c>
      <c r="AC1123" s="31">
        <f>ROUND((E1123+F1123+G1123+H1123+I1123+J1123)*1.5%,2)</f>
        <v>107146.66</v>
      </c>
      <c r="AD1123" s="31">
        <v>300000</v>
      </c>
      <c r="AE1123" s="31">
        <v>0</v>
      </c>
      <c r="AF1123" s="34">
        <v>2022</v>
      </c>
      <c r="AG1123" s="34">
        <v>2022</v>
      </c>
      <c r="AH1123" s="35">
        <v>2022</v>
      </c>
      <c r="AT1123" s="20" t="e">
        <f t="shared" si="325"/>
        <v>#N/A</v>
      </c>
      <c r="BZ1123" s="71"/>
    </row>
    <row r="1124" spans="1:78" ht="61.5" x14ac:dyDescent="0.85">
      <c r="A1124" s="20">
        <v>1</v>
      </c>
      <c r="B1124" s="66">
        <f>SUBTOTAL(103,$A$1006:A1124)</f>
        <v>115</v>
      </c>
      <c r="C1124" s="24" t="s">
        <v>387</v>
      </c>
      <c r="D1124" s="31">
        <f t="shared" si="326"/>
        <v>14305957.390000001</v>
      </c>
      <c r="E1124" s="31">
        <v>0</v>
      </c>
      <c r="F1124" s="31">
        <v>0</v>
      </c>
      <c r="G1124" s="31">
        <v>0</v>
      </c>
      <c r="H1124" s="31">
        <v>0</v>
      </c>
      <c r="I1124" s="31">
        <v>0</v>
      </c>
      <c r="J1124" s="31">
        <v>0</v>
      </c>
      <c r="K1124" s="33">
        <v>0</v>
      </c>
      <c r="L1124" s="31">
        <v>0</v>
      </c>
      <c r="M1124" s="31">
        <v>0</v>
      </c>
      <c r="N1124" s="31">
        <v>0</v>
      </c>
      <c r="O1124" s="31">
        <v>0</v>
      </c>
      <c r="P1124" s="31">
        <v>0</v>
      </c>
      <c r="Q1124" s="31">
        <v>7025.9</v>
      </c>
      <c r="R1124" s="31">
        <v>13897494.970000001</v>
      </c>
      <c r="S1124" s="31">
        <v>0</v>
      </c>
      <c r="T1124" s="31">
        <v>0</v>
      </c>
      <c r="U1124" s="31">
        <v>0</v>
      </c>
      <c r="V1124" s="31">
        <v>0</v>
      </c>
      <c r="W1124" s="31">
        <v>0</v>
      </c>
      <c r="X1124" s="31">
        <v>0</v>
      </c>
      <c r="Y1124" s="31">
        <v>0</v>
      </c>
      <c r="Z1124" s="31">
        <v>0</v>
      </c>
      <c r="AA1124" s="31">
        <v>0</v>
      </c>
      <c r="AB1124" s="31">
        <v>0</v>
      </c>
      <c r="AC1124" s="31">
        <f>ROUND(R1124*1.5%,2)</f>
        <v>208462.42</v>
      </c>
      <c r="AD1124" s="31">
        <v>200000</v>
      </c>
      <c r="AE1124" s="31">
        <v>0</v>
      </c>
      <c r="AF1124" s="34">
        <v>2022</v>
      </c>
      <c r="AG1124" s="34">
        <v>2022</v>
      </c>
      <c r="AH1124" s="35">
        <v>2022</v>
      </c>
      <c r="AT1124" s="20" t="e">
        <f t="shared" si="325"/>
        <v>#N/A</v>
      </c>
      <c r="BZ1124" s="71"/>
    </row>
    <row r="1125" spans="1:78" ht="61.5" x14ac:dyDescent="0.85">
      <c r="B1125" s="24" t="s">
        <v>821</v>
      </c>
      <c r="C1125" s="108"/>
      <c r="D1125" s="195">
        <f>SUM(D1126:D1133)</f>
        <v>51599396.32</v>
      </c>
      <c r="E1125" s="31">
        <f t="shared" ref="E1125:AE1125" si="327">SUM(E1126:E1133)</f>
        <v>0</v>
      </c>
      <c r="F1125" s="31">
        <f t="shared" si="327"/>
        <v>0</v>
      </c>
      <c r="G1125" s="31">
        <f t="shared" si="327"/>
        <v>0</v>
      </c>
      <c r="H1125" s="31">
        <f t="shared" si="327"/>
        <v>0</v>
      </c>
      <c r="I1125" s="31">
        <f t="shared" si="327"/>
        <v>0</v>
      </c>
      <c r="J1125" s="31">
        <f t="shared" si="327"/>
        <v>0</v>
      </c>
      <c r="K1125" s="33">
        <f t="shared" si="327"/>
        <v>0</v>
      </c>
      <c r="L1125" s="31">
        <f t="shared" si="327"/>
        <v>0</v>
      </c>
      <c r="M1125" s="31">
        <f t="shared" si="327"/>
        <v>8662.4</v>
      </c>
      <c r="N1125" s="31">
        <f t="shared" si="327"/>
        <v>42994075.339999996</v>
      </c>
      <c r="O1125" s="31">
        <f t="shared" si="327"/>
        <v>0</v>
      </c>
      <c r="P1125" s="31">
        <f t="shared" si="327"/>
        <v>0</v>
      </c>
      <c r="Q1125" s="31">
        <f t="shared" si="327"/>
        <v>0</v>
      </c>
      <c r="R1125" s="31">
        <f t="shared" si="327"/>
        <v>0</v>
      </c>
      <c r="S1125" s="31">
        <f t="shared" si="327"/>
        <v>209</v>
      </c>
      <c r="T1125" s="31">
        <f t="shared" si="327"/>
        <v>6571832.3700000001</v>
      </c>
      <c r="U1125" s="31">
        <f t="shared" si="327"/>
        <v>0</v>
      </c>
      <c r="V1125" s="31">
        <f t="shared" si="327"/>
        <v>0</v>
      </c>
      <c r="W1125" s="31">
        <f t="shared" si="327"/>
        <v>0</v>
      </c>
      <c r="X1125" s="31">
        <f t="shared" si="327"/>
        <v>0</v>
      </c>
      <c r="Y1125" s="31">
        <f t="shared" si="327"/>
        <v>0</v>
      </c>
      <c r="Z1125" s="31">
        <f t="shared" si="327"/>
        <v>0</v>
      </c>
      <c r="AA1125" s="31">
        <f t="shared" si="327"/>
        <v>0</v>
      </c>
      <c r="AB1125" s="31">
        <f t="shared" si="327"/>
        <v>0</v>
      </c>
      <c r="AC1125" s="31">
        <f t="shared" si="327"/>
        <v>743488.60999999987</v>
      </c>
      <c r="AD1125" s="31">
        <f t="shared" si="327"/>
        <v>1290000</v>
      </c>
      <c r="AE1125" s="31">
        <f t="shared" si="327"/>
        <v>0</v>
      </c>
      <c r="AF1125" s="72" t="s">
        <v>757</v>
      </c>
      <c r="AG1125" s="72" t="s">
        <v>757</v>
      </c>
      <c r="AH1125" s="87" t="s">
        <v>757</v>
      </c>
      <c r="AT1125" s="20" t="e">
        <f t="shared" si="325"/>
        <v>#N/A</v>
      </c>
      <c r="BZ1125" s="71">
        <v>51679396.32</v>
      </c>
    </row>
    <row r="1126" spans="1:78" ht="61.5" x14ac:dyDescent="0.85">
      <c r="A1126" s="20">
        <v>1</v>
      </c>
      <c r="B1126" s="66">
        <f>SUBTOTAL(103,$A$1006:A1126)</f>
        <v>116</v>
      </c>
      <c r="C1126" s="24" t="s">
        <v>612</v>
      </c>
      <c r="D1126" s="31">
        <f t="shared" ref="D1126:D1133" si="328">E1126+F1126+G1126+H1126+I1126+J1126+L1126+N1126+P1126+R1126+T1126+U1126+V1126+W1126+X1126+Y1126+Z1126+AA1126+AB1126+AC1126+AD1126+AE1126</f>
        <v>5121801</v>
      </c>
      <c r="E1126" s="38">
        <v>0</v>
      </c>
      <c r="F1126" s="38">
        <v>0</v>
      </c>
      <c r="G1126" s="38">
        <v>0</v>
      </c>
      <c r="H1126" s="38">
        <v>0</v>
      </c>
      <c r="I1126" s="38">
        <v>0</v>
      </c>
      <c r="J1126" s="38">
        <v>0</v>
      </c>
      <c r="K1126" s="85">
        <v>0</v>
      </c>
      <c r="L1126" s="38">
        <v>0</v>
      </c>
      <c r="M1126" s="31">
        <v>981</v>
      </c>
      <c r="N1126" s="31">
        <v>4898326.1100000003</v>
      </c>
      <c r="O1126" s="31">
        <v>0</v>
      </c>
      <c r="P1126" s="31">
        <v>0</v>
      </c>
      <c r="Q1126" s="31">
        <v>0</v>
      </c>
      <c r="R1126" s="31">
        <v>0</v>
      </c>
      <c r="S1126" s="31">
        <v>0</v>
      </c>
      <c r="T1126" s="31">
        <v>0</v>
      </c>
      <c r="U1126" s="31">
        <v>0</v>
      </c>
      <c r="V1126" s="31">
        <v>0</v>
      </c>
      <c r="W1126" s="31">
        <v>0</v>
      </c>
      <c r="X1126" s="31">
        <v>0</v>
      </c>
      <c r="Y1126" s="31">
        <v>0</v>
      </c>
      <c r="Z1126" s="31">
        <v>0</v>
      </c>
      <c r="AA1126" s="31">
        <v>0</v>
      </c>
      <c r="AB1126" s="31">
        <v>0</v>
      </c>
      <c r="AC1126" s="31">
        <f>ROUND(N1126*1.5%,2)</f>
        <v>73474.89</v>
      </c>
      <c r="AD1126" s="31">
        <v>150000</v>
      </c>
      <c r="AE1126" s="31">
        <v>0</v>
      </c>
      <c r="AF1126" s="34">
        <v>2022</v>
      </c>
      <c r="AG1126" s="34">
        <v>2022</v>
      </c>
      <c r="AH1126" s="35">
        <v>2022</v>
      </c>
      <c r="AT1126" s="20" t="e">
        <f t="shared" si="325"/>
        <v>#N/A</v>
      </c>
      <c r="BZ1126" s="71"/>
    </row>
    <row r="1127" spans="1:78" ht="61.5" x14ac:dyDescent="0.85">
      <c r="A1127" s="20">
        <v>1</v>
      </c>
      <c r="B1127" s="66">
        <f>SUBTOTAL(103,$A$1006:A1127)</f>
        <v>117</v>
      </c>
      <c r="C1127" s="24" t="s">
        <v>613</v>
      </c>
      <c r="D1127" s="31">
        <f t="shared" si="328"/>
        <v>8124000</v>
      </c>
      <c r="E1127" s="38">
        <v>0</v>
      </c>
      <c r="F1127" s="38">
        <v>0</v>
      </c>
      <c r="G1127" s="38">
        <v>0</v>
      </c>
      <c r="H1127" s="38">
        <v>0</v>
      </c>
      <c r="I1127" s="38">
        <v>0</v>
      </c>
      <c r="J1127" s="38">
        <v>0</v>
      </c>
      <c r="K1127" s="85">
        <v>0</v>
      </c>
      <c r="L1127" s="38">
        <v>0</v>
      </c>
      <c r="M1127" s="31">
        <v>1692.5</v>
      </c>
      <c r="N1127" s="31">
        <v>7826600.9900000002</v>
      </c>
      <c r="O1127" s="31">
        <v>0</v>
      </c>
      <c r="P1127" s="31">
        <v>0</v>
      </c>
      <c r="Q1127" s="31">
        <v>0</v>
      </c>
      <c r="R1127" s="31">
        <v>0</v>
      </c>
      <c r="S1127" s="31">
        <v>0</v>
      </c>
      <c r="T1127" s="31">
        <v>0</v>
      </c>
      <c r="U1127" s="31">
        <v>0</v>
      </c>
      <c r="V1127" s="31">
        <v>0</v>
      </c>
      <c r="W1127" s="31">
        <v>0</v>
      </c>
      <c r="X1127" s="31">
        <v>0</v>
      </c>
      <c r="Y1127" s="31">
        <v>0</v>
      </c>
      <c r="Z1127" s="31">
        <v>0</v>
      </c>
      <c r="AA1127" s="31">
        <v>0</v>
      </c>
      <c r="AB1127" s="31">
        <v>0</v>
      </c>
      <c r="AC1127" s="31">
        <f>ROUND(N1127*1.5%,2)</f>
        <v>117399.01</v>
      </c>
      <c r="AD1127" s="31">
        <v>180000</v>
      </c>
      <c r="AE1127" s="31">
        <v>0</v>
      </c>
      <c r="AF1127" s="34">
        <v>2022</v>
      </c>
      <c r="AG1127" s="34">
        <v>2022</v>
      </c>
      <c r="AH1127" s="35">
        <v>2022</v>
      </c>
      <c r="AT1127" s="20" t="e">
        <f t="shared" si="325"/>
        <v>#N/A</v>
      </c>
      <c r="BZ1127" s="71"/>
    </row>
    <row r="1128" spans="1:78" ht="61.5" x14ac:dyDescent="0.85">
      <c r="A1128" s="20">
        <v>1</v>
      </c>
      <c r="B1128" s="66">
        <f>SUBTOTAL(103,$A$1006:A1128)</f>
        <v>118</v>
      </c>
      <c r="C1128" s="24" t="s">
        <v>1696</v>
      </c>
      <c r="D1128" s="31">
        <f t="shared" si="328"/>
        <v>4662041.0599999996</v>
      </c>
      <c r="E1128" s="38">
        <v>0</v>
      </c>
      <c r="F1128" s="38">
        <v>0</v>
      </c>
      <c r="G1128" s="38">
        <v>0</v>
      </c>
      <c r="H1128" s="38">
        <v>0</v>
      </c>
      <c r="I1128" s="38">
        <v>0</v>
      </c>
      <c r="J1128" s="38">
        <v>0</v>
      </c>
      <c r="K1128" s="85">
        <v>0</v>
      </c>
      <c r="L1128" s="38">
        <v>0</v>
      </c>
      <c r="M1128" s="31">
        <v>650</v>
      </c>
      <c r="N1128" s="31">
        <f>4474917.3-29556.65</f>
        <v>4445360.6499999994</v>
      </c>
      <c r="O1128" s="31">
        <v>0</v>
      </c>
      <c r="P1128" s="31">
        <v>0</v>
      </c>
      <c r="Q1128" s="31">
        <v>0</v>
      </c>
      <c r="R1128" s="31">
        <v>0</v>
      </c>
      <c r="S1128" s="31">
        <v>0</v>
      </c>
      <c r="T1128" s="31">
        <v>0</v>
      </c>
      <c r="U1128" s="31">
        <v>0</v>
      </c>
      <c r="V1128" s="31">
        <v>0</v>
      </c>
      <c r="W1128" s="31">
        <v>0</v>
      </c>
      <c r="X1128" s="31">
        <v>0</v>
      </c>
      <c r="Y1128" s="31">
        <v>0</v>
      </c>
      <c r="Z1128" s="31">
        <v>0</v>
      </c>
      <c r="AA1128" s="31">
        <v>0</v>
      </c>
      <c r="AB1128" s="31">
        <v>0</v>
      </c>
      <c r="AC1128" s="31">
        <f>ROUND(N1128*1.5%,2)</f>
        <v>66680.41</v>
      </c>
      <c r="AD1128" s="31">
        <v>150000</v>
      </c>
      <c r="AE1128" s="31">
        <v>0</v>
      </c>
      <c r="AF1128" s="34">
        <v>2022</v>
      </c>
      <c r="AG1128" s="34">
        <v>2022</v>
      </c>
      <c r="AH1128" s="35">
        <v>2022</v>
      </c>
      <c r="AT1128" s="20" t="e">
        <f t="shared" si="325"/>
        <v>#N/A</v>
      </c>
      <c r="BZ1128" s="71"/>
    </row>
    <row r="1129" spans="1:78" ht="61.5" x14ac:dyDescent="0.85">
      <c r="A1129" s="20">
        <v>1</v>
      </c>
      <c r="B1129" s="66">
        <f>SUBTOTAL(103,$A$1006:A1129)</f>
        <v>119</v>
      </c>
      <c r="C1129" s="24" t="s">
        <v>617</v>
      </c>
      <c r="D1129" s="31">
        <f t="shared" si="328"/>
        <v>9052752</v>
      </c>
      <c r="E1129" s="38">
        <v>0</v>
      </c>
      <c r="F1129" s="38">
        <v>0</v>
      </c>
      <c r="G1129" s="38">
        <v>0</v>
      </c>
      <c r="H1129" s="38">
        <v>0</v>
      </c>
      <c r="I1129" s="38">
        <v>0</v>
      </c>
      <c r="J1129" s="38">
        <v>0</v>
      </c>
      <c r="K1129" s="85">
        <v>0</v>
      </c>
      <c r="L1129" s="38">
        <v>0</v>
      </c>
      <c r="M1129" s="31">
        <v>1812</v>
      </c>
      <c r="N1129" s="31">
        <v>8741627.5899999999</v>
      </c>
      <c r="O1129" s="31">
        <v>0</v>
      </c>
      <c r="P1129" s="31">
        <v>0</v>
      </c>
      <c r="Q1129" s="31">
        <v>0</v>
      </c>
      <c r="R1129" s="31">
        <v>0</v>
      </c>
      <c r="S1129" s="31">
        <v>0</v>
      </c>
      <c r="T1129" s="31">
        <v>0</v>
      </c>
      <c r="U1129" s="31">
        <v>0</v>
      </c>
      <c r="V1129" s="31">
        <v>0</v>
      </c>
      <c r="W1129" s="31">
        <v>0</v>
      </c>
      <c r="X1129" s="31">
        <v>0</v>
      </c>
      <c r="Y1129" s="31">
        <v>0</v>
      </c>
      <c r="Z1129" s="31">
        <v>0</v>
      </c>
      <c r="AA1129" s="31">
        <v>0</v>
      </c>
      <c r="AB1129" s="31">
        <v>0</v>
      </c>
      <c r="AC1129" s="31">
        <f>ROUND(N1129*1.5%,2)</f>
        <v>131124.41</v>
      </c>
      <c r="AD1129" s="31">
        <v>180000</v>
      </c>
      <c r="AE1129" s="31">
        <v>0</v>
      </c>
      <c r="AF1129" s="34">
        <v>2022</v>
      </c>
      <c r="AG1129" s="34">
        <v>2022</v>
      </c>
      <c r="AH1129" s="35">
        <v>2022</v>
      </c>
      <c r="AT1129" s="20" t="e">
        <f t="shared" si="325"/>
        <v>#N/A</v>
      </c>
      <c r="BZ1129" s="71"/>
    </row>
    <row r="1130" spans="1:78" ht="61.5" x14ac:dyDescent="0.85">
      <c r="A1130" s="20">
        <v>1</v>
      </c>
      <c r="B1130" s="66">
        <f>SUBTOTAL(103,$A$1006:A1130)</f>
        <v>120</v>
      </c>
      <c r="C1130" s="24" t="s">
        <v>630</v>
      </c>
      <c r="D1130" s="31">
        <f t="shared" si="328"/>
        <v>6820409.8600000003</v>
      </c>
      <c r="E1130" s="38">
        <v>0</v>
      </c>
      <c r="F1130" s="38">
        <v>0</v>
      </c>
      <c r="G1130" s="38">
        <v>0</v>
      </c>
      <c r="H1130" s="38">
        <v>0</v>
      </c>
      <c r="I1130" s="38">
        <v>0</v>
      </c>
      <c r="J1130" s="38">
        <v>0</v>
      </c>
      <c r="K1130" s="85">
        <v>0</v>
      </c>
      <c r="L1130" s="38">
        <v>0</v>
      </c>
      <c r="M1130" s="31">
        <v>0</v>
      </c>
      <c r="N1130" s="31">
        <v>0</v>
      </c>
      <c r="O1130" s="31">
        <v>0</v>
      </c>
      <c r="P1130" s="31">
        <v>0</v>
      </c>
      <c r="Q1130" s="31">
        <v>0</v>
      </c>
      <c r="R1130" s="31">
        <v>0</v>
      </c>
      <c r="S1130" s="31">
        <v>209</v>
      </c>
      <c r="T1130" s="31">
        <v>6571832.3700000001</v>
      </c>
      <c r="U1130" s="31">
        <v>0</v>
      </c>
      <c r="V1130" s="31">
        <v>0</v>
      </c>
      <c r="W1130" s="31">
        <v>0</v>
      </c>
      <c r="X1130" s="31">
        <v>0</v>
      </c>
      <c r="Y1130" s="31">
        <v>0</v>
      </c>
      <c r="Z1130" s="31">
        <v>0</v>
      </c>
      <c r="AA1130" s="31">
        <v>0</v>
      </c>
      <c r="AB1130" s="31">
        <v>0</v>
      </c>
      <c r="AC1130" s="31">
        <f>ROUND(T1130*1.5%,2)</f>
        <v>98577.49</v>
      </c>
      <c r="AD1130" s="31">
        <v>150000</v>
      </c>
      <c r="AE1130" s="31">
        <v>0</v>
      </c>
      <c r="AF1130" s="34">
        <v>2022</v>
      </c>
      <c r="AG1130" s="34">
        <v>2022</v>
      </c>
      <c r="AH1130" s="35">
        <v>2022</v>
      </c>
      <c r="AT1130" s="20" t="e">
        <f t="shared" si="325"/>
        <v>#N/A</v>
      </c>
      <c r="BZ1130" s="71"/>
    </row>
    <row r="1131" spans="1:78" ht="61.5" x14ac:dyDescent="0.85">
      <c r="A1131" s="20">
        <v>1</v>
      </c>
      <c r="B1131" s="66">
        <f>SUBTOTAL(103,$A$1006:A1131)</f>
        <v>121</v>
      </c>
      <c r="C1131" s="24" t="s">
        <v>634</v>
      </c>
      <c r="D1131" s="31">
        <f t="shared" si="328"/>
        <v>9102212.3999999985</v>
      </c>
      <c r="E1131" s="38">
        <v>0</v>
      </c>
      <c r="F1131" s="38">
        <v>0</v>
      </c>
      <c r="G1131" s="38">
        <v>0</v>
      </c>
      <c r="H1131" s="38">
        <v>0</v>
      </c>
      <c r="I1131" s="38">
        <v>0</v>
      </c>
      <c r="J1131" s="38">
        <v>0</v>
      </c>
      <c r="K1131" s="85">
        <v>0</v>
      </c>
      <c r="L1131" s="38">
        <v>0</v>
      </c>
      <c r="M1131" s="31">
        <v>1821.9</v>
      </c>
      <c r="N1131" s="31">
        <v>8790357.0399999991</v>
      </c>
      <c r="O1131" s="31">
        <v>0</v>
      </c>
      <c r="P1131" s="31">
        <v>0</v>
      </c>
      <c r="Q1131" s="31">
        <v>0</v>
      </c>
      <c r="R1131" s="31">
        <v>0</v>
      </c>
      <c r="S1131" s="31">
        <v>0</v>
      </c>
      <c r="T1131" s="31">
        <v>0</v>
      </c>
      <c r="U1131" s="31">
        <v>0</v>
      </c>
      <c r="V1131" s="31">
        <v>0</v>
      </c>
      <c r="W1131" s="31">
        <v>0</v>
      </c>
      <c r="X1131" s="31">
        <v>0</v>
      </c>
      <c r="Y1131" s="31">
        <v>0</v>
      </c>
      <c r="Z1131" s="31">
        <v>0</v>
      </c>
      <c r="AA1131" s="31">
        <v>0</v>
      </c>
      <c r="AB1131" s="31">
        <v>0</v>
      </c>
      <c r="AC1131" s="31">
        <f>ROUND(N1131*1.5%,2)</f>
        <v>131855.35999999999</v>
      </c>
      <c r="AD1131" s="31">
        <v>180000</v>
      </c>
      <c r="AE1131" s="31">
        <v>0</v>
      </c>
      <c r="AF1131" s="34">
        <v>2022</v>
      </c>
      <c r="AG1131" s="34">
        <v>2022</v>
      </c>
      <c r="AH1131" s="35">
        <v>2022</v>
      </c>
      <c r="AT1131" s="20" t="e">
        <f t="shared" si="325"/>
        <v>#N/A</v>
      </c>
      <c r="BZ1131" s="71"/>
    </row>
    <row r="1132" spans="1:78" ht="61.5" x14ac:dyDescent="0.85">
      <c r="A1132" s="20">
        <v>1</v>
      </c>
      <c r="B1132" s="66">
        <f>SUBTOTAL(103,$A$1006:A1132)</f>
        <v>122</v>
      </c>
      <c r="C1132" s="24" t="s">
        <v>638</v>
      </c>
      <c r="D1132" s="31">
        <f t="shared" si="328"/>
        <v>4594480</v>
      </c>
      <c r="E1132" s="38">
        <v>0</v>
      </c>
      <c r="F1132" s="38">
        <v>0</v>
      </c>
      <c r="G1132" s="38">
        <v>0</v>
      </c>
      <c r="H1132" s="38">
        <v>0</v>
      </c>
      <c r="I1132" s="38">
        <v>0</v>
      </c>
      <c r="J1132" s="38">
        <v>0</v>
      </c>
      <c r="K1132" s="85">
        <v>0</v>
      </c>
      <c r="L1132" s="38">
        <v>0</v>
      </c>
      <c r="M1132" s="31">
        <v>880</v>
      </c>
      <c r="N1132" s="31">
        <v>4378798.03</v>
      </c>
      <c r="O1132" s="31">
        <v>0</v>
      </c>
      <c r="P1132" s="31">
        <v>0</v>
      </c>
      <c r="Q1132" s="31">
        <v>0</v>
      </c>
      <c r="R1132" s="31">
        <v>0</v>
      </c>
      <c r="S1132" s="31">
        <v>0</v>
      </c>
      <c r="T1132" s="31">
        <v>0</v>
      </c>
      <c r="U1132" s="31">
        <v>0</v>
      </c>
      <c r="V1132" s="31">
        <v>0</v>
      </c>
      <c r="W1132" s="31">
        <v>0</v>
      </c>
      <c r="X1132" s="31">
        <v>0</v>
      </c>
      <c r="Y1132" s="31">
        <v>0</v>
      </c>
      <c r="Z1132" s="31">
        <v>0</v>
      </c>
      <c r="AA1132" s="31">
        <v>0</v>
      </c>
      <c r="AB1132" s="31">
        <v>0</v>
      </c>
      <c r="AC1132" s="31">
        <f>ROUND(N1132*1.5%,2)</f>
        <v>65681.97</v>
      </c>
      <c r="AD1132" s="31">
        <v>150000</v>
      </c>
      <c r="AE1132" s="31">
        <v>0</v>
      </c>
      <c r="AF1132" s="34">
        <v>2022</v>
      </c>
      <c r="AG1132" s="34">
        <v>2022</v>
      </c>
      <c r="AH1132" s="35">
        <v>2022</v>
      </c>
      <c r="AT1132" s="20" t="e">
        <f t="shared" si="325"/>
        <v>#N/A</v>
      </c>
      <c r="BZ1132" s="71"/>
    </row>
    <row r="1133" spans="1:78" ht="61.5" x14ac:dyDescent="0.85">
      <c r="A1133" s="20">
        <v>1</v>
      </c>
      <c r="B1133" s="66">
        <f>SUBTOTAL(103,$A$1006:A1133)</f>
        <v>123</v>
      </c>
      <c r="C1133" s="24" t="s">
        <v>637</v>
      </c>
      <c r="D1133" s="31">
        <f t="shared" si="328"/>
        <v>4121700</v>
      </c>
      <c r="E1133" s="38">
        <v>0</v>
      </c>
      <c r="F1133" s="38">
        <v>0</v>
      </c>
      <c r="G1133" s="38">
        <v>0</v>
      </c>
      <c r="H1133" s="38">
        <v>0</v>
      </c>
      <c r="I1133" s="38">
        <v>0</v>
      </c>
      <c r="J1133" s="38">
        <v>0</v>
      </c>
      <c r="K1133" s="85">
        <v>0</v>
      </c>
      <c r="L1133" s="38">
        <v>0</v>
      </c>
      <c r="M1133" s="31">
        <v>825</v>
      </c>
      <c r="N1133" s="31">
        <v>3913004.93</v>
      </c>
      <c r="O1133" s="31">
        <v>0</v>
      </c>
      <c r="P1133" s="31">
        <v>0</v>
      </c>
      <c r="Q1133" s="31">
        <v>0</v>
      </c>
      <c r="R1133" s="31">
        <v>0</v>
      </c>
      <c r="S1133" s="31">
        <v>0</v>
      </c>
      <c r="T1133" s="31">
        <v>0</v>
      </c>
      <c r="U1133" s="31">
        <v>0</v>
      </c>
      <c r="V1133" s="31">
        <v>0</v>
      </c>
      <c r="W1133" s="31">
        <v>0</v>
      </c>
      <c r="X1133" s="31">
        <v>0</v>
      </c>
      <c r="Y1133" s="31">
        <v>0</v>
      </c>
      <c r="Z1133" s="31">
        <v>0</v>
      </c>
      <c r="AA1133" s="31">
        <v>0</v>
      </c>
      <c r="AB1133" s="31">
        <v>0</v>
      </c>
      <c r="AC1133" s="31">
        <f>ROUND(N1133*1.5%,2)</f>
        <v>58695.07</v>
      </c>
      <c r="AD1133" s="31">
        <v>150000</v>
      </c>
      <c r="AE1133" s="31">
        <v>0</v>
      </c>
      <c r="AF1133" s="34">
        <v>2022</v>
      </c>
      <c r="AG1133" s="34">
        <v>2022</v>
      </c>
      <c r="AH1133" s="35">
        <v>2022</v>
      </c>
      <c r="AT1133" s="20" t="e">
        <f t="shared" si="325"/>
        <v>#N/A</v>
      </c>
      <c r="BZ1133" s="71"/>
    </row>
    <row r="1134" spans="1:78" ht="61.5" x14ac:dyDescent="0.85">
      <c r="B1134" s="24" t="s">
        <v>822</v>
      </c>
      <c r="C1134" s="24"/>
      <c r="D1134" s="195">
        <f t="shared" ref="D1134:AE1134" si="329">SUM(D1135:D1136)</f>
        <v>5663822.2999999998</v>
      </c>
      <c r="E1134" s="31">
        <f t="shared" si="329"/>
        <v>0</v>
      </c>
      <c r="F1134" s="31">
        <f t="shared" si="329"/>
        <v>0</v>
      </c>
      <c r="G1134" s="31">
        <f t="shared" si="329"/>
        <v>0</v>
      </c>
      <c r="H1134" s="31">
        <f t="shared" si="329"/>
        <v>0</v>
      </c>
      <c r="I1134" s="31">
        <f t="shared" si="329"/>
        <v>0</v>
      </c>
      <c r="J1134" s="31">
        <f t="shared" si="329"/>
        <v>0</v>
      </c>
      <c r="K1134" s="33">
        <f t="shared" si="329"/>
        <v>0</v>
      </c>
      <c r="L1134" s="31">
        <f t="shared" si="329"/>
        <v>0</v>
      </c>
      <c r="M1134" s="31">
        <f t="shared" si="329"/>
        <v>1121.3</v>
      </c>
      <c r="N1134" s="31">
        <f t="shared" si="329"/>
        <v>5314110.6400000006</v>
      </c>
      <c r="O1134" s="31">
        <f t="shared" si="329"/>
        <v>0</v>
      </c>
      <c r="P1134" s="31">
        <f t="shared" si="329"/>
        <v>0</v>
      </c>
      <c r="Q1134" s="31">
        <f t="shared" si="329"/>
        <v>0</v>
      </c>
      <c r="R1134" s="31">
        <f t="shared" si="329"/>
        <v>0</v>
      </c>
      <c r="S1134" s="31">
        <f t="shared" si="329"/>
        <v>0</v>
      </c>
      <c r="T1134" s="31">
        <f t="shared" si="329"/>
        <v>0</v>
      </c>
      <c r="U1134" s="31">
        <f t="shared" si="329"/>
        <v>0</v>
      </c>
      <c r="V1134" s="31">
        <f t="shared" si="329"/>
        <v>0</v>
      </c>
      <c r="W1134" s="31">
        <f t="shared" si="329"/>
        <v>0</v>
      </c>
      <c r="X1134" s="31">
        <f t="shared" si="329"/>
        <v>0</v>
      </c>
      <c r="Y1134" s="31">
        <f t="shared" si="329"/>
        <v>0</v>
      </c>
      <c r="Z1134" s="31">
        <f t="shared" si="329"/>
        <v>0</v>
      </c>
      <c r="AA1134" s="31">
        <f t="shared" si="329"/>
        <v>0</v>
      </c>
      <c r="AB1134" s="31">
        <f t="shared" si="329"/>
        <v>0</v>
      </c>
      <c r="AC1134" s="31">
        <f t="shared" si="329"/>
        <v>79711.66</v>
      </c>
      <c r="AD1134" s="31">
        <f t="shared" si="329"/>
        <v>270000</v>
      </c>
      <c r="AE1134" s="31">
        <f t="shared" si="329"/>
        <v>0</v>
      </c>
      <c r="AF1134" s="72" t="s">
        <v>757</v>
      </c>
      <c r="AG1134" s="72" t="s">
        <v>757</v>
      </c>
      <c r="AH1134" s="87" t="s">
        <v>757</v>
      </c>
      <c r="AT1134" s="20" t="e">
        <f t="shared" si="325"/>
        <v>#N/A</v>
      </c>
      <c r="BZ1134" s="71">
        <v>9890638.1399999987</v>
      </c>
    </row>
    <row r="1135" spans="1:78" ht="61.5" x14ac:dyDescent="0.85">
      <c r="A1135" s="20">
        <v>1</v>
      </c>
      <c r="B1135" s="66">
        <f>SUBTOTAL(103,$A$1006:A1135)</f>
        <v>124</v>
      </c>
      <c r="C1135" s="24" t="s">
        <v>643</v>
      </c>
      <c r="D1135" s="31">
        <f t="shared" ref="D1135:D1136" si="330">E1135+F1135+G1135+H1135+I1135+J1135+L1135+N1135+P1135+R1135+T1135+U1135+V1135+W1135+X1135+Y1135+Z1135+AA1135+AB1135+AC1135+AD1135+AE1135</f>
        <v>4229613.5999999996</v>
      </c>
      <c r="E1135" s="38">
        <v>0</v>
      </c>
      <c r="F1135" s="38">
        <v>0</v>
      </c>
      <c r="G1135" s="38">
        <v>0</v>
      </c>
      <c r="H1135" s="38">
        <v>0</v>
      </c>
      <c r="I1135" s="38">
        <v>0</v>
      </c>
      <c r="J1135" s="38">
        <v>0</v>
      </c>
      <c r="K1135" s="85">
        <v>0</v>
      </c>
      <c r="L1135" s="38">
        <v>0</v>
      </c>
      <c r="M1135" s="31">
        <v>846.6</v>
      </c>
      <c r="N1135" s="31">
        <v>4019323.74</v>
      </c>
      <c r="O1135" s="31">
        <v>0</v>
      </c>
      <c r="P1135" s="31">
        <v>0</v>
      </c>
      <c r="Q1135" s="31">
        <v>0</v>
      </c>
      <c r="R1135" s="31">
        <v>0</v>
      </c>
      <c r="S1135" s="31">
        <v>0</v>
      </c>
      <c r="T1135" s="31">
        <v>0</v>
      </c>
      <c r="U1135" s="31">
        <v>0</v>
      </c>
      <c r="V1135" s="31">
        <v>0</v>
      </c>
      <c r="W1135" s="31">
        <v>0</v>
      </c>
      <c r="X1135" s="31">
        <v>0</v>
      </c>
      <c r="Y1135" s="31">
        <v>0</v>
      </c>
      <c r="Z1135" s="31">
        <v>0</v>
      </c>
      <c r="AA1135" s="31">
        <v>0</v>
      </c>
      <c r="AB1135" s="31">
        <v>0</v>
      </c>
      <c r="AC1135" s="31">
        <f>ROUND(N1135*1.5%,2)</f>
        <v>60289.86</v>
      </c>
      <c r="AD1135" s="31">
        <v>150000</v>
      </c>
      <c r="AE1135" s="31">
        <v>0</v>
      </c>
      <c r="AF1135" s="34">
        <v>2022</v>
      </c>
      <c r="AG1135" s="34">
        <v>2022</v>
      </c>
      <c r="AH1135" s="35">
        <v>2022</v>
      </c>
      <c r="AT1135" s="20" t="e">
        <f t="shared" si="325"/>
        <v>#N/A</v>
      </c>
      <c r="BZ1135" s="71"/>
    </row>
    <row r="1136" spans="1:78" ht="61.5" x14ac:dyDescent="0.85">
      <c r="A1136" s="20">
        <v>1</v>
      </c>
      <c r="B1136" s="66">
        <f>SUBTOTAL(103,$A$1006:A1136)</f>
        <v>125</v>
      </c>
      <c r="C1136" s="24" t="s">
        <v>641</v>
      </c>
      <c r="D1136" s="31">
        <f t="shared" si="330"/>
        <v>1434208.7</v>
      </c>
      <c r="E1136" s="38">
        <v>0</v>
      </c>
      <c r="F1136" s="38">
        <v>0</v>
      </c>
      <c r="G1136" s="38">
        <v>0</v>
      </c>
      <c r="H1136" s="38">
        <v>0</v>
      </c>
      <c r="I1136" s="38">
        <v>0</v>
      </c>
      <c r="J1136" s="38">
        <v>0</v>
      </c>
      <c r="K1136" s="85">
        <v>0</v>
      </c>
      <c r="L1136" s="38">
        <v>0</v>
      </c>
      <c r="M1136" s="31">
        <v>274.7</v>
      </c>
      <c r="N1136" s="31">
        <v>1294786.8999999999</v>
      </c>
      <c r="O1136" s="31">
        <v>0</v>
      </c>
      <c r="P1136" s="31">
        <v>0</v>
      </c>
      <c r="Q1136" s="31">
        <v>0</v>
      </c>
      <c r="R1136" s="31">
        <v>0</v>
      </c>
      <c r="S1136" s="31">
        <v>0</v>
      </c>
      <c r="T1136" s="31">
        <v>0</v>
      </c>
      <c r="U1136" s="31">
        <v>0</v>
      </c>
      <c r="V1136" s="31">
        <v>0</v>
      </c>
      <c r="W1136" s="31">
        <v>0</v>
      </c>
      <c r="X1136" s="31">
        <v>0</v>
      </c>
      <c r="Y1136" s="31">
        <v>0</v>
      </c>
      <c r="Z1136" s="31">
        <v>0</v>
      </c>
      <c r="AA1136" s="31">
        <v>0</v>
      </c>
      <c r="AB1136" s="31">
        <v>0</v>
      </c>
      <c r="AC1136" s="31">
        <f>ROUND(N1136*1.5%,2)</f>
        <v>19421.8</v>
      </c>
      <c r="AD1136" s="31">
        <v>120000</v>
      </c>
      <c r="AE1136" s="31">
        <v>0</v>
      </c>
      <c r="AF1136" s="34">
        <v>2022</v>
      </c>
      <c r="AG1136" s="34">
        <v>2022</v>
      </c>
      <c r="AH1136" s="35">
        <v>2022</v>
      </c>
      <c r="AT1136" s="20" t="e">
        <f t="shared" si="325"/>
        <v>#N/A</v>
      </c>
      <c r="BZ1136" s="71"/>
    </row>
    <row r="1137" spans="1:82" ht="61.5" x14ac:dyDescent="0.85">
      <c r="B1137" s="24" t="s">
        <v>823</v>
      </c>
      <c r="C1137" s="24"/>
      <c r="D1137" s="195">
        <f>SUM(D1138:D1140)</f>
        <v>9644472.4000000004</v>
      </c>
      <c r="E1137" s="31">
        <f t="shared" ref="E1137:AE1137" si="331">SUM(E1138:E1140)</f>
        <v>0</v>
      </c>
      <c r="F1137" s="31">
        <f t="shared" si="331"/>
        <v>0</v>
      </c>
      <c r="G1137" s="31">
        <f t="shared" si="331"/>
        <v>3881891.1399999997</v>
      </c>
      <c r="H1137" s="31">
        <f t="shared" si="331"/>
        <v>257678.05</v>
      </c>
      <c r="I1137" s="31">
        <f t="shared" si="331"/>
        <v>0</v>
      </c>
      <c r="J1137" s="31">
        <f t="shared" si="331"/>
        <v>0</v>
      </c>
      <c r="K1137" s="33">
        <f t="shared" si="331"/>
        <v>0</v>
      </c>
      <c r="L1137" s="31">
        <f t="shared" si="331"/>
        <v>0</v>
      </c>
      <c r="M1137" s="31">
        <f t="shared" si="331"/>
        <v>1654.78</v>
      </c>
      <c r="N1137" s="31">
        <f t="shared" si="331"/>
        <v>4820502.1399999997</v>
      </c>
      <c r="O1137" s="31">
        <f t="shared" si="331"/>
        <v>0</v>
      </c>
      <c r="P1137" s="31">
        <f t="shared" si="331"/>
        <v>0</v>
      </c>
      <c r="Q1137" s="31">
        <f t="shared" si="331"/>
        <v>0</v>
      </c>
      <c r="R1137" s="31">
        <f t="shared" si="331"/>
        <v>0</v>
      </c>
      <c r="S1137" s="31">
        <f t="shared" si="331"/>
        <v>0</v>
      </c>
      <c r="T1137" s="31">
        <f t="shared" si="331"/>
        <v>0</v>
      </c>
      <c r="U1137" s="31">
        <f t="shared" si="331"/>
        <v>0</v>
      </c>
      <c r="V1137" s="31">
        <f t="shared" si="331"/>
        <v>0</v>
      </c>
      <c r="W1137" s="31">
        <f t="shared" si="331"/>
        <v>0</v>
      </c>
      <c r="X1137" s="31">
        <f t="shared" si="331"/>
        <v>0</v>
      </c>
      <c r="Y1137" s="31">
        <f t="shared" si="331"/>
        <v>0</v>
      </c>
      <c r="Z1137" s="31">
        <f t="shared" si="331"/>
        <v>0</v>
      </c>
      <c r="AA1137" s="31">
        <f t="shared" si="331"/>
        <v>0</v>
      </c>
      <c r="AB1137" s="31">
        <f t="shared" si="331"/>
        <v>0</v>
      </c>
      <c r="AC1137" s="31">
        <f t="shared" si="331"/>
        <v>134401.07</v>
      </c>
      <c r="AD1137" s="31">
        <f t="shared" si="331"/>
        <v>550000</v>
      </c>
      <c r="AE1137" s="31">
        <f t="shared" si="331"/>
        <v>0</v>
      </c>
      <c r="AF1137" s="72" t="s">
        <v>757</v>
      </c>
      <c r="AG1137" s="72" t="s">
        <v>757</v>
      </c>
      <c r="AH1137" s="87" t="s">
        <v>757</v>
      </c>
      <c r="AT1137" s="20" t="e">
        <f t="shared" si="325"/>
        <v>#N/A</v>
      </c>
      <c r="BZ1137" s="71">
        <v>11422752.699999999</v>
      </c>
    </row>
    <row r="1138" spans="1:82" ht="61.5" x14ac:dyDescent="0.85">
      <c r="A1138" s="20">
        <v>1</v>
      </c>
      <c r="B1138" s="66">
        <f>SUBTOTAL(103,$A$1006:A1138)</f>
        <v>126</v>
      </c>
      <c r="C1138" s="24" t="s">
        <v>647</v>
      </c>
      <c r="D1138" s="31">
        <f t="shared" ref="D1138:D1140" si="332">E1138+F1138+G1138+H1138+I1138+J1138+L1138+N1138+P1138+R1138+T1138+U1138+V1138+W1138+X1138+Y1138+Z1138+AA1138+AB1138+AC1138+AD1138+AE1138</f>
        <v>4240119.51</v>
      </c>
      <c r="E1138" s="38">
        <v>0</v>
      </c>
      <c r="F1138" s="38">
        <v>0</v>
      </c>
      <c r="G1138" s="31">
        <v>3881891.1399999997</v>
      </c>
      <c r="H1138" s="38">
        <v>0</v>
      </c>
      <c r="I1138" s="38">
        <v>0</v>
      </c>
      <c r="J1138" s="38">
        <v>0</v>
      </c>
      <c r="K1138" s="85">
        <v>0</v>
      </c>
      <c r="L1138" s="38">
        <v>0</v>
      </c>
      <c r="M1138" s="31">
        <v>0</v>
      </c>
      <c r="N1138" s="31">
        <v>0</v>
      </c>
      <c r="O1138" s="31">
        <v>0</v>
      </c>
      <c r="P1138" s="31">
        <v>0</v>
      </c>
      <c r="Q1138" s="31">
        <v>0</v>
      </c>
      <c r="R1138" s="31">
        <v>0</v>
      </c>
      <c r="S1138" s="31">
        <v>0</v>
      </c>
      <c r="T1138" s="31">
        <v>0</v>
      </c>
      <c r="U1138" s="31">
        <v>0</v>
      </c>
      <c r="V1138" s="31">
        <v>0</v>
      </c>
      <c r="W1138" s="31">
        <v>0</v>
      </c>
      <c r="X1138" s="31">
        <v>0</v>
      </c>
      <c r="Y1138" s="31">
        <v>0</v>
      </c>
      <c r="Z1138" s="31">
        <v>0</v>
      </c>
      <c r="AA1138" s="31">
        <v>0</v>
      </c>
      <c r="AB1138" s="31">
        <v>0</v>
      </c>
      <c r="AC1138" s="31">
        <f>ROUND((E1138+F1138+G1138+H1138+I1138+J1138)*1.5%,2)</f>
        <v>58228.37</v>
      </c>
      <c r="AD1138" s="31">
        <v>300000</v>
      </c>
      <c r="AE1138" s="31">
        <v>0</v>
      </c>
      <c r="AF1138" s="34">
        <v>2022</v>
      </c>
      <c r="AG1138" s="34">
        <v>2022</v>
      </c>
      <c r="AH1138" s="35">
        <v>2022</v>
      </c>
      <c r="AT1138" s="20" t="e">
        <f t="shared" si="325"/>
        <v>#N/A</v>
      </c>
      <c r="BZ1138" s="71"/>
    </row>
    <row r="1139" spans="1:82" ht="61.5" x14ac:dyDescent="0.85">
      <c r="A1139" s="20">
        <v>1</v>
      </c>
      <c r="B1139" s="66">
        <f>SUBTOTAL(103,$A$1006:A1139)</f>
        <v>127</v>
      </c>
      <c r="C1139" s="24" t="s">
        <v>1970</v>
      </c>
      <c r="D1139" s="31">
        <f t="shared" si="332"/>
        <v>5042809.67</v>
      </c>
      <c r="E1139" s="38">
        <v>0</v>
      </c>
      <c r="F1139" s="38">
        <v>0</v>
      </c>
      <c r="G1139" s="31">
        <v>0</v>
      </c>
      <c r="H1139" s="38">
        <v>0</v>
      </c>
      <c r="I1139" s="38">
        <v>0</v>
      </c>
      <c r="J1139" s="38">
        <v>0</v>
      </c>
      <c r="K1139" s="85">
        <v>0</v>
      </c>
      <c r="L1139" s="38">
        <v>0</v>
      </c>
      <c r="M1139" s="31">
        <v>1654.78</v>
      </c>
      <c r="N1139" s="31">
        <v>4820502.1399999997</v>
      </c>
      <c r="O1139" s="31">
        <v>0</v>
      </c>
      <c r="P1139" s="31">
        <v>0</v>
      </c>
      <c r="Q1139" s="31">
        <v>0</v>
      </c>
      <c r="R1139" s="31">
        <v>0</v>
      </c>
      <c r="S1139" s="31">
        <v>0</v>
      </c>
      <c r="T1139" s="31">
        <v>0</v>
      </c>
      <c r="U1139" s="31">
        <v>0</v>
      </c>
      <c r="V1139" s="31">
        <v>0</v>
      </c>
      <c r="W1139" s="31">
        <v>0</v>
      </c>
      <c r="X1139" s="31">
        <v>0</v>
      </c>
      <c r="Y1139" s="31">
        <v>0</v>
      </c>
      <c r="Z1139" s="31">
        <v>0</v>
      </c>
      <c r="AA1139" s="31">
        <v>0</v>
      </c>
      <c r="AB1139" s="31">
        <v>0</v>
      </c>
      <c r="AC1139" s="31">
        <f>ROUND(N1139*1.5%,2)</f>
        <v>72307.53</v>
      </c>
      <c r="AD1139" s="31">
        <v>150000</v>
      </c>
      <c r="AE1139" s="31">
        <v>0</v>
      </c>
      <c r="AF1139" s="34">
        <v>2022</v>
      </c>
      <c r="AG1139" s="34">
        <v>2022</v>
      </c>
      <c r="AH1139" s="35">
        <v>2022</v>
      </c>
      <c r="AT1139" s="20" t="e">
        <f t="shared" si="325"/>
        <v>#N/A</v>
      </c>
      <c r="BZ1139" s="71"/>
      <c r="CD1139" s="20" t="e">
        <f>VLOOKUP(C1139,CE:CF,2,FALSE)</f>
        <v>#N/A</v>
      </c>
    </row>
    <row r="1140" spans="1:82" ht="61.5" x14ac:dyDescent="0.85">
      <c r="A1140" s="20">
        <v>1</v>
      </c>
      <c r="B1140" s="66">
        <f>SUBTOTAL(103,$A$1006:A1140)</f>
        <v>128</v>
      </c>
      <c r="C1140" s="24" t="s">
        <v>1971</v>
      </c>
      <c r="D1140" s="31">
        <f t="shared" si="332"/>
        <v>361543.22</v>
      </c>
      <c r="E1140" s="38">
        <v>0</v>
      </c>
      <c r="F1140" s="38">
        <v>0</v>
      </c>
      <c r="G1140" s="31">
        <v>0</v>
      </c>
      <c r="H1140" s="38">
        <v>257678.05</v>
      </c>
      <c r="I1140" s="38">
        <v>0</v>
      </c>
      <c r="J1140" s="38">
        <v>0</v>
      </c>
      <c r="K1140" s="85">
        <v>0</v>
      </c>
      <c r="L1140" s="38">
        <v>0</v>
      </c>
      <c r="M1140" s="31">
        <v>0</v>
      </c>
      <c r="N1140" s="31">
        <v>0</v>
      </c>
      <c r="O1140" s="31">
        <v>0</v>
      </c>
      <c r="P1140" s="31">
        <v>0</v>
      </c>
      <c r="Q1140" s="31">
        <v>0</v>
      </c>
      <c r="R1140" s="31">
        <v>0</v>
      </c>
      <c r="S1140" s="31">
        <v>0</v>
      </c>
      <c r="T1140" s="31">
        <v>0</v>
      </c>
      <c r="U1140" s="31">
        <v>0</v>
      </c>
      <c r="V1140" s="31">
        <v>0</v>
      </c>
      <c r="W1140" s="31">
        <v>0</v>
      </c>
      <c r="X1140" s="31">
        <v>0</v>
      </c>
      <c r="Y1140" s="31">
        <v>0</v>
      </c>
      <c r="Z1140" s="31">
        <v>0</v>
      </c>
      <c r="AA1140" s="31">
        <v>0</v>
      </c>
      <c r="AB1140" s="31">
        <v>0</v>
      </c>
      <c r="AC1140" s="31">
        <f>ROUND(H1140*1.5%,2)</f>
        <v>3865.17</v>
      </c>
      <c r="AD1140" s="31">
        <v>100000</v>
      </c>
      <c r="AE1140" s="31">
        <v>0</v>
      </c>
      <c r="AF1140" s="34">
        <v>2022</v>
      </c>
      <c r="AG1140" s="34">
        <v>2022</v>
      </c>
      <c r="AH1140" s="35">
        <v>2022</v>
      </c>
      <c r="AT1140" s="20" t="e">
        <f t="shared" si="325"/>
        <v>#N/A</v>
      </c>
      <c r="BZ1140" s="71"/>
      <c r="CD1140" s="20" t="e">
        <f>VLOOKUP(C1140,CE:CF,2,FALSE)</f>
        <v>#N/A</v>
      </c>
    </row>
    <row r="1141" spans="1:82" ht="61.5" x14ac:dyDescent="0.85">
      <c r="B1141" s="24" t="s">
        <v>824</v>
      </c>
      <c r="C1141" s="24"/>
      <c r="D1141" s="195">
        <f>D1142+D1143</f>
        <v>8756823</v>
      </c>
      <c r="E1141" s="31">
        <f t="shared" ref="E1141:AE1141" si="333">E1142+E1143</f>
        <v>0</v>
      </c>
      <c r="F1141" s="31">
        <f t="shared" si="333"/>
        <v>0</v>
      </c>
      <c r="G1141" s="31">
        <f t="shared" si="333"/>
        <v>0</v>
      </c>
      <c r="H1141" s="31">
        <f t="shared" si="333"/>
        <v>0</v>
      </c>
      <c r="I1141" s="31">
        <f t="shared" si="333"/>
        <v>0</v>
      </c>
      <c r="J1141" s="31">
        <f t="shared" si="333"/>
        <v>0</v>
      </c>
      <c r="K1141" s="33">
        <f t="shared" si="333"/>
        <v>0</v>
      </c>
      <c r="L1141" s="31">
        <f t="shared" si="333"/>
        <v>0</v>
      </c>
      <c r="M1141" s="31">
        <f t="shared" si="333"/>
        <v>1713</v>
      </c>
      <c r="N1141" s="31">
        <f t="shared" si="333"/>
        <v>8331845.3199999994</v>
      </c>
      <c r="O1141" s="31">
        <f t="shared" si="333"/>
        <v>0</v>
      </c>
      <c r="P1141" s="31">
        <f t="shared" si="333"/>
        <v>0</v>
      </c>
      <c r="Q1141" s="31">
        <f t="shared" si="333"/>
        <v>0</v>
      </c>
      <c r="R1141" s="31">
        <f t="shared" si="333"/>
        <v>0</v>
      </c>
      <c r="S1141" s="31">
        <f t="shared" si="333"/>
        <v>0</v>
      </c>
      <c r="T1141" s="31">
        <f t="shared" si="333"/>
        <v>0</v>
      </c>
      <c r="U1141" s="31">
        <f t="shared" si="333"/>
        <v>0</v>
      </c>
      <c r="V1141" s="31">
        <f t="shared" si="333"/>
        <v>0</v>
      </c>
      <c r="W1141" s="31">
        <f t="shared" si="333"/>
        <v>0</v>
      </c>
      <c r="X1141" s="31">
        <f t="shared" si="333"/>
        <v>0</v>
      </c>
      <c r="Y1141" s="31">
        <f t="shared" si="333"/>
        <v>0</v>
      </c>
      <c r="Z1141" s="31">
        <f t="shared" si="333"/>
        <v>0</v>
      </c>
      <c r="AA1141" s="31">
        <f t="shared" si="333"/>
        <v>0</v>
      </c>
      <c r="AB1141" s="31">
        <f t="shared" si="333"/>
        <v>0</v>
      </c>
      <c r="AC1141" s="31">
        <f t="shared" si="333"/>
        <v>124977.68</v>
      </c>
      <c r="AD1141" s="31">
        <f t="shared" si="333"/>
        <v>300000</v>
      </c>
      <c r="AE1141" s="31">
        <f t="shared" si="333"/>
        <v>0</v>
      </c>
      <c r="AF1141" s="72" t="s">
        <v>757</v>
      </c>
      <c r="AG1141" s="72" t="s">
        <v>757</v>
      </c>
      <c r="AH1141" s="87" t="s">
        <v>757</v>
      </c>
      <c r="AT1141" s="20" t="e">
        <f t="shared" si="325"/>
        <v>#N/A</v>
      </c>
      <c r="BZ1141" s="71">
        <v>8756823</v>
      </c>
    </row>
    <row r="1142" spans="1:82" ht="61.5" x14ac:dyDescent="0.85">
      <c r="A1142" s="20">
        <v>1</v>
      </c>
      <c r="B1142" s="66">
        <f>SUBTOTAL(103,$A$1006:A1142)</f>
        <v>129</v>
      </c>
      <c r="C1142" s="24" t="s">
        <v>656</v>
      </c>
      <c r="D1142" s="31">
        <f t="shared" ref="D1142:D1143" si="334">E1142+F1142+G1142+H1142+I1142+J1142+L1142+N1142+P1142+R1142+T1142+U1142+V1142+W1142+X1142+Y1142+Z1142+AA1142+AB1142+AC1142+AD1142+AE1142</f>
        <v>4146680</v>
      </c>
      <c r="E1142" s="38">
        <v>0</v>
      </c>
      <c r="F1142" s="38">
        <v>0</v>
      </c>
      <c r="G1142" s="38">
        <v>0</v>
      </c>
      <c r="H1142" s="38">
        <v>0</v>
      </c>
      <c r="I1142" s="38">
        <v>0</v>
      </c>
      <c r="J1142" s="38">
        <v>0</v>
      </c>
      <c r="K1142" s="85">
        <v>0</v>
      </c>
      <c r="L1142" s="38">
        <v>0</v>
      </c>
      <c r="M1142" s="31">
        <v>830</v>
      </c>
      <c r="N1142" s="31">
        <v>3937615.76</v>
      </c>
      <c r="O1142" s="31">
        <v>0</v>
      </c>
      <c r="P1142" s="31">
        <v>0</v>
      </c>
      <c r="Q1142" s="31">
        <v>0</v>
      </c>
      <c r="R1142" s="31">
        <v>0</v>
      </c>
      <c r="S1142" s="31">
        <v>0</v>
      </c>
      <c r="T1142" s="31">
        <v>0</v>
      </c>
      <c r="U1142" s="31">
        <v>0</v>
      </c>
      <c r="V1142" s="31">
        <v>0</v>
      </c>
      <c r="W1142" s="31">
        <v>0</v>
      </c>
      <c r="X1142" s="31">
        <v>0</v>
      </c>
      <c r="Y1142" s="31">
        <v>0</v>
      </c>
      <c r="Z1142" s="31">
        <v>0</v>
      </c>
      <c r="AA1142" s="31">
        <v>0</v>
      </c>
      <c r="AB1142" s="31">
        <v>0</v>
      </c>
      <c r="AC1142" s="31">
        <f>ROUND(N1142*1.5%,2)</f>
        <v>59064.24</v>
      </c>
      <c r="AD1142" s="31">
        <v>150000</v>
      </c>
      <c r="AE1142" s="31">
        <v>0</v>
      </c>
      <c r="AF1142" s="34">
        <v>2022</v>
      </c>
      <c r="AG1142" s="34">
        <v>2022</v>
      </c>
      <c r="AH1142" s="35">
        <v>2022</v>
      </c>
      <c r="AT1142" s="20" t="e">
        <f t="shared" si="325"/>
        <v>#N/A</v>
      </c>
      <c r="BZ1142" s="71"/>
    </row>
    <row r="1143" spans="1:82" ht="61.5" x14ac:dyDescent="0.85">
      <c r="A1143" s="20">
        <v>1</v>
      </c>
      <c r="B1143" s="66">
        <f>SUBTOTAL(103,$A$1006:A1143)</f>
        <v>130</v>
      </c>
      <c r="C1143" s="24" t="s">
        <v>659</v>
      </c>
      <c r="D1143" s="31">
        <f t="shared" si="334"/>
        <v>4610143</v>
      </c>
      <c r="E1143" s="36">
        <v>0</v>
      </c>
      <c r="F1143" s="36">
        <v>0</v>
      </c>
      <c r="G1143" s="36">
        <v>0</v>
      </c>
      <c r="H1143" s="36">
        <v>0</v>
      </c>
      <c r="I1143" s="36">
        <v>0</v>
      </c>
      <c r="J1143" s="36">
        <v>0</v>
      </c>
      <c r="K1143" s="33">
        <v>0</v>
      </c>
      <c r="L1143" s="31">
        <v>0</v>
      </c>
      <c r="M1143" s="31">
        <v>883</v>
      </c>
      <c r="N1143" s="31">
        <v>4394229.5599999996</v>
      </c>
      <c r="O1143" s="31">
        <v>0</v>
      </c>
      <c r="P1143" s="31">
        <v>0</v>
      </c>
      <c r="Q1143" s="31">
        <v>0</v>
      </c>
      <c r="R1143" s="31">
        <v>0</v>
      </c>
      <c r="S1143" s="31">
        <v>0</v>
      </c>
      <c r="T1143" s="31">
        <v>0</v>
      </c>
      <c r="U1143" s="31">
        <v>0</v>
      </c>
      <c r="V1143" s="31">
        <v>0</v>
      </c>
      <c r="W1143" s="31">
        <v>0</v>
      </c>
      <c r="X1143" s="31">
        <v>0</v>
      </c>
      <c r="Y1143" s="31">
        <v>0</v>
      </c>
      <c r="Z1143" s="31">
        <v>0</v>
      </c>
      <c r="AA1143" s="31">
        <v>0</v>
      </c>
      <c r="AB1143" s="31">
        <v>0</v>
      </c>
      <c r="AC1143" s="31">
        <f>ROUND(N1143*1.5%,2)</f>
        <v>65913.440000000002</v>
      </c>
      <c r="AD1143" s="31">
        <v>150000</v>
      </c>
      <c r="AE1143" s="31">
        <v>0</v>
      </c>
      <c r="AF1143" s="34">
        <v>2022</v>
      </c>
      <c r="AG1143" s="34">
        <v>2022</v>
      </c>
      <c r="AH1143" s="35">
        <v>2022</v>
      </c>
      <c r="AT1143" s="20" t="e">
        <f t="shared" si="325"/>
        <v>#N/A</v>
      </c>
      <c r="BZ1143" s="71"/>
    </row>
    <row r="1144" spans="1:82" ht="61.5" x14ac:dyDescent="0.85">
      <c r="B1144" s="24" t="s">
        <v>825</v>
      </c>
      <c r="C1144" s="108"/>
      <c r="D1144" s="195">
        <f>D1145</f>
        <v>4369866.08</v>
      </c>
      <c r="E1144" s="31">
        <f t="shared" ref="E1144:AE1144" si="335">E1145</f>
        <v>0</v>
      </c>
      <c r="F1144" s="31">
        <f t="shared" si="335"/>
        <v>0</v>
      </c>
      <c r="G1144" s="31">
        <f t="shared" si="335"/>
        <v>0</v>
      </c>
      <c r="H1144" s="31">
        <f t="shared" si="335"/>
        <v>0</v>
      </c>
      <c r="I1144" s="31">
        <f t="shared" si="335"/>
        <v>0</v>
      </c>
      <c r="J1144" s="31">
        <f t="shared" si="335"/>
        <v>0</v>
      </c>
      <c r="K1144" s="33">
        <f t="shared" si="335"/>
        <v>0</v>
      </c>
      <c r="L1144" s="31">
        <f t="shared" si="335"/>
        <v>0</v>
      </c>
      <c r="M1144" s="31">
        <f t="shared" si="335"/>
        <v>1203</v>
      </c>
      <c r="N1144" s="31">
        <f t="shared" si="335"/>
        <v>4127946.88</v>
      </c>
      <c r="O1144" s="31">
        <f t="shared" si="335"/>
        <v>0</v>
      </c>
      <c r="P1144" s="31">
        <f t="shared" si="335"/>
        <v>0</v>
      </c>
      <c r="Q1144" s="31">
        <f t="shared" si="335"/>
        <v>0</v>
      </c>
      <c r="R1144" s="31">
        <f t="shared" si="335"/>
        <v>0</v>
      </c>
      <c r="S1144" s="31">
        <f t="shared" si="335"/>
        <v>0</v>
      </c>
      <c r="T1144" s="31">
        <f t="shared" si="335"/>
        <v>0</v>
      </c>
      <c r="U1144" s="31">
        <f t="shared" si="335"/>
        <v>0</v>
      </c>
      <c r="V1144" s="31">
        <f t="shared" si="335"/>
        <v>0</v>
      </c>
      <c r="W1144" s="31">
        <f t="shared" si="335"/>
        <v>0</v>
      </c>
      <c r="X1144" s="31">
        <f t="shared" si="335"/>
        <v>0</v>
      </c>
      <c r="Y1144" s="31">
        <f t="shared" si="335"/>
        <v>0</v>
      </c>
      <c r="Z1144" s="31">
        <f t="shared" si="335"/>
        <v>0</v>
      </c>
      <c r="AA1144" s="31">
        <f t="shared" si="335"/>
        <v>0</v>
      </c>
      <c r="AB1144" s="31">
        <f t="shared" si="335"/>
        <v>0</v>
      </c>
      <c r="AC1144" s="31">
        <f t="shared" si="335"/>
        <v>61919.199999999997</v>
      </c>
      <c r="AD1144" s="31">
        <f t="shared" si="335"/>
        <v>180000</v>
      </c>
      <c r="AE1144" s="31">
        <f t="shared" si="335"/>
        <v>0</v>
      </c>
      <c r="AF1144" s="72" t="s">
        <v>757</v>
      </c>
      <c r="AG1144" s="72" t="s">
        <v>757</v>
      </c>
      <c r="AH1144" s="87" t="s">
        <v>757</v>
      </c>
      <c r="AT1144" s="20" t="e">
        <f t="shared" si="325"/>
        <v>#N/A</v>
      </c>
      <c r="BZ1144" s="71">
        <v>4369866.08</v>
      </c>
    </row>
    <row r="1145" spans="1:82" ht="61.5" x14ac:dyDescent="0.85">
      <c r="A1145" s="20">
        <v>1</v>
      </c>
      <c r="B1145" s="66">
        <f>SUBTOTAL(103,$A$1006:A1145)</f>
        <v>131</v>
      </c>
      <c r="C1145" s="122" t="s">
        <v>679</v>
      </c>
      <c r="D1145" s="31">
        <f t="shared" ref="D1145" si="336">E1145+F1145+G1145+H1145+I1145+J1145+L1145+N1145+P1145+R1145+T1145+U1145+V1145+W1145+X1145+Y1145+Z1145+AA1145+AB1145+AC1145+AD1145+AE1145</f>
        <v>4369866.08</v>
      </c>
      <c r="E1145" s="31">
        <v>0</v>
      </c>
      <c r="F1145" s="31">
        <v>0</v>
      </c>
      <c r="G1145" s="31">
        <v>0</v>
      </c>
      <c r="H1145" s="31">
        <v>0</v>
      </c>
      <c r="I1145" s="31">
        <v>0</v>
      </c>
      <c r="J1145" s="31">
        <v>0</v>
      </c>
      <c r="K1145" s="33">
        <v>0</v>
      </c>
      <c r="L1145" s="31">
        <v>0</v>
      </c>
      <c r="M1145" s="31">
        <v>1203</v>
      </c>
      <c r="N1145" s="31">
        <v>4127946.88</v>
      </c>
      <c r="O1145" s="31">
        <v>0</v>
      </c>
      <c r="P1145" s="31">
        <v>0</v>
      </c>
      <c r="Q1145" s="31">
        <v>0</v>
      </c>
      <c r="R1145" s="31">
        <v>0</v>
      </c>
      <c r="S1145" s="31">
        <v>0</v>
      </c>
      <c r="T1145" s="31">
        <v>0</v>
      </c>
      <c r="U1145" s="31">
        <v>0</v>
      </c>
      <c r="V1145" s="31">
        <v>0</v>
      </c>
      <c r="W1145" s="31">
        <v>0</v>
      </c>
      <c r="X1145" s="31">
        <v>0</v>
      </c>
      <c r="Y1145" s="31">
        <v>0</v>
      </c>
      <c r="Z1145" s="31">
        <v>0</v>
      </c>
      <c r="AA1145" s="31">
        <v>0</v>
      </c>
      <c r="AB1145" s="31">
        <v>0</v>
      </c>
      <c r="AC1145" s="31">
        <f>ROUND(N1145*1.5%,2)</f>
        <v>61919.199999999997</v>
      </c>
      <c r="AD1145" s="31">
        <v>180000</v>
      </c>
      <c r="AE1145" s="31">
        <v>0</v>
      </c>
      <c r="AF1145" s="34">
        <v>2022</v>
      </c>
      <c r="AG1145" s="34">
        <v>2022</v>
      </c>
      <c r="AH1145" s="35">
        <v>2022</v>
      </c>
      <c r="AT1145" s="20" t="e">
        <f t="shared" si="325"/>
        <v>#N/A</v>
      </c>
      <c r="BZ1145" s="71"/>
    </row>
    <row r="1146" spans="1:82" ht="61.5" x14ac:dyDescent="0.85">
      <c r="B1146" s="24" t="s">
        <v>826</v>
      </c>
      <c r="C1146" s="24"/>
      <c r="D1146" s="195">
        <f>D1147</f>
        <v>2936950.21</v>
      </c>
      <c r="E1146" s="31">
        <f t="shared" ref="E1146:AE1146" si="337">E1147</f>
        <v>0</v>
      </c>
      <c r="F1146" s="31">
        <f t="shared" si="337"/>
        <v>0</v>
      </c>
      <c r="G1146" s="31">
        <f t="shared" si="337"/>
        <v>0</v>
      </c>
      <c r="H1146" s="31">
        <f t="shared" si="337"/>
        <v>0</v>
      </c>
      <c r="I1146" s="31">
        <f t="shared" si="337"/>
        <v>0</v>
      </c>
      <c r="J1146" s="31">
        <f t="shared" si="337"/>
        <v>0</v>
      </c>
      <c r="K1146" s="33">
        <f t="shared" si="337"/>
        <v>0</v>
      </c>
      <c r="L1146" s="31">
        <f t="shared" si="337"/>
        <v>0</v>
      </c>
      <c r="M1146" s="31">
        <f t="shared" si="337"/>
        <v>0</v>
      </c>
      <c r="N1146" s="31">
        <f t="shared" si="337"/>
        <v>0</v>
      </c>
      <c r="O1146" s="31">
        <f t="shared" si="337"/>
        <v>0</v>
      </c>
      <c r="P1146" s="31">
        <f t="shared" si="337"/>
        <v>0</v>
      </c>
      <c r="Q1146" s="31">
        <f t="shared" si="337"/>
        <v>787</v>
      </c>
      <c r="R1146" s="31">
        <f t="shared" si="337"/>
        <v>2765468.19</v>
      </c>
      <c r="S1146" s="31">
        <f t="shared" si="337"/>
        <v>0</v>
      </c>
      <c r="T1146" s="31">
        <f t="shared" si="337"/>
        <v>0</v>
      </c>
      <c r="U1146" s="31">
        <f t="shared" si="337"/>
        <v>0</v>
      </c>
      <c r="V1146" s="31">
        <f t="shared" si="337"/>
        <v>0</v>
      </c>
      <c r="W1146" s="31">
        <f t="shared" si="337"/>
        <v>0</v>
      </c>
      <c r="X1146" s="31">
        <f t="shared" si="337"/>
        <v>0</v>
      </c>
      <c r="Y1146" s="31">
        <f t="shared" si="337"/>
        <v>0</v>
      </c>
      <c r="Z1146" s="31">
        <f t="shared" si="337"/>
        <v>0</v>
      </c>
      <c r="AA1146" s="31">
        <f t="shared" si="337"/>
        <v>0</v>
      </c>
      <c r="AB1146" s="31">
        <f t="shared" si="337"/>
        <v>0</v>
      </c>
      <c r="AC1146" s="31">
        <f t="shared" si="337"/>
        <v>41482.019999999997</v>
      </c>
      <c r="AD1146" s="31">
        <f t="shared" si="337"/>
        <v>130000</v>
      </c>
      <c r="AE1146" s="31">
        <f t="shared" si="337"/>
        <v>0</v>
      </c>
      <c r="AF1146" s="72" t="s">
        <v>757</v>
      </c>
      <c r="AG1146" s="72" t="s">
        <v>757</v>
      </c>
      <c r="AH1146" s="87" t="s">
        <v>757</v>
      </c>
      <c r="AT1146" s="20" t="e">
        <f t="shared" si="325"/>
        <v>#N/A</v>
      </c>
      <c r="BZ1146" s="71">
        <v>2936950.21</v>
      </c>
    </row>
    <row r="1147" spans="1:82" ht="61.5" x14ac:dyDescent="0.85">
      <c r="A1147" s="20">
        <v>1</v>
      </c>
      <c r="B1147" s="66">
        <f>SUBTOTAL(103,$A$1006:A1147)</f>
        <v>132</v>
      </c>
      <c r="C1147" s="122" t="s">
        <v>693</v>
      </c>
      <c r="D1147" s="31">
        <f t="shared" ref="D1147" si="338">E1147+F1147+G1147+H1147+I1147+J1147+L1147+N1147+P1147+R1147+T1147+U1147+V1147+W1147+X1147+Y1147+Z1147+AA1147+AB1147+AC1147+AD1147+AE1147</f>
        <v>2936950.21</v>
      </c>
      <c r="E1147" s="31">
        <v>0</v>
      </c>
      <c r="F1147" s="31">
        <v>0</v>
      </c>
      <c r="G1147" s="31">
        <v>0</v>
      </c>
      <c r="H1147" s="31">
        <v>0</v>
      </c>
      <c r="I1147" s="31">
        <v>0</v>
      </c>
      <c r="J1147" s="31">
        <v>0</v>
      </c>
      <c r="K1147" s="33">
        <v>0</v>
      </c>
      <c r="L1147" s="31">
        <v>0</v>
      </c>
      <c r="M1147" s="31">
        <v>0</v>
      </c>
      <c r="N1147" s="31">
        <v>0</v>
      </c>
      <c r="O1147" s="31">
        <v>0</v>
      </c>
      <c r="P1147" s="31">
        <v>0</v>
      </c>
      <c r="Q1147" s="31">
        <v>787</v>
      </c>
      <c r="R1147" s="31">
        <v>2765468.19</v>
      </c>
      <c r="S1147" s="31">
        <v>0</v>
      </c>
      <c r="T1147" s="31">
        <v>0</v>
      </c>
      <c r="U1147" s="31">
        <v>0</v>
      </c>
      <c r="V1147" s="31">
        <v>0</v>
      </c>
      <c r="W1147" s="31">
        <v>0</v>
      </c>
      <c r="X1147" s="31">
        <v>0</v>
      </c>
      <c r="Y1147" s="31">
        <v>0</v>
      </c>
      <c r="Z1147" s="31">
        <v>0</v>
      </c>
      <c r="AA1147" s="31">
        <v>0</v>
      </c>
      <c r="AB1147" s="31">
        <v>0</v>
      </c>
      <c r="AC1147" s="31">
        <f>ROUND(R1147*1.5%,2)</f>
        <v>41482.019999999997</v>
      </c>
      <c r="AD1147" s="31">
        <v>130000</v>
      </c>
      <c r="AE1147" s="31">
        <v>0</v>
      </c>
      <c r="AF1147" s="34">
        <v>2022</v>
      </c>
      <c r="AG1147" s="34">
        <v>2022</v>
      </c>
      <c r="AH1147" s="35">
        <v>2022</v>
      </c>
      <c r="AT1147" s="20" t="e">
        <f t="shared" si="325"/>
        <v>#N/A</v>
      </c>
      <c r="BZ1147" s="71"/>
    </row>
    <row r="1148" spans="1:82" ht="61.5" x14ac:dyDescent="0.85">
      <c r="B1148" s="24" t="s">
        <v>827</v>
      </c>
      <c r="C1148" s="24"/>
      <c r="D1148" s="195">
        <f>D1149+D1150</f>
        <v>2773728.46</v>
      </c>
      <c r="E1148" s="31">
        <f t="shared" ref="E1148:AE1148" si="339">E1149+E1150</f>
        <v>0</v>
      </c>
      <c r="F1148" s="31">
        <f t="shared" si="339"/>
        <v>0</v>
      </c>
      <c r="G1148" s="31">
        <f t="shared" si="339"/>
        <v>0</v>
      </c>
      <c r="H1148" s="31">
        <f t="shared" si="339"/>
        <v>0</v>
      </c>
      <c r="I1148" s="31">
        <f t="shared" si="339"/>
        <v>191760.14</v>
      </c>
      <c r="J1148" s="31">
        <f t="shared" si="339"/>
        <v>0</v>
      </c>
      <c r="K1148" s="33">
        <f t="shared" si="339"/>
        <v>0</v>
      </c>
      <c r="L1148" s="31">
        <f t="shared" si="339"/>
        <v>0</v>
      </c>
      <c r="M1148" s="31">
        <f t="shared" si="339"/>
        <v>628</v>
      </c>
      <c r="N1148" s="31">
        <f t="shared" si="339"/>
        <v>2353785.14</v>
      </c>
      <c r="O1148" s="31">
        <f t="shared" si="339"/>
        <v>0</v>
      </c>
      <c r="P1148" s="31">
        <f t="shared" si="339"/>
        <v>0</v>
      </c>
      <c r="Q1148" s="31">
        <f t="shared" si="339"/>
        <v>0</v>
      </c>
      <c r="R1148" s="31">
        <f t="shared" si="339"/>
        <v>0</v>
      </c>
      <c r="S1148" s="31">
        <f t="shared" si="339"/>
        <v>0</v>
      </c>
      <c r="T1148" s="31">
        <f t="shared" si="339"/>
        <v>0</v>
      </c>
      <c r="U1148" s="31">
        <f t="shared" si="339"/>
        <v>0</v>
      </c>
      <c r="V1148" s="31">
        <f t="shared" si="339"/>
        <v>0</v>
      </c>
      <c r="W1148" s="31">
        <f t="shared" si="339"/>
        <v>0</v>
      </c>
      <c r="X1148" s="31">
        <f t="shared" si="339"/>
        <v>0</v>
      </c>
      <c r="Y1148" s="31">
        <f t="shared" si="339"/>
        <v>0</v>
      </c>
      <c r="Z1148" s="31">
        <f t="shared" si="339"/>
        <v>0</v>
      </c>
      <c r="AA1148" s="31">
        <f t="shared" si="339"/>
        <v>0</v>
      </c>
      <c r="AB1148" s="31">
        <f t="shared" si="339"/>
        <v>0</v>
      </c>
      <c r="AC1148" s="31">
        <f t="shared" si="339"/>
        <v>38183.18</v>
      </c>
      <c r="AD1148" s="31">
        <f t="shared" si="339"/>
        <v>190000</v>
      </c>
      <c r="AE1148" s="31">
        <f t="shared" si="339"/>
        <v>0</v>
      </c>
      <c r="AF1148" s="72" t="s">
        <v>757</v>
      </c>
      <c r="AG1148" s="72" t="s">
        <v>757</v>
      </c>
      <c r="AH1148" s="87" t="s">
        <v>757</v>
      </c>
      <c r="AT1148" s="20" t="e">
        <f t="shared" si="325"/>
        <v>#N/A</v>
      </c>
      <c r="BZ1148" s="71">
        <v>2773728.46</v>
      </c>
    </row>
    <row r="1149" spans="1:82" ht="61.5" x14ac:dyDescent="0.85">
      <c r="A1149" s="20">
        <v>1</v>
      </c>
      <c r="B1149" s="66">
        <f>SUBTOTAL(103,$A$1006:A1149)</f>
        <v>133</v>
      </c>
      <c r="C1149" s="122" t="s">
        <v>686</v>
      </c>
      <c r="D1149" s="31">
        <f t="shared" ref="D1149:D1150" si="340">E1149+F1149+G1149+H1149+I1149+J1149+L1149+N1149+P1149+R1149+T1149+U1149+V1149+W1149+X1149+Y1149+Z1149+AA1149+AB1149+AC1149+AD1149+AE1149</f>
        <v>2539091.92</v>
      </c>
      <c r="E1149" s="31">
        <v>0</v>
      </c>
      <c r="F1149" s="31">
        <v>0</v>
      </c>
      <c r="G1149" s="31">
        <v>0</v>
      </c>
      <c r="H1149" s="31">
        <v>0</v>
      </c>
      <c r="I1149" s="31">
        <v>0</v>
      </c>
      <c r="J1149" s="31">
        <v>0</v>
      </c>
      <c r="K1149" s="33">
        <v>0</v>
      </c>
      <c r="L1149" s="31">
        <v>0</v>
      </c>
      <c r="M1149" s="31">
        <v>628</v>
      </c>
      <c r="N1149" s="31">
        <v>2353785.14</v>
      </c>
      <c r="O1149" s="31">
        <v>0</v>
      </c>
      <c r="P1149" s="31">
        <v>0</v>
      </c>
      <c r="Q1149" s="31">
        <v>0</v>
      </c>
      <c r="R1149" s="31">
        <v>0</v>
      </c>
      <c r="S1149" s="31">
        <v>0</v>
      </c>
      <c r="T1149" s="31">
        <v>0</v>
      </c>
      <c r="U1149" s="31">
        <v>0</v>
      </c>
      <c r="V1149" s="31">
        <v>0</v>
      </c>
      <c r="W1149" s="31">
        <v>0</v>
      </c>
      <c r="X1149" s="31">
        <v>0</v>
      </c>
      <c r="Y1149" s="31">
        <v>0</v>
      </c>
      <c r="Z1149" s="31">
        <v>0</v>
      </c>
      <c r="AA1149" s="31">
        <v>0</v>
      </c>
      <c r="AB1149" s="31">
        <v>0</v>
      </c>
      <c r="AC1149" s="31">
        <f>ROUND(N1149*1.5%,2)</f>
        <v>35306.78</v>
      </c>
      <c r="AD1149" s="31">
        <v>150000</v>
      </c>
      <c r="AE1149" s="31">
        <v>0</v>
      </c>
      <c r="AF1149" s="34">
        <v>2022</v>
      </c>
      <c r="AG1149" s="34">
        <v>2022</v>
      </c>
      <c r="AH1149" s="35">
        <v>2022</v>
      </c>
      <c r="AT1149" s="20" t="e">
        <f t="shared" si="325"/>
        <v>#N/A</v>
      </c>
      <c r="BZ1149" s="71"/>
    </row>
    <row r="1150" spans="1:82" ht="61.5" x14ac:dyDescent="0.85">
      <c r="A1150" s="20">
        <v>1</v>
      </c>
      <c r="B1150" s="66">
        <f>SUBTOTAL(103,$A$1006:A1150)</f>
        <v>134</v>
      </c>
      <c r="C1150" s="122" t="s">
        <v>696</v>
      </c>
      <c r="D1150" s="31">
        <f t="shared" si="340"/>
        <v>234636.54</v>
      </c>
      <c r="E1150" s="31">
        <v>0</v>
      </c>
      <c r="F1150" s="31">
        <v>0</v>
      </c>
      <c r="G1150" s="31">
        <v>0</v>
      </c>
      <c r="H1150" s="31">
        <v>0</v>
      </c>
      <c r="I1150" s="31">
        <v>191760.14</v>
      </c>
      <c r="J1150" s="31">
        <v>0</v>
      </c>
      <c r="K1150" s="33">
        <v>0</v>
      </c>
      <c r="L1150" s="31">
        <v>0</v>
      </c>
      <c r="M1150" s="31">
        <v>0</v>
      </c>
      <c r="N1150" s="31">
        <v>0</v>
      </c>
      <c r="O1150" s="31">
        <v>0</v>
      </c>
      <c r="P1150" s="31">
        <v>0</v>
      </c>
      <c r="Q1150" s="31">
        <v>0</v>
      </c>
      <c r="R1150" s="31">
        <v>0</v>
      </c>
      <c r="S1150" s="31">
        <v>0</v>
      </c>
      <c r="T1150" s="31">
        <v>0</v>
      </c>
      <c r="U1150" s="31">
        <v>0</v>
      </c>
      <c r="V1150" s="31">
        <v>0</v>
      </c>
      <c r="W1150" s="31">
        <v>0</v>
      </c>
      <c r="X1150" s="31">
        <v>0</v>
      </c>
      <c r="Y1150" s="31">
        <v>0</v>
      </c>
      <c r="Z1150" s="31">
        <v>0</v>
      </c>
      <c r="AA1150" s="31">
        <v>0</v>
      </c>
      <c r="AB1150" s="31">
        <v>0</v>
      </c>
      <c r="AC1150" s="31">
        <f>ROUND((E1150+F1150+G1150+H1150+I1150+J1150)*1.5%,2)</f>
        <v>2876.4</v>
      </c>
      <c r="AD1150" s="31">
        <v>40000</v>
      </c>
      <c r="AE1150" s="31">
        <v>0</v>
      </c>
      <c r="AF1150" s="34">
        <v>2022</v>
      </c>
      <c r="AG1150" s="34">
        <v>2022</v>
      </c>
      <c r="AH1150" s="35">
        <v>2022</v>
      </c>
      <c r="AT1150" s="20" t="e">
        <f t="shared" si="325"/>
        <v>#N/A</v>
      </c>
      <c r="BZ1150" s="71"/>
    </row>
    <row r="1151" spans="1:82" ht="61.5" x14ac:dyDescent="0.85">
      <c r="B1151" s="24" t="s">
        <v>890</v>
      </c>
      <c r="C1151" s="24"/>
      <c r="D1151" s="195">
        <f>D1152</f>
        <v>2158336.3499999996</v>
      </c>
      <c r="E1151" s="31">
        <f t="shared" ref="E1151:AE1151" si="341">E1152</f>
        <v>0</v>
      </c>
      <c r="F1151" s="31">
        <f t="shared" si="341"/>
        <v>0</v>
      </c>
      <c r="G1151" s="31">
        <f t="shared" si="341"/>
        <v>0</v>
      </c>
      <c r="H1151" s="31">
        <f t="shared" si="341"/>
        <v>0</v>
      </c>
      <c r="I1151" s="31">
        <f t="shared" si="341"/>
        <v>0</v>
      </c>
      <c r="J1151" s="31">
        <f t="shared" si="341"/>
        <v>0</v>
      </c>
      <c r="K1151" s="33">
        <f t="shared" si="341"/>
        <v>0</v>
      </c>
      <c r="L1151" s="31">
        <f t="shared" si="341"/>
        <v>0</v>
      </c>
      <c r="M1151" s="31">
        <f t="shared" si="341"/>
        <v>393</v>
      </c>
      <c r="N1151" s="31">
        <f t="shared" si="341"/>
        <v>2008213.15</v>
      </c>
      <c r="O1151" s="31">
        <f t="shared" si="341"/>
        <v>0</v>
      </c>
      <c r="P1151" s="31">
        <f t="shared" si="341"/>
        <v>0</v>
      </c>
      <c r="Q1151" s="31">
        <f t="shared" si="341"/>
        <v>0</v>
      </c>
      <c r="R1151" s="31">
        <f t="shared" si="341"/>
        <v>0</v>
      </c>
      <c r="S1151" s="31">
        <f t="shared" si="341"/>
        <v>0</v>
      </c>
      <c r="T1151" s="31">
        <f t="shared" si="341"/>
        <v>0</v>
      </c>
      <c r="U1151" s="31">
        <f t="shared" si="341"/>
        <v>0</v>
      </c>
      <c r="V1151" s="31">
        <f t="shared" si="341"/>
        <v>0</v>
      </c>
      <c r="W1151" s="31">
        <f t="shared" si="341"/>
        <v>0</v>
      </c>
      <c r="X1151" s="31">
        <f t="shared" si="341"/>
        <v>0</v>
      </c>
      <c r="Y1151" s="31">
        <f t="shared" si="341"/>
        <v>0</v>
      </c>
      <c r="Z1151" s="31">
        <f t="shared" si="341"/>
        <v>0</v>
      </c>
      <c r="AA1151" s="31">
        <f t="shared" si="341"/>
        <v>0</v>
      </c>
      <c r="AB1151" s="31">
        <f t="shared" si="341"/>
        <v>0</v>
      </c>
      <c r="AC1151" s="31">
        <f t="shared" si="341"/>
        <v>30123.200000000001</v>
      </c>
      <c r="AD1151" s="31">
        <f t="shared" si="341"/>
        <v>120000</v>
      </c>
      <c r="AE1151" s="31">
        <f t="shared" si="341"/>
        <v>0</v>
      </c>
      <c r="AF1151" s="72" t="s">
        <v>757</v>
      </c>
      <c r="AG1151" s="72" t="s">
        <v>757</v>
      </c>
      <c r="AH1151" s="87" t="s">
        <v>757</v>
      </c>
      <c r="AT1151" s="20" t="e">
        <f t="shared" si="325"/>
        <v>#N/A</v>
      </c>
      <c r="BZ1151" s="71">
        <v>2158336.3499999996</v>
      </c>
    </row>
    <row r="1152" spans="1:82" ht="61.5" x14ac:dyDescent="0.85">
      <c r="A1152" s="20">
        <v>1</v>
      </c>
      <c r="B1152" s="66">
        <f>SUBTOTAL(103,$A$1006:A1152)</f>
        <v>135</v>
      </c>
      <c r="C1152" s="122" t="s">
        <v>678</v>
      </c>
      <c r="D1152" s="31">
        <f t="shared" ref="D1152" si="342">E1152+F1152+G1152+H1152+I1152+J1152+L1152+N1152+P1152+R1152+T1152+U1152+V1152+W1152+X1152+Y1152+Z1152+AA1152+AB1152+AC1152+AD1152+AE1152</f>
        <v>2158336.3499999996</v>
      </c>
      <c r="E1152" s="31">
        <v>0</v>
      </c>
      <c r="F1152" s="31">
        <v>0</v>
      </c>
      <c r="G1152" s="31">
        <v>0</v>
      </c>
      <c r="H1152" s="31">
        <v>0</v>
      </c>
      <c r="I1152" s="31">
        <v>0</v>
      </c>
      <c r="J1152" s="31">
        <v>0</v>
      </c>
      <c r="K1152" s="33">
        <v>0</v>
      </c>
      <c r="L1152" s="31">
        <v>0</v>
      </c>
      <c r="M1152" s="31">
        <v>393</v>
      </c>
      <c r="N1152" s="31">
        <v>2008213.15</v>
      </c>
      <c r="O1152" s="31">
        <v>0</v>
      </c>
      <c r="P1152" s="31">
        <v>0</v>
      </c>
      <c r="Q1152" s="31">
        <v>0</v>
      </c>
      <c r="R1152" s="31">
        <v>0</v>
      </c>
      <c r="S1152" s="31">
        <v>0</v>
      </c>
      <c r="T1152" s="31">
        <v>0</v>
      </c>
      <c r="U1152" s="31">
        <v>0</v>
      </c>
      <c r="V1152" s="31">
        <v>0</v>
      </c>
      <c r="W1152" s="31">
        <v>0</v>
      </c>
      <c r="X1152" s="31">
        <v>0</v>
      </c>
      <c r="Y1152" s="31">
        <v>0</v>
      </c>
      <c r="Z1152" s="31">
        <v>0</v>
      </c>
      <c r="AA1152" s="31">
        <v>0</v>
      </c>
      <c r="AB1152" s="31">
        <v>0</v>
      </c>
      <c r="AC1152" s="31">
        <f>ROUND(N1152*1.5%,2)</f>
        <v>30123.200000000001</v>
      </c>
      <c r="AD1152" s="31">
        <v>120000</v>
      </c>
      <c r="AE1152" s="31">
        <v>0</v>
      </c>
      <c r="AF1152" s="34">
        <v>2022</v>
      </c>
      <c r="AG1152" s="34">
        <v>2022</v>
      </c>
      <c r="AH1152" s="35">
        <v>2022</v>
      </c>
      <c r="AT1152" s="20" t="e">
        <f t="shared" si="325"/>
        <v>#N/A</v>
      </c>
      <c r="BZ1152" s="71"/>
    </row>
    <row r="1153" spans="1:82" ht="61.5" x14ac:dyDescent="0.85">
      <c r="B1153" s="24" t="s">
        <v>828</v>
      </c>
      <c r="C1153" s="24"/>
      <c r="D1153" s="195">
        <f>D1154</f>
        <v>2000000</v>
      </c>
      <c r="E1153" s="31">
        <f t="shared" ref="E1153:AE1153" si="343">E1154</f>
        <v>0</v>
      </c>
      <c r="F1153" s="31">
        <f t="shared" si="343"/>
        <v>0</v>
      </c>
      <c r="G1153" s="31">
        <f t="shared" si="343"/>
        <v>0</v>
      </c>
      <c r="H1153" s="31">
        <f t="shared" si="343"/>
        <v>0</v>
      </c>
      <c r="I1153" s="31">
        <f t="shared" si="343"/>
        <v>0</v>
      </c>
      <c r="J1153" s="31">
        <f t="shared" si="343"/>
        <v>0</v>
      </c>
      <c r="K1153" s="33">
        <f t="shared" si="343"/>
        <v>0</v>
      </c>
      <c r="L1153" s="31">
        <f t="shared" si="343"/>
        <v>0</v>
      </c>
      <c r="M1153" s="31">
        <f t="shared" si="343"/>
        <v>674.9</v>
      </c>
      <c r="N1153" s="31">
        <f t="shared" si="343"/>
        <v>1822660.1</v>
      </c>
      <c r="O1153" s="31">
        <f t="shared" si="343"/>
        <v>0</v>
      </c>
      <c r="P1153" s="31">
        <f t="shared" si="343"/>
        <v>0</v>
      </c>
      <c r="Q1153" s="31">
        <f t="shared" si="343"/>
        <v>0</v>
      </c>
      <c r="R1153" s="31">
        <f t="shared" si="343"/>
        <v>0</v>
      </c>
      <c r="S1153" s="31">
        <f t="shared" si="343"/>
        <v>0</v>
      </c>
      <c r="T1153" s="31">
        <f t="shared" si="343"/>
        <v>0</v>
      </c>
      <c r="U1153" s="31">
        <f t="shared" si="343"/>
        <v>0</v>
      </c>
      <c r="V1153" s="31">
        <f t="shared" si="343"/>
        <v>0</v>
      </c>
      <c r="W1153" s="31">
        <f t="shared" si="343"/>
        <v>0</v>
      </c>
      <c r="X1153" s="31">
        <f t="shared" si="343"/>
        <v>0</v>
      </c>
      <c r="Y1153" s="31">
        <f t="shared" si="343"/>
        <v>0</v>
      </c>
      <c r="Z1153" s="31">
        <f t="shared" si="343"/>
        <v>0</v>
      </c>
      <c r="AA1153" s="31">
        <f t="shared" si="343"/>
        <v>0</v>
      </c>
      <c r="AB1153" s="31">
        <f t="shared" si="343"/>
        <v>0</v>
      </c>
      <c r="AC1153" s="31">
        <f t="shared" si="343"/>
        <v>27339.9</v>
      </c>
      <c r="AD1153" s="31">
        <f t="shared" si="343"/>
        <v>150000</v>
      </c>
      <c r="AE1153" s="31">
        <f t="shared" si="343"/>
        <v>0</v>
      </c>
      <c r="AF1153" s="72" t="s">
        <v>757</v>
      </c>
      <c r="AG1153" s="72" t="s">
        <v>757</v>
      </c>
      <c r="AH1153" s="87" t="s">
        <v>757</v>
      </c>
      <c r="AT1153" s="20" t="e">
        <f t="shared" si="325"/>
        <v>#N/A</v>
      </c>
      <c r="BZ1153" s="71">
        <v>2000000</v>
      </c>
    </row>
    <row r="1154" spans="1:82" ht="61.5" x14ac:dyDescent="0.85">
      <c r="A1154" s="20">
        <v>1</v>
      </c>
      <c r="B1154" s="66">
        <f>SUBTOTAL(103,$A$1006:A1154)</f>
        <v>136</v>
      </c>
      <c r="C1154" s="24" t="s">
        <v>692</v>
      </c>
      <c r="D1154" s="31">
        <f t="shared" ref="D1154" si="344">E1154+F1154+G1154+H1154+I1154+J1154+L1154+N1154+P1154+R1154+T1154+U1154+V1154+W1154+X1154+Y1154+Z1154+AA1154+AB1154+AC1154+AD1154+AE1154</f>
        <v>2000000</v>
      </c>
      <c r="E1154" s="31">
        <v>0</v>
      </c>
      <c r="F1154" s="31">
        <v>0</v>
      </c>
      <c r="G1154" s="31">
        <v>0</v>
      </c>
      <c r="H1154" s="31">
        <v>0</v>
      </c>
      <c r="I1154" s="31">
        <v>0</v>
      </c>
      <c r="J1154" s="31">
        <v>0</v>
      </c>
      <c r="K1154" s="33">
        <v>0</v>
      </c>
      <c r="L1154" s="31">
        <v>0</v>
      </c>
      <c r="M1154" s="31">
        <v>674.9</v>
      </c>
      <c r="N1154" s="31">
        <v>1822660.1</v>
      </c>
      <c r="O1154" s="31">
        <v>0</v>
      </c>
      <c r="P1154" s="31">
        <v>0</v>
      </c>
      <c r="Q1154" s="31">
        <v>0</v>
      </c>
      <c r="R1154" s="31">
        <v>0</v>
      </c>
      <c r="S1154" s="31">
        <v>0</v>
      </c>
      <c r="T1154" s="31">
        <v>0</v>
      </c>
      <c r="U1154" s="31">
        <v>0</v>
      </c>
      <c r="V1154" s="31">
        <v>0</v>
      </c>
      <c r="W1154" s="31">
        <v>0</v>
      </c>
      <c r="X1154" s="31">
        <v>0</v>
      </c>
      <c r="Y1154" s="31">
        <v>0</v>
      </c>
      <c r="Z1154" s="31">
        <v>0</v>
      </c>
      <c r="AA1154" s="31">
        <v>0</v>
      </c>
      <c r="AB1154" s="31">
        <v>0</v>
      </c>
      <c r="AC1154" s="31">
        <f>ROUND(N1154*1.5%,2)</f>
        <v>27339.9</v>
      </c>
      <c r="AD1154" s="31">
        <v>150000</v>
      </c>
      <c r="AE1154" s="31">
        <v>0</v>
      </c>
      <c r="AF1154" s="34">
        <v>2022</v>
      </c>
      <c r="AG1154" s="34">
        <v>2022</v>
      </c>
      <c r="AH1154" s="35">
        <v>2022</v>
      </c>
      <c r="AT1154" s="20" t="e">
        <f t="shared" si="325"/>
        <v>#N/A</v>
      </c>
      <c r="BZ1154" s="71"/>
    </row>
    <row r="1155" spans="1:82" ht="61.5" x14ac:dyDescent="0.85">
      <c r="B1155" s="24" t="s">
        <v>829</v>
      </c>
      <c r="C1155" s="24"/>
      <c r="D1155" s="195">
        <f t="shared" ref="D1155:AE1155" si="345">SUM(D1156:D1161)</f>
        <v>19139362.629999999</v>
      </c>
      <c r="E1155" s="31">
        <f t="shared" si="345"/>
        <v>0</v>
      </c>
      <c r="F1155" s="31">
        <f t="shared" si="345"/>
        <v>0</v>
      </c>
      <c r="G1155" s="31">
        <f t="shared" si="345"/>
        <v>0</v>
      </c>
      <c r="H1155" s="31">
        <f t="shared" si="345"/>
        <v>0</v>
      </c>
      <c r="I1155" s="31">
        <f t="shared" si="345"/>
        <v>0</v>
      </c>
      <c r="J1155" s="31">
        <f t="shared" si="345"/>
        <v>0</v>
      </c>
      <c r="K1155" s="33">
        <f t="shared" si="345"/>
        <v>2</v>
      </c>
      <c r="L1155" s="31">
        <f t="shared" si="345"/>
        <v>4396606</v>
      </c>
      <c r="M1155" s="31">
        <f t="shared" si="345"/>
        <v>2906.6</v>
      </c>
      <c r="N1155" s="31">
        <f t="shared" si="345"/>
        <v>13746558.25</v>
      </c>
      <c r="O1155" s="31">
        <f t="shared" si="345"/>
        <v>0</v>
      </c>
      <c r="P1155" s="31">
        <f t="shared" si="345"/>
        <v>0</v>
      </c>
      <c r="Q1155" s="31">
        <f t="shared" si="345"/>
        <v>0</v>
      </c>
      <c r="R1155" s="31">
        <f t="shared" si="345"/>
        <v>0</v>
      </c>
      <c r="S1155" s="31">
        <f t="shared" si="345"/>
        <v>0</v>
      </c>
      <c r="T1155" s="31">
        <f t="shared" si="345"/>
        <v>0</v>
      </c>
      <c r="U1155" s="31">
        <f t="shared" si="345"/>
        <v>0</v>
      </c>
      <c r="V1155" s="31">
        <f t="shared" si="345"/>
        <v>0</v>
      </c>
      <c r="W1155" s="31">
        <f t="shared" si="345"/>
        <v>0</v>
      </c>
      <c r="X1155" s="31">
        <f t="shared" si="345"/>
        <v>0</v>
      </c>
      <c r="Y1155" s="31">
        <f t="shared" si="345"/>
        <v>0</v>
      </c>
      <c r="Z1155" s="31">
        <f t="shared" si="345"/>
        <v>0</v>
      </c>
      <c r="AA1155" s="31">
        <f t="shared" si="345"/>
        <v>0</v>
      </c>
      <c r="AB1155" s="31">
        <f t="shared" si="345"/>
        <v>0</v>
      </c>
      <c r="AC1155" s="31">
        <f t="shared" si="345"/>
        <v>206198.38</v>
      </c>
      <c r="AD1155" s="31">
        <f t="shared" si="345"/>
        <v>790000</v>
      </c>
      <c r="AE1155" s="31">
        <f t="shared" si="345"/>
        <v>0</v>
      </c>
      <c r="AF1155" s="72" t="s">
        <v>757</v>
      </c>
      <c r="AG1155" s="72" t="s">
        <v>757</v>
      </c>
      <c r="AH1155" s="87" t="s">
        <v>757</v>
      </c>
      <c r="AT1155" s="20" t="e">
        <f t="shared" si="325"/>
        <v>#N/A</v>
      </c>
      <c r="BZ1155" s="71">
        <v>23342011.919999998</v>
      </c>
    </row>
    <row r="1156" spans="1:82" ht="61.5" x14ac:dyDescent="0.85">
      <c r="A1156" s="20">
        <v>1</v>
      </c>
      <c r="B1156" s="66">
        <f>SUBTOTAL(103,$A$1006:A1156)</f>
        <v>137</v>
      </c>
      <c r="C1156" s="122" t="s">
        <v>665</v>
      </c>
      <c r="D1156" s="31">
        <f t="shared" ref="D1156:D1161" si="346">E1156+F1156+G1156+H1156+I1156+J1156+L1156+N1156+P1156+R1156+T1156+U1156+V1156+W1156+X1156+Y1156+Z1156+AA1156+AB1156+AC1156+AD1156+AE1156</f>
        <v>1358190.18</v>
      </c>
      <c r="E1156" s="31">
        <v>0</v>
      </c>
      <c r="F1156" s="31">
        <v>0</v>
      </c>
      <c r="G1156" s="31">
        <v>0</v>
      </c>
      <c r="H1156" s="31">
        <v>0</v>
      </c>
      <c r="I1156" s="31">
        <v>0</v>
      </c>
      <c r="J1156" s="31">
        <v>0</v>
      </c>
      <c r="K1156" s="33">
        <v>0</v>
      </c>
      <c r="L1156" s="31">
        <v>0</v>
      </c>
      <c r="M1156" s="31">
        <v>260.10000000000002</v>
      </c>
      <c r="N1156" s="31">
        <v>1219891.8</v>
      </c>
      <c r="O1156" s="31">
        <v>0</v>
      </c>
      <c r="P1156" s="31">
        <v>0</v>
      </c>
      <c r="Q1156" s="31">
        <v>0</v>
      </c>
      <c r="R1156" s="31">
        <v>0</v>
      </c>
      <c r="S1156" s="31">
        <v>0</v>
      </c>
      <c r="T1156" s="31">
        <v>0</v>
      </c>
      <c r="U1156" s="31">
        <v>0</v>
      </c>
      <c r="V1156" s="31">
        <v>0</v>
      </c>
      <c r="W1156" s="31">
        <v>0</v>
      </c>
      <c r="X1156" s="31">
        <v>0</v>
      </c>
      <c r="Y1156" s="31">
        <v>0</v>
      </c>
      <c r="Z1156" s="31">
        <v>0</v>
      </c>
      <c r="AA1156" s="31">
        <v>0</v>
      </c>
      <c r="AB1156" s="31">
        <v>0</v>
      </c>
      <c r="AC1156" s="31">
        <f>ROUND(N1156*1.5%,2)</f>
        <v>18298.38</v>
      </c>
      <c r="AD1156" s="31">
        <v>120000</v>
      </c>
      <c r="AE1156" s="31">
        <v>0</v>
      </c>
      <c r="AF1156" s="34">
        <v>2022</v>
      </c>
      <c r="AG1156" s="34">
        <v>2022</v>
      </c>
      <c r="AH1156" s="35">
        <v>2022</v>
      </c>
      <c r="AT1156" s="20" t="e">
        <f t="shared" si="325"/>
        <v>#N/A</v>
      </c>
      <c r="BZ1156" s="71"/>
    </row>
    <row r="1157" spans="1:82" ht="61.5" x14ac:dyDescent="0.85">
      <c r="A1157" s="20">
        <v>1</v>
      </c>
      <c r="B1157" s="66">
        <f>SUBTOTAL(103,$A$1006:A1157)</f>
        <v>138</v>
      </c>
      <c r="C1157" s="122" t="s">
        <v>666</v>
      </c>
      <c r="D1157" s="31">
        <f t="shared" si="346"/>
        <v>3973325</v>
      </c>
      <c r="E1157" s="31">
        <v>0</v>
      </c>
      <c r="F1157" s="31">
        <v>0</v>
      </c>
      <c r="G1157" s="31">
        <v>0</v>
      </c>
      <c r="H1157" s="31">
        <v>0</v>
      </c>
      <c r="I1157" s="31">
        <v>0</v>
      </c>
      <c r="J1157" s="31">
        <v>0</v>
      </c>
      <c r="K1157" s="33">
        <v>0</v>
      </c>
      <c r="L1157" s="31">
        <v>0</v>
      </c>
      <c r="M1157" s="31">
        <v>850</v>
      </c>
      <c r="N1157" s="31">
        <v>3766822.66</v>
      </c>
      <c r="O1157" s="31">
        <v>0</v>
      </c>
      <c r="P1157" s="31">
        <v>0</v>
      </c>
      <c r="Q1157" s="31">
        <v>0</v>
      </c>
      <c r="R1157" s="31">
        <v>0</v>
      </c>
      <c r="S1157" s="31">
        <v>0</v>
      </c>
      <c r="T1157" s="31">
        <v>0</v>
      </c>
      <c r="U1157" s="31">
        <v>0</v>
      </c>
      <c r="V1157" s="31">
        <v>0</v>
      </c>
      <c r="W1157" s="31">
        <v>0</v>
      </c>
      <c r="X1157" s="31">
        <v>0</v>
      </c>
      <c r="Y1157" s="31">
        <v>0</v>
      </c>
      <c r="Z1157" s="31">
        <v>0</v>
      </c>
      <c r="AA1157" s="31">
        <v>0</v>
      </c>
      <c r="AB1157" s="31">
        <v>0</v>
      </c>
      <c r="AC1157" s="31">
        <f>ROUND(N1157*1.5%,2)</f>
        <v>56502.34</v>
      </c>
      <c r="AD1157" s="31">
        <v>150000</v>
      </c>
      <c r="AE1157" s="31">
        <v>0</v>
      </c>
      <c r="AF1157" s="34">
        <v>2022</v>
      </c>
      <c r="AG1157" s="34">
        <v>2022</v>
      </c>
      <c r="AH1157" s="35">
        <v>2022</v>
      </c>
      <c r="AT1157" s="20" t="e">
        <f t="shared" si="325"/>
        <v>#N/A</v>
      </c>
      <c r="BZ1157" s="71"/>
    </row>
    <row r="1158" spans="1:82" ht="61.5" x14ac:dyDescent="0.85">
      <c r="A1158" s="20">
        <v>1</v>
      </c>
      <c r="B1158" s="66">
        <f>SUBTOTAL(103,$A$1006:A1158)</f>
        <v>139</v>
      </c>
      <c r="C1158" s="122" t="s">
        <v>2302</v>
      </c>
      <c r="D1158" s="31">
        <f t="shared" si="346"/>
        <v>2687908</v>
      </c>
      <c r="E1158" s="31">
        <v>0</v>
      </c>
      <c r="F1158" s="31">
        <v>0</v>
      </c>
      <c r="G1158" s="31">
        <v>0</v>
      </c>
      <c r="H1158" s="31">
        <v>0</v>
      </c>
      <c r="I1158" s="31">
        <v>0</v>
      </c>
      <c r="J1158" s="31">
        <v>0</v>
      </c>
      <c r="K1158" s="33">
        <v>0</v>
      </c>
      <c r="L1158" s="31">
        <v>0</v>
      </c>
      <c r="M1158" s="31">
        <v>550.5</v>
      </c>
      <c r="N1158" s="31">
        <v>2500401.9700000002</v>
      </c>
      <c r="O1158" s="31">
        <v>0</v>
      </c>
      <c r="P1158" s="31">
        <v>0</v>
      </c>
      <c r="Q1158" s="31">
        <v>0</v>
      </c>
      <c r="R1158" s="31">
        <v>0</v>
      </c>
      <c r="S1158" s="31">
        <v>0</v>
      </c>
      <c r="T1158" s="31">
        <v>0</v>
      </c>
      <c r="U1158" s="31">
        <v>0</v>
      </c>
      <c r="V1158" s="31">
        <v>0</v>
      </c>
      <c r="W1158" s="31">
        <v>0</v>
      </c>
      <c r="X1158" s="31">
        <v>0</v>
      </c>
      <c r="Y1158" s="31">
        <v>0</v>
      </c>
      <c r="Z1158" s="31">
        <v>0</v>
      </c>
      <c r="AA1158" s="31">
        <v>0</v>
      </c>
      <c r="AB1158" s="31">
        <v>0</v>
      </c>
      <c r="AC1158" s="31">
        <f>ROUND(N1158*1.5%,2)</f>
        <v>37506.03</v>
      </c>
      <c r="AD1158" s="31">
        <v>150000</v>
      </c>
      <c r="AE1158" s="31">
        <v>0</v>
      </c>
      <c r="AF1158" s="34">
        <v>2022</v>
      </c>
      <c r="AG1158" s="34">
        <v>2022</v>
      </c>
      <c r="AH1158" s="35">
        <v>2022</v>
      </c>
      <c r="AT1158" s="20" t="e">
        <f t="shared" si="325"/>
        <v>#N/A</v>
      </c>
      <c r="BZ1158" s="71"/>
    </row>
    <row r="1159" spans="1:82" ht="61.5" x14ac:dyDescent="0.85">
      <c r="A1159" s="20">
        <v>1</v>
      </c>
      <c r="B1159" s="66">
        <f>SUBTOTAL(103,$A$1006:A1159)</f>
        <v>140</v>
      </c>
      <c r="C1159" s="122" t="s">
        <v>674</v>
      </c>
      <c r="D1159" s="31">
        <f t="shared" si="346"/>
        <v>5240868.3999999994</v>
      </c>
      <c r="E1159" s="31">
        <v>0</v>
      </c>
      <c r="F1159" s="31">
        <v>0</v>
      </c>
      <c r="G1159" s="31">
        <v>0</v>
      </c>
      <c r="H1159" s="31">
        <v>0</v>
      </c>
      <c r="I1159" s="31">
        <v>0</v>
      </c>
      <c r="J1159" s="31">
        <v>0</v>
      </c>
      <c r="K1159" s="33">
        <v>0</v>
      </c>
      <c r="L1159" s="31">
        <v>0</v>
      </c>
      <c r="M1159" s="31">
        <v>950</v>
      </c>
      <c r="N1159" s="31">
        <v>5015633.8899999997</v>
      </c>
      <c r="O1159" s="31">
        <v>0</v>
      </c>
      <c r="P1159" s="31">
        <v>0</v>
      </c>
      <c r="Q1159" s="31">
        <v>0</v>
      </c>
      <c r="R1159" s="31">
        <v>0</v>
      </c>
      <c r="S1159" s="31">
        <v>0</v>
      </c>
      <c r="T1159" s="31">
        <v>0</v>
      </c>
      <c r="U1159" s="31">
        <v>0</v>
      </c>
      <c r="V1159" s="31">
        <v>0</v>
      </c>
      <c r="W1159" s="31">
        <v>0</v>
      </c>
      <c r="X1159" s="31">
        <v>0</v>
      </c>
      <c r="Y1159" s="31">
        <v>0</v>
      </c>
      <c r="Z1159" s="31">
        <v>0</v>
      </c>
      <c r="AA1159" s="31">
        <v>0</v>
      </c>
      <c r="AB1159" s="31">
        <v>0</v>
      </c>
      <c r="AC1159" s="31">
        <f>ROUND(N1159*1.5%,2)</f>
        <v>75234.509999999995</v>
      </c>
      <c r="AD1159" s="31">
        <v>150000</v>
      </c>
      <c r="AE1159" s="31">
        <v>0</v>
      </c>
      <c r="AF1159" s="34">
        <v>2022</v>
      </c>
      <c r="AG1159" s="34">
        <v>2022</v>
      </c>
      <c r="AH1159" s="35">
        <v>2022</v>
      </c>
      <c r="AT1159" s="20">
        <f t="shared" si="325"/>
        <v>1</v>
      </c>
      <c r="BZ1159" s="71"/>
    </row>
    <row r="1160" spans="1:82" ht="61.5" x14ac:dyDescent="0.85">
      <c r="A1160" s="20">
        <v>1</v>
      </c>
      <c r="B1160" s="66">
        <f>SUBTOTAL(103,$A$1006:A1160)</f>
        <v>141</v>
      </c>
      <c r="C1160" s="122" t="s">
        <v>661</v>
      </c>
      <c r="D1160" s="31">
        <f t="shared" si="346"/>
        <v>4496606</v>
      </c>
      <c r="E1160" s="31">
        <v>0</v>
      </c>
      <c r="F1160" s="31">
        <v>0</v>
      </c>
      <c r="G1160" s="31">
        <v>0</v>
      </c>
      <c r="H1160" s="31">
        <v>0</v>
      </c>
      <c r="I1160" s="31">
        <v>0</v>
      </c>
      <c r="J1160" s="31">
        <v>0</v>
      </c>
      <c r="K1160" s="33">
        <v>2</v>
      </c>
      <c r="L1160" s="31">
        <v>4396606</v>
      </c>
      <c r="M1160" s="31">
        <v>0</v>
      </c>
      <c r="N1160" s="31">
        <v>0</v>
      </c>
      <c r="O1160" s="31">
        <v>0</v>
      </c>
      <c r="P1160" s="31">
        <v>0</v>
      </c>
      <c r="Q1160" s="31">
        <v>0</v>
      </c>
      <c r="R1160" s="31">
        <v>0</v>
      </c>
      <c r="S1160" s="31">
        <v>0</v>
      </c>
      <c r="T1160" s="31">
        <v>0</v>
      </c>
      <c r="U1160" s="31">
        <v>0</v>
      </c>
      <c r="V1160" s="31">
        <v>0</v>
      </c>
      <c r="W1160" s="31">
        <v>0</v>
      </c>
      <c r="X1160" s="31">
        <v>0</v>
      </c>
      <c r="Y1160" s="31">
        <v>0</v>
      </c>
      <c r="Z1160" s="31">
        <v>0</v>
      </c>
      <c r="AA1160" s="31">
        <v>0</v>
      </c>
      <c r="AB1160" s="31">
        <v>0</v>
      </c>
      <c r="AC1160" s="31">
        <v>0</v>
      </c>
      <c r="AD1160" s="31">
        <v>100000</v>
      </c>
      <c r="AE1160" s="31">
        <v>0</v>
      </c>
      <c r="AF1160" s="34">
        <v>2022</v>
      </c>
      <c r="AG1160" s="34">
        <v>2022</v>
      </c>
      <c r="AH1160" s="35" t="s">
        <v>270</v>
      </c>
      <c r="AT1160" s="20" t="e">
        <f t="shared" si="325"/>
        <v>#N/A</v>
      </c>
      <c r="BZ1160" s="71"/>
    </row>
    <row r="1161" spans="1:82" ht="61.5" x14ac:dyDescent="0.85">
      <c r="A1161" s="20">
        <v>1</v>
      </c>
      <c r="B1161" s="66">
        <f>SUBTOTAL(103,$A$1006:A1161)</f>
        <v>142</v>
      </c>
      <c r="C1161" s="122" t="s">
        <v>1968</v>
      </c>
      <c r="D1161" s="31">
        <f t="shared" si="346"/>
        <v>1382465.05</v>
      </c>
      <c r="E1161" s="31">
        <v>0</v>
      </c>
      <c r="F1161" s="31">
        <v>0</v>
      </c>
      <c r="G1161" s="31">
        <v>0</v>
      </c>
      <c r="H1161" s="31">
        <v>0</v>
      </c>
      <c r="I1161" s="31">
        <v>0</v>
      </c>
      <c r="J1161" s="31">
        <v>0</v>
      </c>
      <c r="K1161" s="33">
        <v>0</v>
      </c>
      <c r="L1161" s="31">
        <v>0</v>
      </c>
      <c r="M1161" s="31">
        <v>296</v>
      </c>
      <c r="N1161" s="31">
        <v>1243807.93</v>
      </c>
      <c r="O1161" s="31">
        <v>0</v>
      </c>
      <c r="P1161" s="31">
        <v>0</v>
      </c>
      <c r="Q1161" s="31">
        <v>0</v>
      </c>
      <c r="R1161" s="31">
        <v>0</v>
      </c>
      <c r="S1161" s="31">
        <v>0</v>
      </c>
      <c r="T1161" s="31">
        <v>0</v>
      </c>
      <c r="U1161" s="31">
        <v>0</v>
      </c>
      <c r="V1161" s="31">
        <v>0</v>
      </c>
      <c r="W1161" s="31">
        <v>0</v>
      </c>
      <c r="X1161" s="31">
        <v>0</v>
      </c>
      <c r="Y1161" s="31">
        <v>0</v>
      </c>
      <c r="Z1161" s="31">
        <v>0</v>
      </c>
      <c r="AA1161" s="31">
        <v>0</v>
      </c>
      <c r="AB1161" s="31">
        <v>0</v>
      </c>
      <c r="AC1161" s="31">
        <f>ROUND(N1161*1.5%,2)</f>
        <v>18657.12</v>
      </c>
      <c r="AD1161" s="31">
        <v>120000</v>
      </c>
      <c r="AE1161" s="31">
        <v>0</v>
      </c>
      <c r="AF1161" s="34">
        <v>2022</v>
      </c>
      <c r="AG1161" s="34">
        <v>2022</v>
      </c>
      <c r="AH1161" s="35">
        <v>2022</v>
      </c>
      <c r="AT1161" s="20" t="e">
        <f t="shared" si="325"/>
        <v>#N/A</v>
      </c>
      <c r="BZ1161" s="71"/>
      <c r="CD1161" s="20" t="e">
        <f>VLOOKUP(C1161,CE:CF,2,FALSE)</f>
        <v>#N/A</v>
      </c>
    </row>
    <row r="1162" spans="1:82" ht="61.5" x14ac:dyDescent="0.85">
      <c r="B1162" s="24" t="s">
        <v>830</v>
      </c>
      <c r="C1162" s="108"/>
      <c r="D1162" s="195">
        <f>SUM(D1163:D1165)</f>
        <v>13813074.67</v>
      </c>
      <c r="E1162" s="31">
        <f t="shared" ref="E1162:AE1162" si="347">SUM(E1163:E1165)</f>
        <v>0</v>
      </c>
      <c r="F1162" s="31">
        <f t="shared" si="347"/>
        <v>0</v>
      </c>
      <c r="G1162" s="31">
        <f t="shared" si="347"/>
        <v>0</v>
      </c>
      <c r="H1162" s="31">
        <f t="shared" si="347"/>
        <v>0</v>
      </c>
      <c r="I1162" s="31">
        <f t="shared" si="347"/>
        <v>0</v>
      </c>
      <c r="J1162" s="31">
        <f t="shared" si="347"/>
        <v>0</v>
      </c>
      <c r="K1162" s="33">
        <f t="shared" si="347"/>
        <v>0</v>
      </c>
      <c r="L1162" s="31">
        <f t="shared" si="347"/>
        <v>0</v>
      </c>
      <c r="M1162" s="31">
        <f t="shared" si="347"/>
        <v>2469</v>
      </c>
      <c r="N1162" s="31">
        <f t="shared" si="347"/>
        <v>12080689.66</v>
      </c>
      <c r="O1162" s="31">
        <f t="shared" si="347"/>
        <v>0</v>
      </c>
      <c r="P1162" s="31">
        <f t="shared" si="347"/>
        <v>0</v>
      </c>
      <c r="Q1162" s="31">
        <f t="shared" si="347"/>
        <v>0</v>
      </c>
      <c r="R1162" s="31">
        <f t="shared" si="347"/>
        <v>0</v>
      </c>
      <c r="S1162" s="31">
        <f t="shared" si="347"/>
        <v>114</v>
      </c>
      <c r="T1162" s="31">
        <f t="shared" si="347"/>
        <v>966674.55</v>
      </c>
      <c r="U1162" s="31">
        <f t="shared" si="347"/>
        <v>0</v>
      </c>
      <c r="V1162" s="31">
        <f t="shared" si="347"/>
        <v>0</v>
      </c>
      <c r="W1162" s="31">
        <f t="shared" si="347"/>
        <v>0</v>
      </c>
      <c r="X1162" s="31">
        <f t="shared" si="347"/>
        <v>0</v>
      </c>
      <c r="Y1162" s="31">
        <f t="shared" si="347"/>
        <v>0</v>
      </c>
      <c r="Z1162" s="31">
        <f t="shared" si="347"/>
        <v>0</v>
      </c>
      <c r="AA1162" s="31">
        <f t="shared" si="347"/>
        <v>0</v>
      </c>
      <c r="AB1162" s="31">
        <f t="shared" si="347"/>
        <v>0</v>
      </c>
      <c r="AC1162" s="31">
        <f t="shared" si="347"/>
        <v>195710.46</v>
      </c>
      <c r="AD1162" s="31">
        <f t="shared" si="347"/>
        <v>450000</v>
      </c>
      <c r="AE1162" s="31">
        <f t="shared" si="347"/>
        <v>120000</v>
      </c>
      <c r="AF1162" s="72" t="s">
        <v>757</v>
      </c>
      <c r="AG1162" s="72" t="s">
        <v>757</v>
      </c>
      <c r="AH1162" s="87" t="s">
        <v>757</v>
      </c>
      <c r="AT1162" s="20" t="e">
        <f t="shared" si="325"/>
        <v>#N/A</v>
      </c>
      <c r="BZ1162" s="71">
        <v>12591900</v>
      </c>
    </row>
    <row r="1163" spans="1:82" ht="61.5" x14ac:dyDescent="0.85">
      <c r="A1163" s="20">
        <v>1</v>
      </c>
      <c r="B1163" s="66">
        <f>SUBTOTAL(103,$A$1006:A1163)</f>
        <v>143</v>
      </c>
      <c r="C1163" s="122" t="s">
        <v>235</v>
      </c>
      <c r="D1163" s="31">
        <f t="shared" ref="D1163:D1165" si="348">E1163+F1163+G1163+H1163+I1163+J1163+L1163+N1163+P1163+R1163+T1163+U1163+V1163+W1163+X1163+Y1163+Z1163+AA1163+AB1163+AC1163+AD1163+AE1163</f>
        <v>4620600</v>
      </c>
      <c r="E1163" s="31">
        <v>0</v>
      </c>
      <c r="F1163" s="31">
        <v>0</v>
      </c>
      <c r="G1163" s="31">
        <v>0</v>
      </c>
      <c r="H1163" s="31">
        <v>0</v>
      </c>
      <c r="I1163" s="31">
        <v>0</v>
      </c>
      <c r="J1163" s="31">
        <v>0</v>
      </c>
      <c r="K1163" s="33">
        <v>0</v>
      </c>
      <c r="L1163" s="31">
        <v>0</v>
      </c>
      <c r="M1163" s="31">
        <v>906</v>
      </c>
      <c r="N1163" s="31">
        <v>4404532.0199999996</v>
      </c>
      <c r="O1163" s="31">
        <v>0</v>
      </c>
      <c r="P1163" s="31">
        <v>0</v>
      </c>
      <c r="Q1163" s="31">
        <v>0</v>
      </c>
      <c r="R1163" s="31">
        <v>0</v>
      </c>
      <c r="S1163" s="31">
        <v>0</v>
      </c>
      <c r="T1163" s="31">
        <v>0</v>
      </c>
      <c r="U1163" s="31">
        <v>0</v>
      </c>
      <c r="V1163" s="31">
        <v>0</v>
      </c>
      <c r="W1163" s="31">
        <v>0</v>
      </c>
      <c r="X1163" s="31">
        <v>0</v>
      </c>
      <c r="Y1163" s="31">
        <v>0</v>
      </c>
      <c r="Z1163" s="31">
        <v>0</v>
      </c>
      <c r="AA1163" s="31">
        <v>0</v>
      </c>
      <c r="AB1163" s="31">
        <v>0</v>
      </c>
      <c r="AC1163" s="31">
        <f>ROUND(N1163*1.5%,2)</f>
        <v>66067.98</v>
      </c>
      <c r="AD1163" s="31">
        <v>150000</v>
      </c>
      <c r="AE1163" s="31">
        <v>0</v>
      </c>
      <c r="AF1163" s="34">
        <v>2022</v>
      </c>
      <c r="AG1163" s="34">
        <v>2022</v>
      </c>
      <c r="AH1163" s="35">
        <v>2022</v>
      </c>
      <c r="AT1163" s="20" t="e">
        <f t="shared" si="325"/>
        <v>#N/A</v>
      </c>
      <c r="BZ1163" s="71"/>
    </row>
    <row r="1164" spans="1:82" ht="61.5" x14ac:dyDescent="0.85">
      <c r="A1164" s="20">
        <v>1</v>
      </c>
      <c r="B1164" s="66">
        <f>SUBTOTAL(103,$A$1006:A1164)</f>
        <v>144</v>
      </c>
      <c r="C1164" s="24" t="s">
        <v>1620</v>
      </c>
      <c r="D1164" s="31">
        <f t="shared" si="348"/>
        <v>1221174.67</v>
      </c>
      <c r="E1164" s="31">
        <v>0</v>
      </c>
      <c r="F1164" s="31">
        <v>0</v>
      </c>
      <c r="G1164" s="31">
        <v>0</v>
      </c>
      <c r="H1164" s="31">
        <v>0</v>
      </c>
      <c r="I1164" s="31">
        <v>0</v>
      </c>
      <c r="J1164" s="31">
        <v>0</v>
      </c>
      <c r="K1164" s="74">
        <v>0</v>
      </c>
      <c r="L1164" s="31">
        <v>0</v>
      </c>
      <c r="M1164" s="31">
        <v>0</v>
      </c>
      <c r="N1164" s="31">
        <v>0</v>
      </c>
      <c r="O1164" s="31">
        <v>0</v>
      </c>
      <c r="P1164" s="31">
        <v>0</v>
      </c>
      <c r="Q1164" s="31">
        <v>0</v>
      </c>
      <c r="R1164" s="31">
        <v>0</v>
      </c>
      <c r="S1164" s="31">
        <v>114</v>
      </c>
      <c r="T1164" s="31">
        <v>966674.55</v>
      </c>
      <c r="U1164" s="31">
        <v>0</v>
      </c>
      <c r="V1164" s="31">
        <v>0</v>
      </c>
      <c r="W1164" s="31">
        <v>0</v>
      </c>
      <c r="X1164" s="31">
        <v>0</v>
      </c>
      <c r="Y1164" s="31">
        <v>0</v>
      </c>
      <c r="Z1164" s="31">
        <v>0</v>
      </c>
      <c r="AA1164" s="31">
        <v>0</v>
      </c>
      <c r="AB1164" s="31">
        <v>0</v>
      </c>
      <c r="AC1164" s="31">
        <f>ROUND(T1164*1.5%,2)</f>
        <v>14500.12</v>
      </c>
      <c r="AD1164" s="31">
        <v>120000</v>
      </c>
      <c r="AE1164" s="31">
        <v>120000</v>
      </c>
      <c r="AF1164" s="34">
        <v>2022</v>
      </c>
      <c r="AG1164" s="34">
        <v>2022</v>
      </c>
      <c r="AH1164" s="35">
        <v>2022</v>
      </c>
      <c r="BZ1164" s="71"/>
      <c r="CD1164" s="20" t="e">
        <f>VLOOKUP(C1164,CE:CF,2,FALSE)</f>
        <v>#N/A</v>
      </c>
    </row>
    <row r="1165" spans="1:82" ht="61.5" x14ac:dyDescent="0.85">
      <c r="A1165" s="20">
        <v>1</v>
      </c>
      <c r="B1165" s="66">
        <f>SUBTOTAL(103,$A$1006:A1165)</f>
        <v>145</v>
      </c>
      <c r="C1165" s="122" t="s">
        <v>239</v>
      </c>
      <c r="D1165" s="31">
        <f t="shared" si="348"/>
        <v>7971300</v>
      </c>
      <c r="E1165" s="31">
        <v>0</v>
      </c>
      <c r="F1165" s="31">
        <v>0</v>
      </c>
      <c r="G1165" s="31">
        <v>0</v>
      </c>
      <c r="H1165" s="31">
        <v>0</v>
      </c>
      <c r="I1165" s="31">
        <v>0</v>
      </c>
      <c r="J1165" s="31">
        <v>0</v>
      </c>
      <c r="K1165" s="33">
        <v>0</v>
      </c>
      <c r="L1165" s="31">
        <v>0</v>
      </c>
      <c r="M1165" s="31">
        <v>1563</v>
      </c>
      <c r="N1165" s="31">
        <v>7676157.6399999997</v>
      </c>
      <c r="O1165" s="31">
        <v>0</v>
      </c>
      <c r="P1165" s="31">
        <v>0</v>
      </c>
      <c r="Q1165" s="31">
        <v>0</v>
      </c>
      <c r="R1165" s="31">
        <v>0</v>
      </c>
      <c r="S1165" s="31">
        <v>0</v>
      </c>
      <c r="T1165" s="31">
        <v>0</v>
      </c>
      <c r="U1165" s="31">
        <v>0</v>
      </c>
      <c r="V1165" s="31">
        <v>0</v>
      </c>
      <c r="W1165" s="31">
        <v>0</v>
      </c>
      <c r="X1165" s="31">
        <v>0</v>
      </c>
      <c r="Y1165" s="31">
        <v>0</v>
      </c>
      <c r="Z1165" s="31">
        <v>0</v>
      </c>
      <c r="AA1165" s="31">
        <v>0</v>
      </c>
      <c r="AB1165" s="31">
        <v>0</v>
      </c>
      <c r="AC1165" s="31">
        <f>ROUND(N1165*1.5%,2)</f>
        <v>115142.36</v>
      </c>
      <c r="AD1165" s="31">
        <v>180000</v>
      </c>
      <c r="AE1165" s="31">
        <v>0</v>
      </c>
      <c r="AF1165" s="34">
        <v>2022</v>
      </c>
      <c r="AG1165" s="34">
        <v>2022</v>
      </c>
      <c r="AH1165" s="35">
        <v>2022</v>
      </c>
      <c r="AT1165" s="20" t="e">
        <f t="shared" ref="AT1165:AT1189" si="349">VLOOKUP(C1165,AW:AX,2,FALSE)</f>
        <v>#N/A</v>
      </c>
      <c r="BZ1165" s="71"/>
    </row>
    <row r="1166" spans="1:82" ht="61.5" x14ac:dyDescent="0.85">
      <c r="B1166" s="24" t="s">
        <v>831</v>
      </c>
      <c r="C1166" s="24"/>
      <c r="D1166" s="195">
        <f>D1167</f>
        <v>1724820</v>
      </c>
      <c r="E1166" s="31">
        <f t="shared" ref="E1166:AE1166" si="350">E1167</f>
        <v>0</v>
      </c>
      <c r="F1166" s="31">
        <f t="shared" si="350"/>
        <v>0</v>
      </c>
      <c r="G1166" s="31">
        <f t="shared" si="350"/>
        <v>0</v>
      </c>
      <c r="H1166" s="31">
        <f t="shared" si="350"/>
        <v>0</v>
      </c>
      <c r="I1166" s="31">
        <f t="shared" si="350"/>
        <v>0</v>
      </c>
      <c r="J1166" s="31">
        <f t="shared" si="350"/>
        <v>0</v>
      </c>
      <c r="K1166" s="33">
        <f t="shared" si="350"/>
        <v>0</v>
      </c>
      <c r="L1166" s="31">
        <f t="shared" si="350"/>
        <v>0</v>
      </c>
      <c r="M1166" s="31">
        <f t="shared" si="350"/>
        <v>338.2</v>
      </c>
      <c r="N1166" s="31">
        <f t="shared" si="350"/>
        <v>1581103.45</v>
      </c>
      <c r="O1166" s="31">
        <f t="shared" si="350"/>
        <v>0</v>
      </c>
      <c r="P1166" s="31">
        <f t="shared" si="350"/>
        <v>0</v>
      </c>
      <c r="Q1166" s="31">
        <f t="shared" si="350"/>
        <v>0</v>
      </c>
      <c r="R1166" s="31">
        <f t="shared" si="350"/>
        <v>0</v>
      </c>
      <c r="S1166" s="31">
        <f t="shared" si="350"/>
        <v>0</v>
      </c>
      <c r="T1166" s="31">
        <f t="shared" si="350"/>
        <v>0</v>
      </c>
      <c r="U1166" s="31">
        <f t="shared" si="350"/>
        <v>0</v>
      </c>
      <c r="V1166" s="31">
        <f t="shared" si="350"/>
        <v>0</v>
      </c>
      <c r="W1166" s="31">
        <f t="shared" si="350"/>
        <v>0</v>
      </c>
      <c r="X1166" s="31">
        <f t="shared" si="350"/>
        <v>0</v>
      </c>
      <c r="Y1166" s="31">
        <f t="shared" si="350"/>
        <v>0</v>
      </c>
      <c r="Z1166" s="31">
        <f t="shared" si="350"/>
        <v>0</v>
      </c>
      <c r="AA1166" s="31">
        <f t="shared" si="350"/>
        <v>0</v>
      </c>
      <c r="AB1166" s="31">
        <f t="shared" si="350"/>
        <v>0</v>
      </c>
      <c r="AC1166" s="31">
        <f t="shared" si="350"/>
        <v>23716.55</v>
      </c>
      <c r="AD1166" s="31">
        <f t="shared" si="350"/>
        <v>120000</v>
      </c>
      <c r="AE1166" s="31">
        <f t="shared" si="350"/>
        <v>0</v>
      </c>
      <c r="AF1166" s="72" t="s">
        <v>757</v>
      </c>
      <c r="AG1166" s="72" t="s">
        <v>757</v>
      </c>
      <c r="AH1166" s="87" t="s">
        <v>757</v>
      </c>
      <c r="AT1166" s="20" t="e">
        <f t="shared" si="349"/>
        <v>#N/A</v>
      </c>
      <c r="BZ1166" s="71">
        <v>1724820</v>
      </c>
    </row>
    <row r="1167" spans="1:82" ht="61.5" x14ac:dyDescent="0.85">
      <c r="A1167" s="20">
        <v>1</v>
      </c>
      <c r="B1167" s="66">
        <f>SUBTOTAL(103,$A$1006:A1167)</f>
        <v>146</v>
      </c>
      <c r="C1167" s="122" t="s">
        <v>244</v>
      </c>
      <c r="D1167" s="31">
        <f t="shared" ref="D1167" si="351">E1167+F1167+G1167+H1167+I1167+J1167+L1167+N1167+P1167+R1167+T1167+U1167+V1167+W1167+X1167+Y1167+Z1167+AA1167+AB1167+AC1167+AD1167+AE1167</f>
        <v>1724820</v>
      </c>
      <c r="E1167" s="31">
        <v>0</v>
      </c>
      <c r="F1167" s="31">
        <v>0</v>
      </c>
      <c r="G1167" s="31">
        <v>0</v>
      </c>
      <c r="H1167" s="31">
        <v>0</v>
      </c>
      <c r="I1167" s="31">
        <v>0</v>
      </c>
      <c r="J1167" s="31">
        <v>0</v>
      </c>
      <c r="K1167" s="33">
        <v>0</v>
      </c>
      <c r="L1167" s="31">
        <v>0</v>
      </c>
      <c r="M1167" s="31">
        <v>338.2</v>
      </c>
      <c r="N1167" s="31">
        <v>1581103.45</v>
      </c>
      <c r="O1167" s="31">
        <v>0</v>
      </c>
      <c r="P1167" s="31">
        <v>0</v>
      </c>
      <c r="Q1167" s="31">
        <v>0</v>
      </c>
      <c r="R1167" s="31">
        <v>0</v>
      </c>
      <c r="S1167" s="31">
        <v>0</v>
      </c>
      <c r="T1167" s="31">
        <v>0</v>
      </c>
      <c r="U1167" s="31">
        <v>0</v>
      </c>
      <c r="V1167" s="31">
        <v>0</v>
      </c>
      <c r="W1167" s="31">
        <v>0</v>
      </c>
      <c r="X1167" s="31">
        <v>0</v>
      </c>
      <c r="Y1167" s="31">
        <v>0</v>
      </c>
      <c r="Z1167" s="31">
        <v>0</v>
      </c>
      <c r="AA1167" s="31">
        <v>0</v>
      </c>
      <c r="AB1167" s="31">
        <v>0</v>
      </c>
      <c r="AC1167" s="31">
        <f>ROUND(N1167*1.5%,2)</f>
        <v>23716.55</v>
      </c>
      <c r="AD1167" s="31">
        <v>120000</v>
      </c>
      <c r="AE1167" s="31">
        <v>0</v>
      </c>
      <c r="AF1167" s="34">
        <v>2022</v>
      </c>
      <c r="AG1167" s="34">
        <v>2022</v>
      </c>
      <c r="AH1167" s="35">
        <v>2022</v>
      </c>
      <c r="AT1167" s="20" t="e">
        <f t="shared" si="349"/>
        <v>#N/A</v>
      </c>
      <c r="BZ1167" s="71"/>
    </row>
    <row r="1168" spans="1:82" ht="61.5" x14ac:dyDescent="0.85">
      <c r="B1168" s="24" t="s">
        <v>832</v>
      </c>
      <c r="C1168" s="24"/>
      <c r="D1168" s="195">
        <f>D1169</f>
        <v>1739107.3499999999</v>
      </c>
      <c r="E1168" s="31">
        <f t="shared" ref="E1168:AE1168" si="352">E1169</f>
        <v>0</v>
      </c>
      <c r="F1168" s="31">
        <f t="shared" si="352"/>
        <v>0</v>
      </c>
      <c r="G1168" s="31">
        <f t="shared" si="352"/>
        <v>0</v>
      </c>
      <c r="H1168" s="31">
        <f t="shared" si="352"/>
        <v>0</v>
      </c>
      <c r="I1168" s="31">
        <f t="shared" si="352"/>
        <v>0</v>
      </c>
      <c r="J1168" s="31">
        <f t="shared" si="352"/>
        <v>0</v>
      </c>
      <c r="K1168" s="33">
        <f t="shared" si="352"/>
        <v>0</v>
      </c>
      <c r="L1168" s="31">
        <f t="shared" si="352"/>
        <v>0</v>
      </c>
      <c r="M1168" s="31">
        <f t="shared" si="352"/>
        <v>0</v>
      </c>
      <c r="N1168" s="31">
        <f t="shared" si="352"/>
        <v>0</v>
      </c>
      <c r="O1168" s="31">
        <f t="shared" si="352"/>
        <v>0</v>
      </c>
      <c r="P1168" s="31">
        <f t="shared" si="352"/>
        <v>0</v>
      </c>
      <c r="Q1168" s="31">
        <f t="shared" si="352"/>
        <v>568.70000000000005</v>
      </c>
      <c r="R1168" s="31">
        <f t="shared" si="352"/>
        <v>1585327.44</v>
      </c>
      <c r="S1168" s="31">
        <f t="shared" si="352"/>
        <v>0</v>
      </c>
      <c r="T1168" s="31">
        <f t="shared" si="352"/>
        <v>0</v>
      </c>
      <c r="U1168" s="31">
        <f t="shared" si="352"/>
        <v>0</v>
      </c>
      <c r="V1168" s="31">
        <f t="shared" si="352"/>
        <v>0</v>
      </c>
      <c r="W1168" s="31">
        <f t="shared" si="352"/>
        <v>0</v>
      </c>
      <c r="X1168" s="31">
        <f t="shared" si="352"/>
        <v>0</v>
      </c>
      <c r="Y1168" s="31">
        <f t="shared" si="352"/>
        <v>0</v>
      </c>
      <c r="Z1168" s="31">
        <f t="shared" si="352"/>
        <v>0</v>
      </c>
      <c r="AA1168" s="31">
        <f t="shared" si="352"/>
        <v>0</v>
      </c>
      <c r="AB1168" s="31">
        <f t="shared" si="352"/>
        <v>0</v>
      </c>
      <c r="AC1168" s="31">
        <f t="shared" si="352"/>
        <v>23779.91</v>
      </c>
      <c r="AD1168" s="31">
        <f t="shared" si="352"/>
        <v>130000</v>
      </c>
      <c r="AE1168" s="31">
        <f t="shared" si="352"/>
        <v>0</v>
      </c>
      <c r="AF1168" s="72" t="s">
        <v>757</v>
      </c>
      <c r="AG1168" s="72" t="s">
        <v>757</v>
      </c>
      <c r="AH1168" s="87" t="s">
        <v>757</v>
      </c>
      <c r="AT1168" s="20" t="e">
        <f t="shared" si="349"/>
        <v>#N/A</v>
      </c>
      <c r="BZ1168" s="71">
        <v>1739107.3499999999</v>
      </c>
    </row>
    <row r="1169" spans="1:80" ht="61.5" x14ac:dyDescent="0.85">
      <c r="A1169" s="20">
        <v>1</v>
      </c>
      <c r="B1169" s="66">
        <f>SUBTOTAL(103,$A$1006:A1169)</f>
        <v>147</v>
      </c>
      <c r="C1169" s="122" t="s">
        <v>246</v>
      </c>
      <c r="D1169" s="31">
        <f t="shared" ref="D1169" si="353">E1169+F1169+G1169+H1169+I1169+J1169+L1169+N1169+P1169+R1169+T1169+U1169+V1169+W1169+X1169+Y1169+Z1169+AA1169+AB1169+AC1169+AD1169+AE1169</f>
        <v>1739107.3499999999</v>
      </c>
      <c r="E1169" s="31">
        <v>0</v>
      </c>
      <c r="F1169" s="31">
        <v>0</v>
      </c>
      <c r="G1169" s="31">
        <v>0</v>
      </c>
      <c r="H1169" s="31">
        <v>0</v>
      </c>
      <c r="I1169" s="31">
        <v>0</v>
      </c>
      <c r="J1169" s="31">
        <v>0</v>
      </c>
      <c r="K1169" s="33">
        <v>0</v>
      </c>
      <c r="L1169" s="31">
        <v>0</v>
      </c>
      <c r="M1169" s="31">
        <v>0</v>
      </c>
      <c r="N1169" s="31">
        <v>0</v>
      </c>
      <c r="O1169" s="31">
        <v>0</v>
      </c>
      <c r="P1169" s="31">
        <v>0</v>
      </c>
      <c r="Q1169" s="31">
        <v>568.70000000000005</v>
      </c>
      <c r="R1169" s="31">
        <v>1585327.44</v>
      </c>
      <c r="S1169" s="31">
        <v>0</v>
      </c>
      <c r="T1169" s="31">
        <v>0</v>
      </c>
      <c r="U1169" s="31">
        <v>0</v>
      </c>
      <c r="V1169" s="31">
        <v>0</v>
      </c>
      <c r="W1169" s="31">
        <v>0</v>
      </c>
      <c r="X1169" s="31">
        <v>0</v>
      </c>
      <c r="Y1169" s="31">
        <v>0</v>
      </c>
      <c r="Z1169" s="31">
        <v>0</v>
      </c>
      <c r="AA1169" s="31">
        <v>0</v>
      </c>
      <c r="AB1169" s="31">
        <v>0</v>
      </c>
      <c r="AC1169" s="31">
        <f>ROUND(R1169*1.5%,2)</f>
        <v>23779.91</v>
      </c>
      <c r="AD1169" s="31">
        <v>130000</v>
      </c>
      <c r="AE1169" s="31">
        <v>0</v>
      </c>
      <c r="AF1169" s="34">
        <v>2022</v>
      </c>
      <c r="AG1169" s="34">
        <v>2022</v>
      </c>
      <c r="AH1169" s="35">
        <v>2022</v>
      </c>
      <c r="AT1169" s="20" t="e">
        <f t="shared" si="349"/>
        <v>#N/A</v>
      </c>
      <c r="BZ1169" s="71"/>
    </row>
    <row r="1170" spans="1:80" ht="61.5" x14ac:dyDescent="0.85">
      <c r="B1170" s="24" t="s">
        <v>891</v>
      </c>
      <c r="C1170" s="138"/>
      <c r="D1170" s="195">
        <f>D1171</f>
        <v>3373804.98</v>
      </c>
      <c r="E1170" s="31">
        <f t="shared" ref="E1170:AE1170" si="354">E1171</f>
        <v>0</v>
      </c>
      <c r="F1170" s="31">
        <f t="shared" si="354"/>
        <v>0</v>
      </c>
      <c r="G1170" s="31">
        <f t="shared" si="354"/>
        <v>0</v>
      </c>
      <c r="H1170" s="31">
        <f t="shared" si="354"/>
        <v>0</v>
      </c>
      <c r="I1170" s="31">
        <f t="shared" si="354"/>
        <v>0</v>
      </c>
      <c r="J1170" s="31">
        <f t="shared" si="354"/>
        <v>0</v>
      </c>
      <c r="K1170" s="33">
        <f t="shared" si="354"/>
        <v>0</v>
      </c>
      <c r="L1170" s="31">
        <f t="shared" si="354"/>
        <v>0</v>
      </c>
      <c r="M1170" s="31">
        <f t="shared" si="354"/>
        <v>646.1</v>
      </c>
      <c r="N1170" s="31">
        <f t="shared" si="354"/>
        <v>3176162.54</v>
      </c>
      <c r="O1170" s="31">
        <f t="shared" si="354"/>
        <v>0</v>
      </c>
      <c r="P1170" s="31">
        <f t="shared" si="354"/>
        <v>0</v>
      </c>
      <c r="Q1170" s="31">
        <f t="shared" si="354"/>
        <v>0</v>
      </c>
      <c r="R1170" s="31">
        <f t="shared" si="354"/>
        <v>0</v>
      </c>
      <c r="S1170" s="31">
        <f t="shared" si="354"/>
        <v>0</v>
      </c>
      <c r="T1170" s="31">
        <f t="shared" si="354"/>
        <v>0</v>
      </c>
      <c r="U1170" s="31">
        <f t="shared" si="354"/>
        <v>0</v>
      </c>
      <c r="V1170" s="31">
        <f t="shared" si="354"/>
        <v>0</v>
      </c>
      <c r="W1170" s="31">
        <f t="shared" si="354"/>
        <v>0</v>
      </c>
      <c r="X1170" s="31">
        <f t="shared" si="354"/>
        <v>0</v>
      </c>
      <c r="Y1170" s="31">
        <f t="shared" si="354"/>
        <v>0</v>
      </c>
      <c r="Z1170" s="31">
        <f t="shared" si="354"/>
        <v>0</v>
      </c>
      <c r="AA1170" s="31">
        <f t="shared" si="354"/>
        <v>0</v>
      </c>
      <c r="AB1170" s="31">
        <f t="shared" si="354"/>
        <v>0</v>
      </c>
      <c r="AC1170" s="31">
        <f t="shared" si="354"/>
        <v>47642.44</v>
      </c>
      <c r="AD1170" s="31">
        <f t="shared" si="354"/>
        <v>150000</v>
      </c>
      <c r="AE1170" s="31">
        <f t="shared" si="354"/>
        <v>0</v>
      </c>
      <c r="AF1170" s="72" t="s">
        <v>757</v>
      </c>
      <c r="AG1170" s="72" t="s">
        <v>757</v>
      </c>
      <c r="AH1170" s="87" t="s">
        <v>757</v>
      </c>
      <c r="AT1170" s="20" t="e">
        <f t="shared" si="349"/>
        <v>#N/A</v>
      </c>
      <c r="BZ1170" s="71">
        <v>3373804.98</v>
      </c>
    </row>
    <row r="1171" spans="1:80" ht="61.5" x14ac:dyDescent="0.85">
      <c r="A1171" s="20">
        <v>1</v>
      </c>
      <c r="B1171" s="66">
        <f>SUBTOTAL(103,$A$1006:A1171)</f>
        <v>148</v>
      </c>
      <c r="C1171" s="122" t="s">
        <v>4</v>
      </c>
      <c r="D1171" s="31">
        <f t="shared" ref="D1171" si="355">E1171+F1171+G1171+H1171+I1171+J1171+L1171+N1171+P1171+R1171+T1171+U1171+V1171+W1171+X1171+Y1171+Z1171+AA1171+AB1171+AC1171+AD1171+AE1171</f>
        <v>3373804.98</v>
      </c>
      <c r="E1171" s="31">
        <v>0</v>
      </c>
      <c r="F1171" s="31">
        <v>0</v>
      </c>
      <c r="G1171" s="31">
        <v>0</v>
      </c>
      <c r="H1171" s="31">
        <v>0</v>
      </c>
      <c r="I1171" s="31">
        <v>0</v>
      </c>
      <c r="J1171" s="31">
        <v>0</v>
      </c>
      <c r="K1171" s="33">
        <v>0</v>
      </c>
      <c r="L1171" s="31">
        <v>0</v>
      </c>
      <c r="M1171" s="31">
        <v>646.1</v>
      </c>
      <c r="N1171" s="31">
        <v>3176162.54</v>
      </c>
      <c r="O1171" s="31">
        <v>0</v>
      </c>
      <c r="P1171" s="31">
        <v>0</v>
      </c>
      <c r="Q1171" s="31">
        <v>0</v>
      </c>
      <c r="R1171" s="31">
        <v>0</v>
      </c>
      <c r="S1171" s="31">
        <v>0</v>
      </c>
      <c r="T1171" s="31">
        <v>0</v>
      </c>
      <c r="U1171" s="31">
        <v>0</v>
      </c>
      <c r="V1171" s="31">
        <v>0</v>
      </c>
      <c r="W1171" s="31">
        <v>0</v>
      </c>
      <c r="X1171" s="31">
        <v>0</v>
      </c>
      <c r="Y1171" s="31">
        <v>0</v>
      </c>
      <c r="Z1171" s="31">
        <v>0</v>
      </c>
      <c r="AA1171" s="31">
        <v>0</v>
      </c>
      <c r="AB1171" s="31">
        <v>0</v>
      </c>
      <c r="AC1171" s="31">
        <f>ROUND(N1171*1.5%,2)</f>
        <v>47642.44</v>
      </c>
      <c r="AD1171" s="31">
        <v>150000</v>
      </c>
      <c r="AE1171" s="31">
        <v>0</v>
      </c>
      <c r="AF1171" s="34">
        <v>2022</v>
      </c>
      <c r="AG1171" s="34">
        <v>2022</v>
      </c>
      <c r="AH1171" s="35">
        <v>2022</v>
      </c>
      <c r="AT1171" s="20" t="e">
        <f t="shared" si="349"/>
        <v>#N/A</v>
      </c>
      <c r="BZ1171" s="71"/>
    </row>
    <row r="1172" spans="1:80" ht="61.5" x14ac:dyDescent="0.85">
      <c r="B1172" s="24" t="s">
        <v>892</v>
      </c>
      <c r="C1172" s="25"/>
      <c r="D1172" s="195">
        <f>SUM(D1173:D1174)</f>
        <v>3916350</v>
      </c>
      <c r="E1172" s="31">
        <f t="shared" ref="E1172:AE1172" si="356">SUM(E1173:E1174)</f>
        <v>0</v>
      </c>
      <c r="F1172" s="31">
        <f t="shared" si="356"/>
        <v>0</v>
      </c>
      <c r="G1172" s="31">
        <f t="shared" si="356"/>
        <v>0</v>
      </c>
      <c r="H1172" s="31">
        <f t="shared" si="356"/>
        <v>0</v>
      </c>
      <c r="I1172" s="31">
        <f t="shared" si="356"/>
        <v>0</v>
      </c>
      <c r="J1172" s="31">
        <f t="shared" si="356"/>
        <v>0</v>
      </c>
      <c r="K1172" s="33">
        <f t="shared" si="356"/>
        <v>0</v>
      </c>
      <c r="L1172" s="31">
        <f t="shared" si="356"/>
        <v>0</v>
      </c>
      <c r="M1172" s="31">
        <f t="shared" si="356"/>
        <v>897</v>
      </c>
      <c r="N1172" s="31">
        <f t="shared" si="356"/>
        <v>3562906.4</v>
      </c>
      <c r="O1172" s="31">
        <f t="shared" si="356"/>
        <v>0</v>
      </c>
      <c r="P1172" s="31">
        <f t="shared" si="356"/>
        <v>0</v>
      </c>
      <c r="Q1172" s="31">
        <f t="shared" si="356"/>
        <v>0</v>
      </c>
      <c r="R1172" s="31">
        <f t="shared" si="356"/>
        <v>0</v>
      </c>
      <c r="S1172" s="31">
        <f t="shared" si="356"/>
        <v>0</v>
      </c>
      <c r="T1172" s="31">
        <f t="shared" si="356"/>
        <v>0</v>
      </c>
      <c r="U1172" s="31">
        <f t="shared" si="356"/>
        <v>0</v>
      </c>
      <c r="V1172" s="31">
        <f t="shared" si="356"/>
        <v>0</v>
      </c>
      <c r="W1172" s="31">
        <f t="shared" si="356"/>
        <v>0</v>
      </c>
      <c r="X1172" s="31">
        <f t="shared" si="356"/>
        <v>0</v>
      </c>
      <c r="Y1172" s="31">
        <f t="shared" si="356"/>
        <v>0</v>
      </c>
      <c r="Z1172" s="31">
        <f t="shared" si="356"/>
        <v>0</v>
      </c>
      <c r="AA1172" s="31">
        <f t="shared" si="356"/>
        <v>0</v>
      </c>
      <c r="AB1172" s="31">
        <f t="shared" si="356"/>
        <v>0</v>
      </c>
      <c r="AC1172" s="31">
        <f t="shared" si="356"/>
        <v>53443.600000000006</v>
      </c>
      <c r="AD1172" s="31">
        <f t="shared" si="356"/>
        <v>300000</v>
      </c>
      <c r="AE1172" s="31">
        <f t="shared" si="356"/>
        <v>0</v>
      </c>
      <c r="AF1172" s="72" t="s">
        <v>757</v>
      </c>
      <c r="AG1172" s="72" t="s">
        <v>757</v>
      </c>
      <c r="AH1172" s="87" t="s">
        <v>757</v>
      </c>
      <c r="AT1172" s="20" t="e">
        <f t="shared" si="349"/>
        <v>#N/A</v>
      </c>
      <c r="BZ1172" s="71">
        <v>3916350</v>
      </c>
    </row>
    <row r="1173" spans="1:80" ht="61.5" x14ac:dyDescent="0.85">
      <c r="A1173" s="20">
        <v>1</v>
      </c>
      <c r="B1173" s="66">
        <f>SUBTOTAL(103,$A$1006:A1173)</f>
        <v>149</v>
      </c>
      <c r="C1173" s="122" t="s">
        <v>1706</v>
      </c>
      <c r="D1173" s="31">
        <f t="shared" ref="D1173:D1174" si="357">E1173+F1173+G1173+H1173+I1173+J1173+L1173+N1173+P1173+R1173+T1173+U1173+V1173+W1173+X1173+Y1173+Z1173+AA1173+AB1173+AC1173+AD1173+AE1173</f>
        <v>2035617.4</v>
      </c>
      <c r="E1173" s="31">
        <v>0</v>
      </c>
      <c r="F1173" s="31">
        <v>0</v>
      </c>
      <c r="G1173" s="31">
        <v>0</v>
      </c>
      <c r="H1173" s="31">
        <v>0</v>
      </c>
      <c r="I1173" s="31">
        <v>0</v>
      </c>
      <c r="J1173" s="31">
        <v>0</v>
      </c>
      <c r="K1173" s="33">
        <v>0</v>
      </c>
      <c r="L1173" s="31">
        <v>0</v>
      </c>
      <c r="M1173" s="31">
        <v>468</v>
      </c>
      <c r="N1173" s="31">
        <v>1857751.13</v>
      </c>
      <c r="O1173" s="31">
        <v>0</v>
      </c>
      <c r="P1173" s="31">
        <v>0</v>
      </c>
      <c r="Q1173" s="31">
        <v>0</v>
      </c>
      <c r="R1173" s="31">
        <v>0</v>
      </c>
      <c r="S1173" s="31">
        <v>0</v>
      </c>
      <c r="T1173" s="31">
        <v>0</v>
      </c>
      <c r="U1173" s="31">
        <v>0</v>
      </c>
      <c r="V1173" s="31">
        <v>0</v>
      </c>
      <c r="W1173" s="31">
        <v>0</v>
      </c>
      <c r="X1173" s="31">
        <v>0</v>
      </c>
      <c r="Y1173" s="31">
        <v>0</v>
      </c>
      <c r="Z1173" s="31">
        <v>0</v>
      </c>
      <c r="AA1173" s="31">
        <v>0</v>
      </c>
      <c r="AB1173" s="31">
        <v>0</v>
      </c>
      <c r="AC1173" s="31">
        <f>ROUND(N1173*1.5%,2)</f>
        <v>27866.27</v>
      </c>
      <c r="AD1173" s="31">
        <v>150000</v>
      </c>
      <c r="AE1173" s="31">
        <v>0</v>
      </c>
      <c r="AF1173" s="34">
        <v>2022</v>
      </c>
      <c r="AG1173" s="34">
        <v>2022</v>
      </c>
      <c r="AH1173" s="35">
        <v>2022</v>
      </c>
      <c r="AT1173" s="20" t="e">
        <f t="shared" si="349"/>
        <v>#N/A</v>
      </c>
      <c r="BZ1173" s="71"/>
    </row>
    <row r="1174" spans="1:80" ht="61.5" x14ac:dyDescent="0.85">
      <c r="A1174" s="20">
        <v>1</v>
      </c>
      <c r="B1174" s="66">
        <f>SUBTOTAL(103,$A$1006:A1174)</f>
        <v>150</v>
      </c>
      <c r="C1174" s="122" t="s">
        <v>1707</v>
      </c>
      <c r="D1174" s="31">
        <f t="shared" si="357"/>
        <v>1880732.6</v>
      </c>
      <c r="E1174" s="31">
        <v>0</v>
      </c>
      <c r="F1174" s="31">
        <v>0</v>
      </c>
      <c r="G1174" s="31">
        <v>0</v>
      </c>
      <c r="H1174" s="31">
        <v>0</v>
      </c>
      <c r="I1174" s="31">
        <v>0</v>
      </c>
      <c r="J1174" s="31">
        <v>0</v>
      </c>
      <c r="K1174" s="33">
        <v>0</v>
      </c>
      <c r="L1174" s="31">
        <v>0</v>
      </c>
      <c r="M1174" s="31">
        <v>429</v>
      </c>
      <c r="N1174" s="31">
        <f>1702938.53+2216.74</f>
        <v>1705155.27</v>
      </c>
      <c r="O1174" s="31">
        <v>0</v>
      </c>
      <c r="P1174" s="31">
        <v>0</v>
      </c>
      <c r="Q1174" s="31">
        <v>0</v>
      </c>
      <c r="R1174" s="31">
        <v>0</v>
      </c>
      <c r="S1174" s="31">
        <v>0</v>
      </c>
      <c r="T1174" s="31">
        <v>0</v>
      </c>
      <c r="U1174" s="31">
        <v>0</v>
      </c>
      <c r="V1174" s="31">
        <v>0</v>
      </c>
      <c r="W1174" s="31">
        <v>0</v>
      </c>
      <c r="X1174" s="31">
        <v>0</v>
      </c>
      <c r="Y1174" s="31">
        <v>0</v>
      </c>
      <c r="Z1174" s="31">
        <v>0</v>
      </c>
      <c r="AA1174" s="31">
        <v>0</v>
      </c>
      <c r="AB1174" s="31">
        <v>0</v>
      </c>
      <c r="AC1174" s="31">
        <f>ROUND(N1174*1.5%,2)</f>
        <v>25577.33</v>
      </c>
      <c r="AD1174" s="31">
        <v>150000</v>
      </c>
      <c r="AE1174" s="31">
        <v>0</v>
      </c>
      <c r="AF1174" s="34">
        <v>2022</v>
      </c>
      <c r="AG1174" s="34">
        <v>2022</v>
      </c>
      <c r="AH1174" s="35">
        <v>2022</v>
      </c>
      <c r="AT1174" s="20" t="e">
        <f t="shared" si="349"/>
        <v>#N/A</v>
      </c>
      <c r="BZ1174" s="71"/>
    </row>
    <row r="1175" spans="1:80" ht="61.5" x14ac:dyDescent="0.85">
      <c r="B1175" s="24" t="s">
        <v>834</v>
      </c>
      <c r="C1175" s="108"/>
      <c r="D1175" s="195">
        <f>D1176+D1177</f>
        <v>3516578.96</v>
      </c>
      <c r="E1175" s="31">
        <f t="shared" ref="E1175:AE1175" si="358">E1176+E1177</f>
        <v>0</v>
      </c>
      <c r="F1175" s="31">
        <f t="shared" si="358"/>
        <v>0</v>
      </c>
      <c r="G1175" s="31">
        <f t="shared" si="358"/>
        <v>0</v>
      </c>
      <c r="H1175" s="31">
        <f t="shared" si="358"/>
        <v>0</v>
      </c>
      <c r="I1175" s="31">
        <f t="shared" si="358"/>
        <v>0</v>
      </c>
      <c r="J1175" s="31">
        <f t="shared" si="358"/>
        <v>0</v>
      </c>
      <c r="K1175" s="33">
        <f t="shared" si="358"/>
        <v>0</v>
      </c>
      <c r="L1175" s="31">
        <f t="shared" si="358"/>
        <v>0</v>
      </c>
      <c r="M1175" s="31">
        <f t="shared" si="358"/>
        <v>856</v>
      </c>
      <c r="N1175" s="31">
        <f t="shared" si="358"/>
        <v>3228156.6100000003</v>
      </c>
      <c r="O1175" s="31">
        <f t="shared" si="358"/>
        <v>0</v>
      </c>
      <c r="P1175" s="31">
        <f t="shared" si="358"/>
        <v>0</v>
      </c>
      <c r="Q1175" s="31">
        <f t="shared" si="358"/>
        <v>0</v>
      </c>
      <c r="R1175" s="31">
        <f t="shared" si="358"/>
        <v>0</v>
      </c>
      <c r="S1175" s="31">
        <f t="shared" si="358"/>
        <v>0</v>
      </c>
      <c r="T1175" s="31">
        <f t="shared" si="358"/>
        <v>0</v>
      </c>
      <c r="U1175" s="31">
        <f t="shared" si="358"/>
        <v>0</v>
      </c>
      <c r="V1175" s="31">
        <f t="shared" si="358"/>
        <v>0</v>
      </c>
      <c r="W1175" s="31">
        <f t="shared" si="358"/>
        <v>0</v>
      </c>
      <c r="X1175" s="31">
        <f t="shared" si="358"/>
        <v>0</v>
      </c>
      <c r="Y1175" s="31">
        <f t="shared" si="358"/>
        <v>0</v>
      </c>
      <c r="Z1175" s="31">
        <f t="shared" si="358"/>
        <v>0</v>
      </c>
      <c r="AA1175" s="31">
        <f t="shared" si="358"/>
        <v>0</v>
      </c>
      <c r="AB1175" s="31">
        <f t="shared" si="358"/>
        <v>0</v>
      </c>
      <c r="AC1175" s="31">
        <f t="shared" si="358"/>
        <v>48422.350000000006</v>
      </c>
      <c r="AD1175" s="31">
        <f t="shared" si="358"/>
        <v>240000</v>
      </c>
      <c r="AE1175" s="31">
        <f t="shared" si="358"/>
        <v>0</v>
      </c>
      <c r="AF1175" s="72" t="s">
        <v>757</v>
      </c>
      <c r="AG1175" s="72" t="s">
        <v>757</v>
      </c>
      <c r="AH1175" s="87" t="s">
        <v>757</v>
      </c>
      <c r="AT1175" s="20" t="e">
        <f t="shared" si="349"/>
        <v>#N/A</v>
      </c>
      <c r="BZ1175" s="71">
        <v>3516578.96</v>
      </c>
    </row>
    <row r="1176" spans="1:80" ht="61.5" x14ac:dyDescent="0.85">
      <c r="A1176" s="20">
        <v>1</v>
      </c>
      <c r="B1176" s="66">
        <f>SUBTOTAL(103,$A$1006:A1176)</f>
        <v>151</v>
      </c>
      <c r="C1176" s="122" t="s">
        <v>700</v>
      </c>
      <c r="D1176" s="31">
        <f t="shared" ref="D1176:D1177" si="359">E1176+F1176+G1176+H1176+I1176+J1176+L1176+N1176+P1176+R1176+T1176+U1176+V1176+W1176+X1176+Y1176+Z1176+AA1176+AB1176+AC1176+AD1176+AE1176</f>
        <v>1913529.37</v>
      </c>
      <c r="E1176" s="31">
        <v>0</v>
      </c>
      <c r="F1176" s="31">
        <v>0</v>
      </c>
      <c r="G1176" s="31">
        <v>0</v>
      </c>
      <c r="H1176" s="31">
        <v>0</v>
      </c>
      <c r="I1176" s="31">
        <v>0</v>
      </c>
      <c r="J1176" s="31">
        <v>0</v>
      </c>
      <c r="K1176" s="33">
        <v>0</v>
      </c>
      <c r="L1176" s="31">
        <v>0</v>
      </c>
      <c r="M1176" s="31">
        <v>440</v>
      </c>
      <c r="N1176" s="31">
        <v>1767024.01</v>
      </c>
      <c r="O1176" s="31">
        <v>0</v>
      </c>
      <c r="P1176" s="31">
        <v>0</v>
      </c>
      <c r="Q1176" s="31">
        <v>0</v>
      </c>
      <c r="R1176" s="31">
        <v>0</v>
      </c>
      <c r="S1176" s="31">
        <v>0</v>
      </c>
      <c r="T1176" s="31">
        <v>0</v>
      </c>
      <c r="U1176" s="31">
        <v>0</v>
      </c>
      <c r="V1176" s="31">
        <v>0</v>
      </c>
      <c r="W1176" s="31">
        <v>0</v>
      </c>
      <c r="X1176" s="31">
        <v>0</v>
      </c>
      <c r="Y1176" s="31">
        <v>0</v>
      </c>
      <c r="Z1176" s="31">
        <v>0</v>
      </c>
      <c r="AA1176" s="31">
        <v>0</v>
      </c>
      <c r="AB1176" s="31">
        <v>0</v>
      </c>
      <c r="AC1176" s="31">
        <f>ROUND(N1176*1.5%,2)</f>
        <v>26505.360000000001</v>
      </c>
      <c r="AD1176" s="31">
        <v>120000</v>
      </c>
      <c r="AE1176" s="31">
        <v>0</v>
      </c>
      <c r="AF1176" s="34">
        <v>2022</v>
      </c>
      <c r="AG1176" s="34">
        <v>2022</v>
      </c>
      <c r="AH1176" s="35">
        <v>2022</v>
      </c>
      <c r="AT1176" s="20" t="e">
        <f t="shared" si="349"/>
        <v>#N/A</v>
      </c>
      <c r="BZ1176" s="71"/>
    </row>
    <row r="1177" spans="1:80" ht="61.5" x14ac:dyDescent="0.85">
      <c r="A1177" s="20">
        <v>1</v>
      </c>
      <c r="B1177" s="66">
        <f>SUBTOTAL(103,$A$1006:A1177)</f>
        <v>152</v>
      </c>
      <c r="C1177" s="122" t="s">
        <v>698</v>
      </c>
      <c r="D1177" s="31">
        <f t="shared" si="359"/>
        <v>1603049.59</v>
      </c>
      <c r="E1177" s="31">
        <v>0</v>
      </c>
      <c r="F1177" s="31">
        <v>0</v>
      </c>
      <c r="G1177" s="31">
        <v>0</v>
      </c>
      <c r="H1177" s="31">
        <v>0</v>
      </c>
      <c r="I1177" s="31">
        <v>0</v>
      </c>
      <c r="J1177" s="31">
        <v>0</v>
      </c>
      <c r="K1177" s="33">
        <v>0</v>
      </c>
      <c r="L1177" s="31">
        <v>0</v>
      </c>
      <c r="M1177" s="31">
        <v>416</v>
      </c>
      <c r="N1177" s="31">
        <v>1461132.6</v>
      </c>
      <c r="O1177" s="31">
        <v>0</v>
      </c>
      <c r="P1177" s="31">
        <v>0</v>
      </c>
      <c r="Q1177" s="31">
        <v>0</v>
      </c>
      <c r="R1177" s="31">
        <v>0</v>
      </c>
      <c r="S1177" s="31">
        <v>0</v>
      </c>
      <c r="T1177" s="31">
        <v>0</v>
      </c>
      <c r="U1177" s="31">
        <v>0</v>
      </c>
      <c r="V1177" s="31">
        <v>0</v>
      </c>
      <c r="W1177" s="31">
        <v>0</v>
      </c>
      <c r="X1177" s="31">
        <v>0</v>
      </c>
      <c r="Y1177" s="31">
        <v>0</v>
      </c>
      <c r="Z1177" s="31">
        <v>0</v>
      </c>
      <c r="AA1177" s="31">
        <v>0</v>
      </c>
      <c r="AB1177" s="31">
        <v>0</v>
      </c>
      <c r="AC1177" s="31">
        <f>ROUND(N1177*1.5%,2)</f>
        <v>21916.99</v>
      </c>
      <c r="AD1177" s="31">
        <v>120000</v>
      </c>
      <c r="AE1177" s="31">
        <v>0</v>
      </c>
      <c r="AF1177" s="34">
        <v>2022</v>
      </c>
      <c r="AG1177" s="34">
        <v>2022</v>
      </c>
      <c r="AH1177" s="35">
        <v>2022</v>
      </c>
      <c r="AT1177" s="20" t="e">
        <f t="shared" si="349"/>
        <v>#N/A</v>
      </c>
      <c r="BZ1177" s="71"/>
    </row>
    <row r="1178" spans="1:80" ht="61.5" x14ac:dyDescent="0.85">
      <c r="B1178" s="24" t="s">
        <v>876</v>
      </c>
      <c r="C1178" s="24"/>
      <c r="D1178" s="195">
        <f>D1179</f>
        <v>3598749.4899999998</v>
      </c>
      <c r="E1178" s="31">
        <f t="shared" ref="E1178:AE1178" si="360">E1179</f>
        <v>0</v>
      </c>
      <c r="F1178" s="31">
        <f t="shared" si="360"/>
        <v>0</v>
      </c>
      <c r="G1178" s="31">
        <f t="shared" si="360"/>
        <v>0</v>
      </c>
      <c r="H1178" s="31">
        <f t="shared" si="360"/>
        <v>0</v>
      </c>
      <c r="I1178" s="31">
        <f t="shared" si="360"/>
        <v>0</v>
      </c>
      <c r="J1178" s="31">
        <f t="shared" si="360"/>
        <v>0</v>
      </c>
      <c r="K1178" s="33">
        <f t="shared" si="360"/>
        <v>0</v>
      </c>
      <c r="L1178" s="31">
        <f t="shared" si="360"/>
        <v>0</v>
      </c>
      <c r="M1178" s="31">
        <f t="shared" si="360"/>
        <v>975.8</v>
      </c>
      <c r="N1178" s="31">
        <f t="shared" si="360"/>
        <v>3427339.4</v>
      </c>
      <c r="O1178" s="31">
        <f t="shared" si="360"/>
        <v>0</v>
      </c>
      <c r="P1178" s="31">
        <f t="shared" si="360"/>
        <v>0</v>
      </c>
      <c r="Q1178" s="31">
        <f t="shared" si="360"/>
        <v>0</v>
      </c>
      <c r="R1178" s="31">
        <f t="shared" si="360"/>
        <v>0</v>
      </c>
      <c r="S1178" s="31">
        <f t="shared" si="360"/>
        <v>0</v>
      </c>
      <c r="T1178" s="31">
        <f t="shared" si="360"/>
        <v>0</v>
      </c>
      <c r="U1178" s="31">
        <f t="shared" si="360"/>
        <v>0</v>
      </c>
      <c r="V1178" s="31">
        <f t="shared" si="360"/>
        <v>0</v>
      </c>
      <c r="W1178" s="31">
        <f t="shared" si="360"/>
        <v>0</v>
      </c>
      <c r="X1178" s="31">
        <f t="shared" si="360"/>
        <v>0</v>
      </c>
      <c r="Y1178" s="31">
        <f t="shared" si="360"/>
        <v>0</v>
      </c>
      <c r="Z1178" s="31">
        <f t="shared" si="360"/>
        <v>0</v>
      </c>
      <c r="AA1178" s="31">
        <f t="shared" si="360"/>
        <v>0</v>
      </c>
      <c r="AB1178" s="31">
        <f t="shared" si="360"/>
        <v>0</v>
      </c>
      <c r="AC1178" s="31">
        <f t="shared" si="360"/>
        <v>51410.09</v>
      </c>
      <c r="AD1178" s="31">
        <f t="shared" si="360"/>
        <v>120000</v>
      </c>
      <c r="AE1178" s="31">
        <f t="shared" si="360"/>
        <v>0</v>
      </c>
      <c r="AF1178" s="72" t="s">
        <v>757</v>
      </c>
      <c r="AG1178" s="72" t="s">
        <v>757</v>
      </c>
      <c r="AH1178" s="87" t="s">
        <v>757</v>
      </c>
      <c r="AT1178" s="20" t="e">
        <f t="shared" si="349"/>
        <v>#N/A</v>
      </c>
      <c r="BZ1178" s="71">
        <v>3598749.4899999998</v>
      </c>
    </row>
    <row r="1179" spans="1:80" ht="61.5" x14ac:dyDescent="0.85">
      <c r="A1179" s="20">
        <v>1</v>
      </c>
      <c r="B1179" s="66">
        <f>SUBTOTAL(103,$A$1006:A1179)</f>
        <v>153</v>
      </c>
      <c r="C1179" s="122" t="s">
        <v>706</v>
      </c>
      <c r="D1179" s="31">
        <f t="shared" ref="D1179" si="361">E1179+F1179+G1179+H1179+I1179+J1179+L1179+N1179+P1179+R1179+T1179+U1179+V1179+W1179+X1179+Y1179+Z1179+AA1179+AB1179+AC1179+AD1179+AE1179</f>
        <v>3598749.4899999998</v>
      </c>
      <c r="E1179" s="31">
        <v>0</v>
      </c>
      <c r="F1179" s="31">
        <v>0</v>
      </c>
      <c r="G1179" s="31">
        <v>0</v>
      </c>
      <c r="H1179" s="31">
        <v>0</v>
      </c>
      <c r="I1179" s="31">
        <v>0</v>
      </c>
      <c r="J1179" s="31">
        <v>0</v>
      </c>
      <c r="K1179" s="33">
        <v>0</v>
      </c>
      <c r="L1179" s="31">
        <v>0</v>
      </c>
      <c r="M1179" s="31">
        <v>975.8</v>
      </c>
      <c r="N1179" s="31">
        <v>3427339.4</v>
      </c>
      <c r="O1179" s="31">
        <v>0</v>
      </c>
      <c r="P1179" s="31">
        <v>0</v>
      </c>
      <c r="Q1179" s="31">
        <v>0</v>
      </c>
      <c r="R1179" s="31">
        <v>0</v>
      </c>
      <c r="S1179" s="31">
        <v>0</v>
      </c>
      <c r="T1179" s="31">
        <v>0</v>
      </c>
      <c r="U1179" s="31">
        <v>0</v>
      </c>
      <c r="V1179" s="31">
        <v>0</v>
      </c>
      <c r="W1179" s="31">
        <v>0</v>
      </c>
      <c r="X1179" s="31">
        <v>0</v>
      </c>
      <c r="Y1179" s="31">
        <v>0</v>
      </c>
      <c r="Z1179" s="31">
        <v>0</v>
      </c>
      <c r="AA1179" s="31">
        <v>0</v>
      </c>
      <c r="AB1179" s="31">
        <v>0</v>
      </c>
      <c r="AC1179" s="31">
        <f>ROUND(N1179*1.5%,2)</f>
        <v>51410.09</v>
      </c>
      <c r="AD1179" s="31">
        <v>120000</v>
      </c>
      <c r="AE1179" s="31">
        <v>0</v>
      </c>
      <c r="AF1179" s="34">
        <v>2022</v>
      </c>
      <c r="AG1179" s="34">
        <v>2022</v>
      </c>
      <c r="AH1179" s="35">
        <v>2022</v>
      </c>
      <c r="AT1179" s="20" t="e">
        <f t="shared" si="349"/>
        <v>#N/A</v>
      </c>
      <c r="BZ1179" s="71"/>
    </row>
    <row r="1180" spans="1:80" ht="61.5" x14ac:dyDescent="0.85">
      <c r="B1180" s="24" t="s">
        <v>836</v>
      </c>
      <c r="C1180" s="24"/>
      <c r="D1180" s="195">
        <f>D1181</f>
        <v>1925593.0499999998</v>
      </c>
      <c r="E1180" s="31">
        <f t="shared" ref="E1180:AE1180" si="362">E1181</f>
        <v>0</v>
      </c>
      <c r="F1180" s="31">
        <f t="shared" si="362"/>
        <v>0</v>
      </c>
      <c r="G1180" s="31">
        <f t="shared" si="362"/>
        <v>0</v>
      </c>
      <c r="H1180" s="31">
        <f t="shared" si="362"/>
        <v>0</v>
      </c>
      <c r="I1180" s="31">
        <f t="shared" si="362"/>
        <v>0</v>
      </c>
      <c r="J1180" s="31">
        <f t="shared" si="362"/>
        <v>0</v>
      </c>
      <c r="K1180" s="33">
        <f t="shared" si="362"/>
        <v>0</v>
      </c>
      <c r="L1180" s="31">
        <f t="shared" si="362"/>
        <v>0</v>
      </c>
      <c r="M1180" s="31">
        <f t="shared" si="362"/>
        <v>945</v>
      </c>
      <c r="N1180" s="31">
        <f t="shared" si="362"/>
        <v>1778909.41</v>
      </c>
      <c r="O1180" s="31">
        <f t="shared" si="362"/>
        <v>0</v>
      </c>
      <c r="P1180" s="31">
        <f t="shared" si="362"/>
        <v>0</v>
      </c>
      <c r="Q1180" s="31">
        <f t="shared" si="362"/>
        <v>0</v>
      </c>
      <c r="R1180" s="31">
        <f t="shared" si="362"/>
        <v>0</v>
      </c>
      <c r="S1180" s="31">
        <f t="shared" si="362"/>
        <v>0</v>
      </c>
      <c r="T1180" s="31">
        <f t="shared" si="362"/>
        <v>0</v>
      </c>
      <c r="U1180" s="31">
        <f t="shared" si="362"/>
        <v>0</v>
      </c>
      <c r="V1180" s="31">
        <f t="shared" si="362"/>
        <v>0</v>
      </c>
      <c r="W1180" s="31">
        <f t="shared" si="362"/>
        <v>0</v>
      </c>
      <c r="X1180" s="31">
        <f t="shared" si="362"/>
        <v>0</v>
      </c>
      <c r="Y1180" s="31">
        <f t="shared" si="362"/>
        <v>0</v>
      </c>
      <c r="Z1180" s="31">
        <f t="shared" si="362"/>
        <v>0</v>
      </c>
      <c r="AA1180" s="31">
        <f t="shared" si="362"/>
        <v>0</v>
      </c>
      <c r="AB1180" s="31">
        <f t="shared" si="362"/>
        <v>0</v>
      </c>
      <c r="AC1180" s="31">
        <f t="shared" si="362"/>
        <v>26683.64</v>
      </c>
      <c r="AD1180" s="31">
        <f t="shared" si="362"/>
        <v>120000</v>
      </c>
      <c r="AE1180" s="31">
        <f t="shared" si="362"/>
        <v>0</v>
      </c>
      <c r="AF1180" s="72" t="s">
        <v>757</v>
      </c>
      <c r="AG1180" s="72" t="s">
        <v>757</v>
      </c>
      <c r="AH1180" s="87" t="s">
        <v>757</v>
      </c>
      <c r="AT1180" s="20" t="e">
        <f t="shared" si="349"/>
        <v>#N/A</v>
      </c>
      <c r="BZ1180" s="71">
        <v>3488946.79</v>
      </c>
    </row>
    <row r="1181" spans="1:80" ht="61.5" x14ac:dyDescent="0.85">
      <c r="A1181" s="20">
        <v>1</v>
      </c>
      <c r="B1181" s="66">
        <f>SUBTOTAL(103,$A$1006:A1181)</f>
        <v>154</v>
      </c>
      <c r="C1181" s="122" t="s">
        <v>704</v>
      </c>
      <c r="D1181" s="31">
        <f t="shared" ref="D1181" si="363">E1181+F1181+G1181+H1181+I1181+J1181+L1181+N1181+P1181+R1181+T1181+U1181+V1181+W1181+X1181+Y1181+Z1181+AA1181+AB1181+AC1181+AD1181+AE1181</f>
        <v>1925593.0499999998</v>
      </c>
      <c r="E1181" s="31">
        <v>0</v>
      </c>
      <c r="F1181" s="31">
        <v>0</v>
      </c>
      <c r="G1181" s="31">
        <v>0</v>
      </c>
      <c r="H1181" s="31">
        <v>0</v>
      </c>
      <c r="I1181" s="31">
        <v>0</v>
      </c>
      <c r="J1181" s="31">
        <v>0</v>
      </c>
      <c r="K1181" s="33">
        <v>0</v>
      </c>
      <c r="L1181" s="31">
        <v>0</v>
      </c>
      <c r="M1181" s="31">
        <v>945</v>
      </c>
      <c r="N1181" s="31">
        <f>3319159.4-1540249.99</f>
        <v>1778909.41</v>
      </c>
      <c r="O1181" s="31">
        <v>0</v>
      </c>
      <c r="P1181" s="31">
        <v>0</v>
      </c>
      <c r="Q1181" s="31">
        <v>0</v>
      </c>
      <c r="R1181" s="31">
        <v>0</v>
      </c>
      <c r="S1181" s="31">
        <v>0</v>
      </c>
      <c r="T1181" s="31">
        <v>0</v>
      </c>
      <c r="U1181" s="31">
        <v>0</v>
      </c>
      <c r="V1181" s="31">
        <v>0</v>
      </c>
      <c r="W1181" s="31">
        <v>0</v>
      </c>
      <c r="X1181" s="31">
        <v>0</v>
      </c>
      <c r="Y1181" s="31">
        <v>0</v>
      </c>
      <c r="Z1181" s="31">
        <v>0</v>
      </c>
      <c r="AA1181" s="31">
        <v>0</v>
      </c>
      <c r="AB1181" s="31">
        <v>0</v>
      </c>
      <c r="AC1181" s="31">
        <f>ROUND(N1181*1.5%,2)</f>
        <v>26683.64</v>
      </c>
      <c r="AD1181" s="31">
        <v>120000</v>
      </c>
      <c r="AE1181" s="31">
        <v>0</v>
      </c>
      <c r="AF1181" s="34">
        <v>2022</v>
      </c>
      <c r="AG1181" s="34">
        <v>2022</v>
      </c>
      <c r="AH1181" s="35">
        <v>2022</v>
      </c>
      <c r="AT1181" s="20" t="e">
        <f t="shared" si="349"/>
        <v>#N/A</v>
      </c>
      <c r="BZ1181" s="71"/>
    </row>
    <row r="1182" spans="1:80" ht="61.5" x14ac:dyDescent="0.85">
      <c r="B1182" s="24" t="s">
        <v>893</v>
      </c>
      <c r="C1182" s="24"/>
      <c r="D1182" s="195">
        <f>D1183</f>
        <v>1538879.17</v>
      </c>
      <c r="E1182" s="31">
        <f t="shared" ref="E1182:AE1182" si="364">E1183</f>
        <v>0</v>
      </c>
      <c r="F1182" s="31">
        <f t="shared" si="364"/>
        <v>0</v>
      </c>
      <c r="G1182" s="31">
        <f t="shared" si="364"/>
        <v>0</v>
      </c>
      <c r="H1182" s="31">
        <f t="shared" si="364"/>
        <v>0</v>
      </c>
      <c r="I1182" s="31">
        <f t="shared" si="364"/>
        <v>0</v>
      </c>
      <c r="J1182" s="31">
        <f t="shared" si="364"/>
        <v>0</v>
      </c>
      <c r="K1182" s="33">
        <f t="shared" si="364"/>
        <v>0</v>
      </c>
      <c r="L1182" s="31">
        <f t="shared" si="364"/>
        <v>0</v>
      </c>
      <c r="M1182" s="31">
        <f t="shared" si="364"/>
        <v>398</v>
      </c>
      <c r="N1182" s="31">
        <f t="shared" si="364"/>
        <v>1397910.51</v>
      </c>
      <c r="O1182" s="31">
        <f t="shared" si="364"/>
        <v>0</v>
      </c>
      <c r="P1182" s="31">
        <f t="shared" si="364"/>
        <v>0</v>
      </c>
      <c r="Q1182" s="31">
        <f t="shared" si="364"/>
        <v>0</v>
      </c>
      <c r="R1182" s="31">
        <f t="shared" si="364"/>
        <v>0</v>
      </c>
      <c r="S1182" s="31">
        <f t="shared" si="364"/>
        <v>0</v>
      </c>
      <c r="T1182" s="31">
        <f t="shared" si="364"/>
        <v>0</v>
      </c>
      <c r="U1182" s="31">
        <f t="shared" si="364"/>
        <v>0</v>
      </c>
      <c r="V1182" s="31">
        <f t="shared" si="364"/>
        <v>0</v>
      </c>
      <c r="W1182" s="31">
        <f t="shared" si="364"/>
        <v>0</v>
      </c>
      <c r="X1182" s="31">
        <f t="shared" si="364"/>
        <v>0</v>
      </c>
      <c r="Y1182" s="31">
        <f t="shared" si="364"/>
        <v>0</v>
      </c>
      <c r="Z1182" s="31">
        <f t="shared" si="364"/>
        <v>0</v>
      </c>
      <c r="AA1182" s="31">
        <f t="shared" si="364"/>
        <v>0</v>
      </c>
      <c r="AB1182" s="31">
        <f t="shared" si="364"/>
        <v>0</v>
      </c>
      <c r="AC1182" s="31">
        <f t="shared" si="364"/>
        <v>20968.66</v>
      </c>
      <c r="AD1182" s="31">
        <f t="shared" si="364"/>
        <v>120000</v>
      </c>
      <c r="AE1182" s="31">
        <f t="shared" si="364"/>
        <v>0</v>
      </c>
      <c r="AF1182" s="72" t="s">
        <v>757</v>
      </c>
      <c r="AG1182" s="72" t="s">
        <v>757</v>
      </c>
      <c r="AH1182" s="87" t="s">
        <v>757</v>
      </c>
      <c r="AT1182" s="20" t="e">
        <f t="shared" si="349"/>
        <v>#N/A</v>
      </c>
      <c r="BZ1182" s="71">
        <v>1538879.17</v>
      </c>
    </row>
    <row r="1183" spans="1:80" ht="61.5" x14ac:dyDescent="0.85">
      <c r="A1183" s="20">
        <v>1</v>
      </c>
      <c r="B1183" s="66">
        <f>SUBTOTAL(103,$A$1006:A1183)</f>
        <v>155</v>
      </c>
      <c r="C1183" s="122" t="s">
        <v>701</v>
      </c>
      <c r="D1183" s="31">
        <f t="shared" ref="D1183" si="365">E1183+F1183+G1183+H1183+I1183+J1183+L1183+N1183+P1183+R1183+T1183+U1183+V1183+W1183+X1183+Y1183+Z1183+AA1183+AB1183+AC1183+AD1183+AE1183</f>
        <v>1538879.17</v>
      </c>
      <c r="E1183" s="31">
        <v>0</v>
      </c>
      <c r="F1183" s="31">
        <v>0</v>
      </c>
      <c r="G1183" s="31">
        <v>0</v>
      </c>
      <c r="H1183" s="31">
        <v>0</v>
      </c>
      <c r="I1183" s="31">
        <v>0</v>
      </c>
      <c r="J1183" s="31">
        <v>0</v>
      </c>
      <c r="K1183" s="33">
        <v>0</v>
      </c>
      <c r="L1183" s="31">
        <v>0</v>
      </c>
      <c r="M1183" s="31">
        <v>398</v>
      </c>
      <c r="N1183" s="31">
        <v>1397910.51</v>
      </c>
      <c r="O1183" s="31">
        <v>0</v>
      </c>
      <c r="P1183" s="31">
        <v>0</v>
      </c>
      <c r="Q1183" s="31">
        <v>0</v>
      </c>
      <c r="R1183" s="31">
        <v>0</v>
      </c>
      <c r="S1183" s="31">
        <v>0</v>
      </c>
      <c r="T1183" s="31">
        <v>0</v>
      </c>
      <c r="U1183" s="31">
        <v>0</v>
      </c>
      <c r="V1183" s="31">
        <v>0</v>
      </c>
      <c r="W1183" s="31">
        <v>0</v>
      </c>
      <c r="X1183" s="31">
        <v>0</v>
      </c>
      <c r="Y1183" s="31">
        <v>0</v>
      </c>
      <c r="Z1183" s="31">
        <v>0</v>
      </c>
      <c r="AA1183" s="31">
        <v>0</v>
      </c>
      <c r="AB1183" s="31">
        <v>0</v>
      </c>
      <c r="AC1183" s="31">
        <f>ROUND(N1183*1.5%,2)</f>
        <v>20968.66</v>
      </c>
      <c r="AD1183" s="31">
        <v>120000</v>
      </c>
      <c r="AE1183" s="31">
        <v>0</v>
      </c>
      <c r="AF1183" s="34">
        <v>2022</v>
      </c>
      <c r="AG1183" s="34">
        <v>2022</v>
      </c>
      <c r="AH1183" s="35">
        <v>2022</v>
      </c>
      <c r="AT1183" s="20" t="e">
        <f t="shared" si="349"/>
        <v>#N/A</v>
      </c>
      <c r="BZ1183" s="71"/>
    </row>
    <row r="1184" spans="1:80" ht="61.5" x14ac:dyDescent="0.85">
      <c r="B1184" s="24" t="s">
        <v>837</v>
      </c>
      <c r="C1184" s="108"/>
      <c r="D1184" s="195">
        <f>SUM(D1185:D1190)</f>
        <v>29368928.999999996</v>
      </c>
      <c r="E1184" s="31">
        <f t="shared" ref="E1184:AE1184" si="366">SUM(E1185:E1190)</f>
        <v>0</v>
      </c>
      <c r="F1184" s="31">
        <f t="shared" si="366"/>
        <v>0</v>
      </c>
      <c r="G1184" s="31">
        <f t="shared" si="366"/>
        <v>0</v>
      </c>
      <c r="H1184" s="31">
        <f t="shared" si="366"/>
        <v>0</v>
      </c>
      <c r="I1184" s="31">
        <f t="shared" si="366"/>
        <v>0</v>
      </c>
      <c r="J1184" s="31">
        <f t="shared" si="366"/>
        <v>0</v>
      </c>
      <c r="K1184" s="33">
        <f t="shared" si="366"/>
        <v>0</v>
      </c>
      <c r="L1184" s="31">
        <f t="shared" si="366"/>
        <v>0</v>
      </c>
      <c r="M1184" s="31">
        <f t="shared" si="366"/>
        <v>3779.6</v>
      </c>
      <c r="N1184" s="31">
        <f t="shared" si="366"/>
        <v>20236969.890000001</v>
      </c>
      <c r="O1184" s="31">
        <f t="shared" si="366"/>
        <v>0</v>
      </c>
      <c r="P1184" s="31">
        <f t="shared" si="366"/>
        <v>0</v>
      </c>
      <c r="Q1184" s="31">
        <f t="shared" si="366"/>
        <v>0</v>
      </c>
      <c r="R1184" s="31">
        <f t="shared" si="366"/>
        <v>0</v>
      </c>
      <c r="S1184" s="31">
        <f t="shared" si="366"/>
        <v>0</v>
      </c>
      <c r="T1184" s="31">
        <f t="shared" si="366"/>
        <v>0</v>
      </c>
      <c r="U1184" s="31">
        <f t="shared" si="366"/>
        <v>7702861.6199999992</v>
      </c>
      <c r="V1184" s="31">
        <f t="shared" si="366"/>
        <v>0</v>
      </c>
      <c r="W1184" s="31">
        <f t="shared" si="366"/>
        <v>0</v>
      </c>
      <c r="X1184" s="31">
        <f t="shared" si="366"/>
        <v>0</v>
      </c>
      <c r="Y1184" s="31">
        <f t="shared" si="366"/>
        <v>0</v>
      </c>
      <c r="Z1184" s="31">
        <f t="shared" si="366"/>
        <v>0</v>
      </c>
      <c r="AA1184" s="31">
        <f t="shared" si="366"/>
        <v>0</v>
      </c>
      <c r="AB1184" s="31">
        <f t="shared" si="366"/>
        <v>0</v>
      </c>
      <c r="AC1184" s="31">
        <f t="shared" si="366"/>
        <v>419097.49</v>
      </c>
      <c r="AD1184" s="31">
        <f t="shared" si="366"/>
        <v>1010000</v>
      </c>
      <c r="AE1184" s="31">
        <f t="shared" si="366"/>
        <v>0</v>
      </c>
      <c r="AF1184" s="72" t="s">
        <v>757</v>
      </c>
      <c r="AG1184" s="72" t="s">
        <v>757</v>
      </c>
      <c r="AH1184" s="87" t="s">
        <v>757</v>
      </c>
      <c r="AT1184" s="20" t="e">
        <f t="shared" si="349"/>
        <v>#N/A</v>
      </c>
      <c r="BZ1184" s="31">
        <v>28415186.599999998</v>
      </c>
      <c r="CA1184" s="31"/>
      <c r="CB1184" s="31">
        <f>BZ1184-D1184</f>
        <v>-953742.39999999851</v>
      </c>
    </row>
    <row r="1185" spans="1:78" ht="61.5" x14ac:dyDescent="0.85">
      <c r="A1185" s="20">
        <v>1</v>
      </c>
      <c r="B1185" s="66">
        <f>SUBTOTAL(103,$A$1006:A1185)</f>
        <v>156</v>
      </c>
      <c r="C1185" s="122" t="s">
        <v>134</v>
      </c>
      <c r="D1185" s="31">
        <f t="shared" ref="D1185:D1190" si="367">E1185+F1185+G1185+H1185+I1185+J1185+L1185+N1185+P1185+R1185+T1185+U1185+V1185+W1185+X1185+Y1185+Z1185+AA1185+AB1185+AC1185+AD1185+AE1185</f>
        <v>6533531.75</v>
      </c>
      <c r="E1185" s="31">
        <v>0</v>
      </c>
      <c r="F1185" s="31">
        <v>0</v>
      </c>
      <c r="G1185" s="31">
        <v>0</v>
      </c>
      <c r="H1185" s="31">
        <v>0</v>
      </c>
      <c r="I1185" s="31">
        <v>0</v>
      </c>
      <c r="J1185" s="31">
        <v>0</v>
      </c>
      <c r="K1185" s="33">
        <v>0</v>
      </c>
      <c r="L1185" s="31">
        <v>0</v>
      </c>
      <c r="M1185" s="31">
        <v>1175</v>
      </c>
      <c r="N1185" s="31">
        <f>5610837.44+648799.75</f>
        <v>6259637.1900000004</v>
      </c>
      <c r="O1185" s="31">
        <v>0</v>
      </c>
      <c r="P1185" s="31">
        <v>0</v>
      </c>
      <c r="Q1185" s="31">
        <v>0</v>
      </c>
      <c r="R1185" s="31">
        <v>0</v>
      </c>
      <c r="S1185" s="31">
        <v>0</v>
      </c>
      <c r="T1185" s="31">
        <v>0</v>
      </c>
      <c r="U1185" s="31">
        <v>0</v>
      </c>
      <c r="V1185" s="31">
        <v>0</v>
      </c>
      <c r="W1185" s="31">
        <v>0</v>
      </c>
      <c r="X1185" s="31">
        <v>0</v>
      </c>
      <c r="Y1185" s="31">
        <v>0</v>
      </c>
      <c r="Z1185" s="31">
        <v>0</v>
      </c>
      <c r="AA1185" s="31">
        <v>0</v>
      </c>
      <c r="AB1185" s="31">
        <v>0</v>
      </c>
      <c r="AC1185" s="31">
        <f>ROUND(N1185*1.5%,2)</f>
        <v>93894.56</v>
      </c>
      <c r="AD1185" s="31">
        <v>180000</v>
      </c>
      <c r="AE1185" s="31">
        <v>0</v>
      </c>
      <c r="AF1185" s="34">
        <v>2022</v>
      </c>
      <c r="AG1185" s="34">
        <v>2022</v>
      </c>
      <c r="AH1185" s="35">
        <v>2022</v>
      </c>
      <c r="AT1185" s="20" t="e">
        <f t="shared" si="349"/>
        <v>#N/A</v>
      </c>
      <c r="BZ1185" s="71"/>
    </row>
    <row r="1186" spans="1:78" ht="61.5" x14ac:dyDescent="0.85">
      <c r="A1186" s="20">
        <v>1</v>
      </c>
      <c r="B1186" s="66">
        <f>SUBTOTAL(103,$A$1006:A1186)</f>
        <v>157</v>
      </c>
      <c r="C1186" s="122" t="s">
        <v>131</v>
      </c>
      <c r="D1186" s="31">
        <f t="shared" si="367"/>
        <v>5163742.3999999994</v>
      </c>
      <c r="E1186" s="31">
        <v>0</v>
      </c>
      <c r="F1186" s="31">
        <v>0</v>
      </c>
      <c r="G1186" s="31">
        <v>0</v>
      </c>
      <c r="H1186" s="31">
        <v>0</v>
      </c>
      <c r="I1186" s="31">
        <v>0</v>
      </c>
      <c r="J1186" s="31">
        <v>0</v>
      </c>
      <c r="K1186" s="33">
        <v>0</v>
      </c>
      <c r="L1186" s="31">
        <v>0</v>
      </c>
      <c r="M1186" s="31">
        <v>0</v>
      </c>
      <c r="N1186" s="31">
        <v>0</v>
      </c>
      <c r="O1186" s="31">
        <v>0</v>
      </c>
      <c r="P1186" s="31">
        <v>0</v>
      </c>
      <c r="Q1186" s="31">
        <v>0</v>
      </c>
      <c r="R1186" s="31">
        <v>0</v>
      </c>
      <c r="S1186" s="31">
        <v>0</v>
      </c>
      <c r="T1186" s="31">
        <v>0</v>
      </c>
      <c r="U1186" s="31">
        <v>4890386.5999999996</v>
      </c>
      <c r="V1186" s="31">
        <v>0</v>
      </c>
      <c r="W1186" s="31">
        <v>0</v>
      </c>
      <c r="X1186" s="31">
        <v>0</v>
      </c>
      <c r="Y1186" s="31">
        <v>0</v>
      </c>
      <c r="Z1186" s="31">
        <v>0</v>
      </c>
      <c r="AA1186" s="31">
        <v>0</v>
      </c>
      <c r="AB1186" s="31">
        <v>0</v>
      </c>
      <c r="AC1186" s="31">
        <f>ROUND(U1186*1.5%,2)</f>
        <v>73355.8</v>
      </c>
      <c r="AD1186" s="31">
        <v>200000</v>
      </c>
      <c r="AE1186" s="31">
        <v>0</v>
      </c>
      <c r="AF1186" s="34">
        <v>2022</v>
      </c>
      <c r="AG1186" s="34">
        <v>2022</v>
      </c>
      <c r="AH1186" s="35">
        <v>2022</v>
      </c>
      <c r="AT1186" s="20" t="e">
        <f t="shared" si="349"/>
        <v>#N/A</v>
      </c>
      <c r="BZ1186" s="71"/>
    </row>
    <row r="1187" spans="1:78" ht="61.5" x14ac:dyDescent="0.85">
      <c r="A1187" s="20">
        <v>1</v>
      </c>
      <c r="B1187" s="66">
        <f>SUBTOTAL(103,$A$1006:A1187)</f>
        <v>158</v>
      </c>
      <c r="C1187" s="122" t="s">
        <v>136</v>
      </c>
      <c r="D1187" s="31">
        <f t="shared" si="367"/>
        <v>4587373.3600000003</v>
      </c>
      <c r="E1187" s="31">
        <v>0</v>
      </c>
      <c r="F1187" s="31">
        <v>0</v>
      </c>
      <c r="G1187" s="31">
        <v>0</v>
      </c>
      <c r="H1187" s="31">
        <v>0</v>
      </c>
      <c r="I1187" s="31">
        <v>0</v>
      </c>
      <c r="J1187" s="31">
        <v>0</v>
      </c>
      <c r="K1187" s="33">
        <v>0</v>
      </c>
      <c r="L1187" s="31">
        <v>0</v>
      </c>
      <c r="M1187" s="31">
        <v>825</v>
      </c>
      <c r="N1187" s="31">
        <f>3916256.16+455540.25</f>
        <v>4371796.41</v>
      </c>
      <c r="O1187" s="31">
        <v>0</v>
      </c>
      <c r="P1187" s="31">
        <v>0</v>
      </c>
      <c r="Q1187" s="31">
        <v>0</v>
      </c>
      <c r="R1187" s="31">
        <v>0</v>
      </c>
      <c r="S1187" s="31">
        <v>0</v>
      </c>
      <c r="T1187" s="31">
        <v>0</v>
      </c>
      <c r="U1187" s="31">
        <v>0</v>
      </c>
      <c r="V1187" s="31">
        <v>0</v>
      </c>
      <c r="W1187" s="31">
        <v>0</v>
      </c>
      <c r="X1187" s="31">
        <v>0</v>
      </c>
      <c r="Y1187" s="31">
        <v>0</v>
      </c>
      <c r="Z1187" s="31">
        <v>0</v>
      </c>
      <c r="AA1187" s="31">
        <v>0</v>
      </c>
      <c r="AB1187" s="31">
        <v>0</v>
      </c>
      <c r="AC1187" s="31">
        <f>ROUND(N1187*1.5%,2)</f>
        <v>65576.95</v>
      </c>
      <c r="AD1187" s="31">
        <v>150000</v>
      </c>
      <c r="AE1187" s="31">
        <v>0</v>
      </c>
      <c r="AF1187" s="34">
        <v>2022</v>
      </c>
      <c r="AG1187" s="34">
        <v>2022</v>
      </c>
      <c r="AH1187" s="35">
        <v>2022</v>
      </c>
      <c r="AT1187" s="20" t="e">
        <f t="shared" si="349"/>
        <v>#N/A</v>
      </c>
      <c r="BZ1187" s="71"/>
    </row>
    <row r="1188" spans="1:78" ht="61.5" x14ac:dyDescent="0.85">
      <c r="A1188" s="20">
        <v>1</v>
      </c>
      <c r="B1188" s="66">
        <f>SUBTOTAL(103,$A$1006:A1188)</f>
        <v>159</v>
      </c>
      <c r="C1188" s="122" t="s">
        <v>132</v>
      </c>
      <c r="D1188" s="31">
        <f t="shared" si="367"/>
        <v>5599375.7199999997</v>
      </c>
      <c r="E1188" s="31">
        <v>0</v>
      </c>
      <c r="F1188" s="31">
        <v>0</v>
      </c>
      <c r="G1188" s="31">
        <v>0</v>
      </c>
      <c r="H1188" s="31">
        <v>0</v>
      </c>
      <c r="I1188" s="31">
        <v>0</v>
      </c>
      <c r="J1188" s="31">
        <v>0</v>
      </c>
      <c r="K1188" s="33">
        <v>0</v>
      </c>
      <c r="L1188" s="31">
        <v>0</v>
      </c>
      <c r="M1188" s="31">
        <v>1007</v>
      </c>
      <c r="N1188" s="31">
        <f>4783251.23+556035.19</f>
        <v>5339286.42</v>
      </c>
      <c r="O1188" s="31">
        <v>0</v>
      </c>
      <c r="P1188" s="31">
        <v>0</v>
      </c>
      <c r="Q1188" s="31">
        <v>0</v>
      </c>
      <c r="R1188" s="31">
        <v>0</v>
      </c>
      <c r="S1188" s="31">
        <v>0</v>
      </c>
      <c r="T1188" s="31">
        <v>0</v>
      </c>
      <c r="U1188" s="31">
        <v>0</v>
      </c>
      <c r="V1188" s="31">
        <v>0</v>
      </c>
      <c r="W1188" s="31">
        <v>0</v>
      </c>
      <c r="X1188" s="31">
        <v>0</v>
      </c>
      <c r="Y1188" s="31">
        <v>0</v>
      </c>
      <c r="Z1188" s="31">
        <v>0</v>
      </c>
      <c r="AA1188" s="31">
        <v>0</v>
      </c>
      <c r="AB1188" s="31">
        <v>0</v>
      </c>
      <c r="AC1188" s="31">
        <f>ROUND(N1188*1.5%,2)</f>
        <v>80089.3</v>
      </c>
      <c r="AD1188" s="31">
        <v>180000</v>
      </c>
      <c r="AE1188" s="31">
        <v>0</v>
      </c>
      <c r="AF1188" s="34">
        <v>2022</v>
      </c>
      <c r="AG1188" s="34">
        <v>2022</v>
      </c>
      <c r="AH1188" s="35">
        <v>2022</v>
      </c>
      <c r="AT1188" s="20" t="e">
        <f t="shared" si="349"/>
        <v>#N/A</v>
      </c>
      <c r="BZ1188" s="71"/>
    </row>
    <row r="1189" spans="1:78" ht="61.5" x14ac:dyDescent="0.85">
      <c r="A1189" s="20">
        <v>1</v>
      </c>
      <c r="B1189" s="66">
        <f>SUBTOTAL(103,$A$1006:A1189)</f>
        <v>160</v>
      </c>
      <c r="C1189" s="122" t="s">
        <v>133</v>
      </c>
      <c r="D1189" s="31">
        <f t="shared" si="367"/>
        <v>4480243.62</v>
      </c>
      <c r="E1189" s="31">
        <v>0</v>
      </c>
      <c r="F1189" s="31">
        <v>0</v>
      </c>
      <c r="G1189" s="31">
        <v>0</v>
      </c>
      <c r="H1189" s="31">
        <v>0</v>
      </c>
      <c r="I1189" s="31">
        <v>0</v>
      </c>
      <c r="J1189" s="31">
        <v>0</v>
      </c>
      <c r="K1189" s="33">
        <v>0</v>
      </c>
      <c r="L1189" s="31">
        <v>0</v>
      </c>
      <c r="M1189" s="31">
        <v>772.6</v>
      </c>
      <c r="N1189" s="31">
        <f>3201418.72+426606.54+638224.61</f>
        <v>4266249.87</v>
      </c>
      <c r="O1189" s="31">
        <v>0</v>
      </c>
      <c r="P1189" s="31">
        <v>0</v>
      </c>
      <c r="Q1189" s="31">
        <v>0</v>
      </c>
      <c r="R1189" s="31">
        <v>0</v>
      </c>
      <c r="S1189" s="31">
        <v>0</v>
      </c>
      <c r="T1189" s="31">
        <v>0</v>
      </c>
      <c r="U1189" s="31">
        <v>0</v>
      </c>
      <c r="V1189" s="31">
        <v>0</v>
      </c>
      <c r="W1189" s="31">
        <v>0</v>
      </c>
      <c r="X1189" s="31">
        <v>0</v>
      </c>
      <c r="Y1189" s="31">
        <v>0</v>
      </c>
      <c r="Z1189" s="31">
        <v>0</v>
      </c>
      <c r="AA1189" s="31">
        <v>0</v>
      </c>
      <c r="AB1189" s="31">
        <v>0</v>
      </c>
      <c r="AC1189" s="31">
        <f>ROUND(N1189*1.5%,2)</f>
        <v>63993.75</v>
      </c>
      <c r="AD1189" s="31">
        <v>150000</v>
      </c>
      <c r="AE1189" s="31">
        <v>0</v>
      </c>
      <c r="AF1189" s="34">
        <v>2022</v>
      </c>
      <c r="AG1189" s="34">
        <v>2022</v>
      </c>
      <c r="AH1189" s="35">
        <v>2022</v>
      </c>
      <c r="AT1189" s="20" t="e">
        <f t="shared" si="349"/>
        <v>#N/A</v>
      </c>
      <c r="BZ1189" s="71"/>
    </row>
    <row r="1190" spans="1:78" ht="61.5" x14ac:dyDescent="0.85">
      <c r="A1190" s="20">
        <v>1</v>
      </c>
      <c r="B1190" s="66">
        <f>SUBTOTAL(103,$A$1006:A1190)</f>
        <v>161</v>
      </c>
      <c r="C1190" s="122" t="s">
        <v>1606</v>
      </c>
      <c r="D1190" s="31">
        <f t="shared" si="367"/>
        <v>3004662.15</v>
      </c>
      <c r="E1190" s="31">
        <v>0</v>
      </c>
      <c r="F1190" s="31">
        <v>0</v>
      </c>
      <c r="G1190" s="31">
        <v>0</v>
      </c>
      <c r="H1190" s="31">
        <v>0</v>
      </c>
      <c r="I1190" s="31">
        <v>0</v>
      </c>
      <c r="J1190" s="31">
        <v>0</v>
      </c>
      <c r="K1190" s="33">
        <v>0</v>
      </c>
      <c r="L1190" s="31">
        <v>0</v>
      </c>
      <c r="M1190" s="31">
        <v>0</v>
      </c>
      <c r="N1190" s="31">
        <v>0</v>
      </c>
      <c r="O1190" s="31">
        <v>0</v>
      </c>
      <c r="P1190" s="31">
        <v>0</v>
      </c>
      <c r="Q1190" s="31">
        <v>0</v>
      </c>
      <c r="R1190" s="31">
        <v>0</v>
      </c>
      <c r="S1190" s="31">
        <v>0</v>
      </c>
      <c r="T1190" s="31">
        <v>0</v>
      </c>
      <c r="U1190" s="31">
        <f>2786886.72+25588.3</f>
        <v>2812475.02</v>
      </c>
      <c r="V1190" s="31">
        <v>0</v>
      </c>
      <c r="W1190" s="31">
        <v>0</v>
      </c>
      <c r="X1190" s="31">
        <v>0</v>
      </c>
      <c r="Y1190" s="31">
        <v>0</v>
      </c>
      <c r="Z1190" s="31">
        <v>0</v>
      </c>
      <c r="AA1190" s="31">
        <v>0</v>
      </c>
      <c r="AB1190" s="31">
        <v>0</v>
      </c>
      <c r="AC1190" s="31">
        <f>ROUND(U1190*1.5%,2)</f>
        <v>42187.13</v>
      </c>
      <c r="AD1190" s="31">
        <v>150000</v>
      </c>
      <c r="AE1190" s="31">
        <v>0</v>
      </c>
      <c r="AF1190" s="34">
        <v>2022</v>
      </c>
      <c r="AG1190" s="34">
        <v>2022</v>
      </c>
      <c r="AH1190" s="35">
        <v>2022</v>
      </c>
      <c r="BZ1190" s="71"/>
    </row>
    <row r="1191" spans="1:78" ht="61.5" x14ac:dyDescent="0.85">
      <c r="B1191" s="24" t="s">
        <v>843</v>
      </c>
      <c r="C1191" s="108"/>
      <c r="D1191" s="195">
        <f>D1192+D1193</f>
        <v>5777967.8699999992</v>
      </c>
      <c r="E1191" s="31">
        <f t="shared" ref="E1191:AE1191" si="368">E1192+E1193</f>
        <v>0</v>
      </c>
      <c r="F1191" s="31">
        <f t="shared" si="368"/>
        <v>0</v>
      </c>
      <c r="G1191" s="31">
        <f t="shared" si="368"/>
        <v>0</v>
      </c>
      <c r="H1191" s="31">
        <f t="shared" si="368"/>
        <v>0</v>
      </c>
      <c r="I1191" s="31">
        <f t="shared" si="368"/>
        <v>0</v>
      </c>
      <c r="J1191" s="31">
        <f t="shared" si="368"/>
        <v>0</v>
      </c>
      <c r="K1191" s="33">
        <f t="shared" si="368"/>
        <v>0</v>
      </c>
      <c r="L1191" s="31">
        <f t="shared" si="368"/>
        <v>0</v>
      </c>
      <c r="M1191" s="31">
        <f t="shared" si="368"/>
        <v>630</v>
      </c>
      <c r="N1191" s="31">
        <f t="shared" si="368"/>
        <v>3258269.85</v>
      </c>
      <c r="O1191" s="31">
        <f t="shared" si="368"/>
        <v>0</v>
      </c>
      <c r="P1191" s="31">
        <f t="shared" si="368"/>
        <v>0</v>
      </c>
      <c r="Q1191" s="31">
        <f t="shared" si="368"/>
        <v>437</v>
      </c>
      <c r="R1191" s="31">
        <f t="shared" si="368"/>
        <v>2158447.2599999998</v>
      </c>
      <c r="S1191" s="31">
        <f t="shared" si="368"/>
        <v>0</v>
      </c>
      <c r="T1191" s="31">
        <f t="shared" si="368"/>
        <v>0</v>
      </c>
      <c r="U1191" s="31">
        <f t="shared" si="368"/>
        <v>0</v>
      </c>
      <c r="V1191" s="31">
        <f t="shared" si="368"/>
        <v>0</v>
      </c>
      <c r="W1191" s="31">
        <f t="shared" si="368"/>
        <v>0</v>
      </c>
      <c r="X1191" s="31">
        <f t="shared" si="368"/>
        <v>0</v>
      </c>
      <c r="Y1191" s="31">
        <f t="shared" si="368"/>
        <v>0</v>
      </c>
      <c r="Z1191" s="31">
        <f t="shared" si="368"/>
        <v>0</v>
      </c>
      <c r="AA1191" s="31">
        <f t="shared" si="368"/>
        <v>0</v>
      </c>
      <c r="AB1191" s="31">
        <f t="shared" si="368"/>
        <v>0</v>
      </c>
      <c r="AC1191" s="31">
        <f t="shared" si="368"/>
        <v>81250.760000000009</v>
      </c>
      <c r="AD1191" s="31">
        <f t="shared" si="368"/>
        <v>280000</v>
      </c>
      <c r="AE1191" s="31">
        <f t="shared" si="368"/>
        <v>0</v>
      </c>
      <c r="AF1191" s="247" t="s">
        <v>757</v>
      </c>
      <c r="AG1191" s="247" t="s">
        <v>757</v>
      </c>
      <c r="AH1191" s="248" t="s">
        <v>757</v>
      </c>
      <c r="AT1191" s="20" t="e">
        <f t="shared" ref="AT1191:AT1233" si="369">VLOOKUP(C1191,AW:AX,2,FALSE)</f>
        <v>#N/A</v>
      </c>
      <c r="BZ1191" s="71">
        <v>5777967.8699999992</v>
      </c>
    </row>
    <row r="1192" spans="1:78" ht="61.5" x14ac:dyDescent="0.85">
      <c r="A1192" s="20">
        <v>1</v>
      </c>
      <c r="B1192" s="66">
        <f>SUBTOTAL(103,$A$1006:A1192)</f>
        <v>162</v>
      </c>
      <c r="C1192" s="122" t="s">
        <v>179</v>
      </c>
      <c r="D1192" s="31">
        <f t="shared" ref="D1192:D1193" si="370">E1192+F1192+G1192+H1192+I1192+J1192+L1192+N1192+P1192+R1192+T1192+U1192+V1192+W1192+X1192+Y1192+Z1192+AA1192+AB1192+AC1192+AD1192+AE1192</f>
        <v>3457143.9</v>
      </c>
      <c r="E1192" s="31">
        <v>0</v>
      </c>
      <c r="F1192" s="31">
        <v>0</v>
      </c>
      <c r="G1192" s="31">
        <v>0</v>
      </c>
      <c r="H1192" s="31">
        <v>0</v>
      </c>
      <c r="I1192" s="31">
        <v>0</v>
      </c>
      <c r="J1192" s="31">
        <v>0</v>
      </c>
      <c r="K1192" s="33">
        <v>0</v>
      </c>
      <c r="L1192" s="31">
        <v>0</v>
      </c>
      <c r="M1192" s="31">
        <v>630</v>
      </c>
      <c r="N1192" s="31">
        <v>3258269.85</v>
      </c>
      <c r="O1192" s="31">
        <v>0</v>
      </c>
      <c r="P1192" s="31">
        <v>0</v>
      </c>
      <c r="Q1192" s="31">
        <v>0</v>
      </c>
      <c r="R1192" s="31">
        <v>0</v>
      </c>
      <c r="S1192" s="31">
        <v>0</v>
      </c>
      <c r="T1192" s="31">
        <v>0</v>
      </c>
      <c r="U1192" s="31">
        <v>0</v>
      </c>
      <c r="V1192" s="31">
        <v>0</v>
      </c>
      <c r="W1192" s="31">
        <v>0</v>
      </c>
      <c r="X1192" s="31">
        <v>0</v>
      </c>
      <c r="Y1192" s="31">
        <v>0</v>
      </c>
      <c r="Z1192" s="31">
        <v>0</v>
      </c>
      <c r="AA1192" s="31">
        <v>0</v>
      </c>
      <c r="AB1192" s="31">
        <v>0</v>
      </c>
      <c r="AC1192" s="31">
        <f>ROUND(N1192*1.5%,2)</f>
        <v>48874.05</v>
      </c>
      <c r="AD1192" s="31">
        <v>150000</v>
      </c>
      <c r="AE1192" s="31">
        <v>0</v>
      </c>
      <c r="AF1192" s="34">
        <v>2022</v>
      </c>
      <c r="AG1192" s="34">
        <v>2022</v>
      </c>
      <c r="AH1192" s="35">
        <v>2022</v>
      </c>
      <c r="AT1192" s="20" t="e">
        <f t="shared" si="369"/>
        <v>#N/A</v>
      </c>
      <c r="BZ1192" s="71"/>
    </row>
    <row r="1193" spans="1:78" ht="61.5" x14ac:dyDescent="0.85">
      <c r="A1193" s="20">
        <v>1</v>
      </c>
      <c r="B1193" s="66">
        <f>SUBTOTAL(103,$A$1006:A1193)</f>
        <v>163</v>
      </c>
      <c r="C1193" s="122" t="s">
        <v>180</v>
      </c>
      <c r="D1193" s="31">
        <f t="shared" si="370"/>
        <v>2320823.9699999997</v>
      </c>
      <c r="E1193" s="31">
        <v>0</v>
      </c>
      <c r="F1193" s="31">
        <v>0</v>
      </c>
      <c r="G1193" s="31">
        <v>0</v>
      </c>
      <c r="H1193" s="31">
        <v>0</v>
      </c>
      <c r="I1193" s="31">
        <v>0</v>
      </c>
      <c r="J1193" s="31">
        <v>0</v>
      </c>
      <c r="K1193" s="33">
        <v>0</v>
      </c>
      <c r="L1193" s="31">
        <v>0</v>
      </c>
      <c r="M1193" s="31">
        <v>0</v>
      </c>
      <c r="N1193" s="31">
        <v>0</v>
      </c>
      <c r="O1193" s="31">
        <v>0</v>
      </c>
      <c r="P1193" s="31">
        <v>0</v>
      </c>
      <c r="Q1193" s="31">
        <v>437</v>
      </c>
      <c r="R1193" s="31">
        <v>2158447.2599999998</v>
      </c>
      <c r="S1193" s="31">
        <v>0</v>
      </c>
      <c r="T1193" s="31">
        <v>0</v>
      </c>
      <c r="U1193" s="31">
        <v>0</v>
      </c>
      <c r="V1193" s="31">
        <v>0</v>
      </c>
      <c r="W1193" s="31">
        <v>0</v>
      </c>
      <c r="X1193" s="31">
        <v>0</v>
      </c>
      <c r="Y1193" s="31">
        <v>0</v>
      </c>
      <c r="Z1193" s="31">
        <v>0</v>
      </c>
      <c r="AA1193" s="31">
        <v>0</v>
      </c>
      <c r="AB1193" s="31">
        <v>0</v>
      </c>
      <c r="AC1193" s="31">
        <f>ROUND(R1193*1.5%,2)</f>
        <v>32376.71</v>
      </c>
      <c r="AD1193" s="31">
        <v>130000</v>
      </c>
      <c r="AE1193" s="31">
        <v>0</v>
      </c>
      <c r="AF1193" s="34">
        <v>2022</v>
      </c>
      <c r="AG1193" s="34">
        <v>2022</v>
      </c>
      <c r="AH1193" s="35">
        <v>2022</v>
      </c>
      <c r="AT1193" s="20" t="e">
        <f t="shared" si="369"/>
        <v>#N/A</v>
      </c>
      <c r="BZ1193" s="71"/>
    </row>
    <row r="1194" spans="1:78" ht="61.5" x14ac:dyDescent="0.85">
      <c r="B1194" s="24" t="s">
        <v>840</v>
      </c>
      <c r="C1194" s="24"/>
      <c r="D1194" s="195">
        <f>D1195+D1196+D1197</f>
        <v>4715781.71</v>
      </c>
      <c r="E1194" s="31">
        <f t="shared" ref="E1194:AE1194" si="371">E1195+E1196+E1197</f>
        <v>0</v>
      </c>
      <c r="F1194" s="31">
        <f t="shared" si="371"/>
        <v>0</v>
      </c>
      <c r="G1194" s="31">
        <f t="shared" si="371"/>
        <v>0</v>
      </c>
      <c r="H1194" s="31">
        <f t="shared" si="371"/>
        <v>0</v>
      </c>
      <c r="I1194" s="31">
        <f t="shared" si="371"/>
        <v>0</v>
      </c>
      <c r="J1194" s="31">
        <f t="shared" si="371"/>
        <v>0</v>
      </c>
      <c r="K1194" s="33">
        <f t="shared" si="371"/>
        <v>0</v>
      </c>
      <c r="L1194" s="31">
        <f t="shared" si="371"/>
        <v>0</v>
      </c>
      <c r="M1194" s="31">
        <f t="shared" si="371"/>
        <v>543</v>
      </c>
      <c r="N1194" s="31">
        <f t="shared" si="371"/>
        <v>2724828.46</v>
      </c>
      <c r="O1194" s="31">
        <f t="shared" si="371"/>
        <v>0</v>
      </c>
      <c r="P1194" s="31">
        <f t="shared" si="371"/>
        <v>0</v>
      </c>
      <c r="Q1194" s="31">
        <f t="shared" si="371"/>
        <v>322</v>
      </c>
      <c r="R1194" s="31">
        <f t="shared" si="371"/>
        <v>1586286.52</v>
      </c>
      <c r="S1194" s="31">
        <f t="shared" si="371"/>
        <v>0</v>
      </c>
      <c r="T1194" s="31">
        <f t="shared" si="371"/>
        <v>0</v>
      </c>
      <c r="U1194" s="31">
        <f t="shared" si="371"/>
        <v>0</v>
      </c>
      <c r="V1194" s="31">
        <f t="shared" si="371"/>
        <v>0</v>
      </c>
      <c r="W1194" s="31">
        <f t="shared" si="371"/>
        <v>0</v>
      </c>
      <c r="X1194" s="31">
        <f t="shared" si="371"/>
        <v>0</v>
      </c>
      <c r="Y1194" s="31">
        <f t="shared" si="371"/>
        <v>0</v>
      </c>
      <c r="Z1194" s="31">
        <f t="shared" si="371"/>
        <v>0</v>
      </c>
      <c r="AA1194" s="31">
        <f t="shared" si="371"/>
        <v>0</v>
      </c>
      <c r="AB1194" s="31">
        <f t="shared" si="371"/>
        <v>0</v>
      </c>
      <c r="AC1194" s="31">
        <f t="shared" si="371"/>
        <v>64666.729999999996</v>
      </c>
      <c r="AD1194" s="31">
        <f t="shared" si="371"/>
        <v>340000</v>
      </c>
      <c r="AE1194" s="31">
        <f t="shared" si="371"/>
        <v>0</v>
      </c>
      <c r="AF1194" s="247" t="s">
        <v>757</v>
      </c>
      <c r="AG1194" s="247" t="s">
        <v>757</v>
      </c>
      <c r="AH1194" s="248" t="s">
        <v>757</v>
      </c>
      <c r="AT1194" s="20" t="e">
        <f t="shared" si="369"/>
        <v>#N/A</v>
      </c>
      <c r="BZ1194" s="71">
        <v>4715781.71</v>
      </c>
    </row>
    <row r="1195" spans="1:78" ht="61.5" x14ac:dyDescent="0.85">
      <c r="A1195" s="20">
        <v>1</v>
      </c>
      <c r="B1195" s="66">
        <f>SUBTOTAL(103,$A$1006:A1195)</f>
        <v>164</v>
      </c>
      <c r="C1195" s="122" t="s">
        <v>798</v>
      </c>
      <c r="D1195" s="31">
        <f t="shared" ref="D1195:D1197" si="372">E1195+F1195+G1195+H1195+I1195+J1195+L1195+N1195+P1195+R1195+T1195+U1195+V1195+W1195+X1195+Y1195+Z1195+AA1195+AB1195+AC1195+AD1195+AE1195</f>
        <v>1710080.82</v>
      </c>
      <c r="E1195" s="31">
        <v>0</v>
      </c>
      <c r="F1195" s="31">
        <v>0</v>
      </c>
      <c r="G1195" s="31">
        <v>0</v>
      </c>
      <c r="H1195" s="31">
        <v>0</v>
      </c>
      <c r="I1195" s="31">
        <v>0</v>
      </c>
      <c r="J1195" s="31">
        <v>0</v>
      </c>
      <c r="K1195" s="33">
        <v>0</v>
      </c>
      <c r="L1195" s="31">
        <v>0</v>
      </c>
      <c r="M1195" s="31">
        <v>0</v>
      </c>
      <c r="N1195" s="31">
        <v>0</v>
      </c>
      <c r="O1195" s="31">
        <v>0</v>
      </c>
      <c r="P1195" s="31">
        <v>0</v>
      </c>
      <c r="Q1195" s="31">
        <v>322</v>
      </c>
      <c r="R1195" s="31">
        <v>1586286.52</v>
      </c>
      <c r="S1195" s="31">
        <v>0</v>
      </c>
      <c r="T1195" s="31">
        <v>0</v>
      </c>
      <c r="U1195" s="31">
        <v>0</v>
      </c>
      <c r="V1195" s="31">
        <v>0</v>
      </c>
      <c r="W1195" s="31">
        <v>0</v>
      </c>
      <c r="X1195" s="31">
        <v>0</v>
      </c>
      <c r="Y1195" s="31">
        <v>0</v>
      </c>
      <c r="Z1195" s="31">
        <v>0</v>
      </c>
      <c r="AA1195" s="31">
        <v>0</v>
      </c>
      <c r="AB1195" s="31">
        <v>0</v>
      </c>
      <c r="AC1195" s="31">
        <f>ROUND(R1195*1.5%,2)</f>
        <v>23794.3</v>
      </c>
      <c r="AD1195" s="31">
        <v>100000</v>
      </c>
      <c r="AE1195" s="31">
        <v>0</v>
      </c>
      <c r="AF1195" s="34">
        <v>2022</v>
      </c>
      <c r="AG1195" s="34">
        <v>2022</v>
      </c>
      <c r="AH1195" s="35">
        <v>2022</v>
      </c>
      <c r="AT1195" s="20" t="e">
        <f t="shared" si="369"/>
        <v>#N/A</v>
      </c>
      <c r="BZ1195" s="71"/>
    </row>
    <row r="1196" spans="1:78" ht="61.5" x14ac:dyDescent="0.85">
      <c r="A1196" s="20">
        <v>1</v>
      </c>
      <c r="B1196" s="66">
        <f>SUBTOTAL(103,$A$1006:A1196)</f>
        <v>165</v>
      </c>
      <c r="C1196" s="122" t="s">
        <v>183</v>
      </c>
      <c r="D1196" s="31">
        <f t="shared" si="372"/>
        <v>1452729.9</v>
      </c>
      <c r="E1196" s="31">
        <v>0</v>
      </c>
      <c r="F1196" s="31">
        <v>0</v>
      </c>
      <c r="G1196" s="31">
        <v>0</v>
      </c>
      <c r="H1196" s="31">
        <v>0</v>
      </c>
      <c r="I1196" s="31">
        <v>0</v>
      </c>
      <c r="J1196" s="31">
        <v>0</v>
      </c>
      <c r="K1196" s="33">
        <v>0</v>
      </c>
      <c r="L1196" s="31">
        <v>0</v>
      </c>
      <c r="M1196" s="31">
        <v>260</v>
      </c>
      <c r="N1196" s="31">
        <v>1313034.3799999999</v>
      </c>
      <c r="O1196" s="31">
        <v>0</v>
      </c>
      <c r="P1196" s="31">
        <v>0</v>
      </c>
      <c r="Q1196" s="31">
        <v>0</v>
      </c>
      <c r="R1196" s="31">
        <v>0</v>
      </c>
      <c r="S1196" s="31">
        <v>0</v>
      </c>
      <c r="T1196" s="31">
        <v>0</v>
      </c>
      <c r="U1196" s="31">
        <v>0</v>
      </c>
      <c r="V1196" s="31">
        <v>0</v>
      </c>
      <c r="W1196" s="31">
        <v>0</v>
      </c>
      <c r="X1196" s="31">
        <v>0</v>
      </c>
      <c r="Y1196" s="31">
        <v>0</v>
      </c>
      <c r="Z1196" s="31">
        <v>0</v>
      </c>
      <c r="AA1196" s="31">
        <v>0</v>
      </c>
      <c r="AB1196" s="31">
        <v>0</v>
      </c>
      <c r="AC1196" s="31">
        <f>ROUND(N1196*1.5%,2)</f>
        <v>19695.52</v>
      </c>
      <c r="AD1196" s="31">
        <v>120000</v>
      </c>
      <c r="AE1196" s="31">
        <v>0</v>
      </c>
      <c r="AF1196" s="34">
        <v>2022</v>
      </c>
      <c r="AG1196" s="34">
        <v>2022</v>
      </c>
      <c r="AH1196" s="35">
        <v>2022</v>
      </c>
      <c r="AT1196" s="20" t="e">
        <f t="shared" si="369"/>
        <v>#N/A</v>
      </c>
      <c r="BZ1196" s="71"/>
    </row>
    <row r="1197" spans="1:78" ht="61.5" x14ac:dyDescent="0.85">
      <c r="A1197" s="20">
        <v>1</v>
      </c>
      <c r="B1197" s="66">
        <f>SUBTOTAL(103,$A$1006:A1197)</f>
        <v>166</v>
      </c>
      <c r="C1197" s="122" t="s">
        <v>181</v>
      </c>
      <c r="D1197" s="31">
        <f t="shared" si="372"/>
        <v>1552970.99</v>
      </c>
      <c r="E1197" s="31">
        <v>0</v>
      </c>
      <c r="F1197" s="31">
        <v>0</v>
      </c>
      <c r="G1197" s="31">
        <v>0</v>
      </c>
      <c r="H1197" s="31">
        <v>0</v>
      </c>
      <c r="I1197" s="31">
        <v>0</v>
      </c>
      <c r="J1197" s="31">
        <v>0</v>
      </c>
      <c r="K1197" s="33">
        <v>0</v>
      </c>
      <c r="L1197" s="31">
        <v>0</v>
      </c>
      <c r="M1197" s="31">
        <v>283</v>
      </c>
      <c r="N1197" s="31">
        <v>1411794.08</v>
      </c>
      <c r="O1197" s="31">
        <v>0</v>
      </c>
      <c r="P1197" s="31">
        <v>0</v>
      </c>
      <c r="Q1197" s="31">
        <v>0</v>
      </c>
      <c r="R1197" s="31">
        <v>0</v>
      </c>
      <c r="S1197" s="31">
        <v>0</v>
      </c>
      <c r="T1197" s="31">
        <v>0</v>
      </c>
      <c r="U1197" s="31">
        <v>0</v>
      </c>
      <c r="V1197" s="31">
        <v>0</v>
      </c>
      <c r="W1197" s="31">
        <v>0</v>
      </c>
      <c r="X1197" s="31">
        <v>0</v>
      </c>
      <c r="Y1197" s="31">
        <v>0</v>
      </c>
      <c r="Z1197" s="31">
        <v>0</v>
      </c>
      <c r="AA1197" s="31">
        <v>0</v>
      </c>
      <c r="AB1197" s="31">
        <v>0</v>
      </c>
      <c r="AC1197" s="31">
        <f>ROUND(N1197*1.5%,2)</f>
        <v>21176.91</v>
      </c>
      <c r="AD1197" s="31">
        <v>120000</v>
      </c>
      <c r="AE1197" s="31">
        <v>0</v>
      </c>
      <c r="AF1197" s="34">
        <v>2022</v>
      </c>
      <c r="AG1197" s="34">
        <v>2022</v>
      </c>
      <c r="AH1197" s="35">
        <v>2022</v>
      </c>
      <c r="AT1197" s="20" t="e">
        <f t="shared" si="369"/>
        <v>#N/A</v>
      </c>
      <c r="BZ1197" s="71"/>
    </row>
    <row r="1198" spans="1:78" ht="61.5" x14ac:dyDescent="0.85">
      <c r="B1198" s="24" t="s">
        <v>841</v>
      </c>
      <c r="C1198" s="24"/>
      <c r="D1198" s="195">
        <f>D1199+D1200</f>
        <v>2590114.16</v>
      </c>
      <c r="E1198" s="31">
        <f t="shared" ref="E1198:AE1198" si="373">E1199+E1200</f>
        <v>0</v>
      </c>
      <c r="F1198" s="31">
        <f t="shared" si="373"/>
        <v>0</v>
      </c>
      <c r="G1198" s="31">
        <f t="shared" si="373"/>
        <v>0</v>
      </c>
      <c r="H1198" s="31">
        <f t="shared" si="373"/>
        <v>0</v>
      </c>
      <c r="I1198" s="31">
        <f t="shared" si="373"/>
        <v>0</v>
      </c>
      <c r="J1198" s="31">
        <f t="shared" si="373"/>
        <v>0</v>
      </c>
      <c r="K1198" s="33">
        <f t="shared" si="373"/>
        <v>0</v>
      </c>
      <c r="L1198" s="31">
        <f t="shared" si="373"/>
        <v>0</v>
      </c>
      <c r="M1198" s="31">
        <f t="shared" si="373"/>
        <v>472</v>
      </c>
      <c r="N1198" s="31">
        <f t="shared" si="373"/>
        <v>2315383.41</v>
      </c>
      <c r="O1198" s="31">
        <f t="shared" si="373"/>
        <v>0</v>
      </c>
      <c r="P1198" s="31">
        <f t="shared" si="373"/>
        <v>0</v>
      </c>
      <c r="Q1198" s="31">
        <f t="shared" si="373"/>
        <v>0</v>
      </c>
      <c r="R1198" s="31">
        <f t="shared" si="373"/>
        <v>0</v>
      </c>
      <c r="S1198" s="31">
        <f t="shared" si="373"/>
        <v>0</v>
      </c>
      <c r="T1198" s="31">
        <f t="shared" si="373"/>
        <v>0</v>
      </c>
      <c r="U1198" s="31">
        <f t="shared" si="373"/>
        <v>0</v>
      </c>
      <c r="V1198" s="31">
        <f t="shared" si="373"/>
        <v>0</v>
      </c>
      <c r="W1198" s="31">
        <f t="shared" si="373"/>
        <v>0</v>
      </c>
      <c r="X1198" s="31">
        <f t="shared" si="373"/>
        <v>0</v>
      </c>
      <c r="Y1198" s="31">
        <f t="shared" si="373"/>
        <v>0</v>
      </c>
      <c r="Z1198" s="31">
        <f t="shared" si="373"/>
        <v>0</v>
      </c>
      <c r="AA1198" s="31">
        <f t="shared" si="373"/>
        <v>0</v>
      </c>
      <c r="AB1198" s="31">
        <f t="shared" si="373"/>
        <v>0</v>
      </c>
      <c r="AC1198" s="31">
        <f t="shared" si="373"/>
        <v>34730.75</v>
      </c>
      <c r="AD1198" s="31">
        <f t="shared" si="373"/>
        <v>240000</v>
      </c>
      <c r="AE1198" s="31">
        <f t="shared" si="373"/>
        <v>0</v>
      </c>
      <c r="AF1198" s="247" t="s">
        <v>757</v>
      </c>
      <c r="AG1198" s="247" t="s">
        <v>757</v>
      </c>
      <c r="AH1198" s="248" t="s">
        <v>757</v>
      </c>
      <c r="AT1198" s="20" t="e">
        <f t="shared" si="369"/>
        <v>#N/A</v>
      </c>
      <c r="BZ1198" s="71">
        <v>2590114.16</v>
      </c>
    </row>
    <row r="1199" spans="1:78" ht="61.5" x14ac:dyDescent="0.85">
      <c r="A1199" s="20">
        <v>1</v>
      </c>
      <c r="B1199" s="66">
        <f>SUBTOTAL(103,$A$1006:A1199)</f>
        <v>167</v>
      </c>
      <c r="C1199" s="122" t="s">
        <v>1708</v>
      </c>
      <c r="D1199" s="31">
        <f t="shared" ref="D1199:D1200" si="374">E1199+F1199+G1199+H1199+I1199+J1199+L1199+N1199+P1199+R1199+T1199+U1199+V1199+W1199+X1199+Y1199+Z1199+AA1199+AB1199+AC1199+AD1199+AE1199</f>
        <v>1262131.9000000001</v>
      </c>
      <c r="E1199" s="31">
        <v>0</v>
      </c>
      <c r="F1199" s="31">
        <v>0</v>
      </c>
      <c r="G1199" s="31">
        <v>0</v>
      </c>
      <c r="H1199" s="31">
        <v>0</v>
      </c>
      <c r="I1199" s="31">
        <v>0</v>
      </c>
      <c r="J1199" s="31">
        <v>0</v>
      </c>
      <c r="K1199" s="33">
        <v>0</v>
      </c>
      <c r="L1199" s="31">
        <v>0</v>
      </c>
      <c r="M1199" s="31">
        <v>230</v>
      </c>
      <c r="N1199" s="31">
        <v>1125253.1000000001</v>
      </c>
      <c r="O1199" s="31">
        <v>0</v>
      </c>
      <c r="P1199" s="31">
        <v>0</v>
      </c>
      <c r="Q1199" s="31">
        <v>0</v>
      </c>
      <c r="R1199" s="31">
        <v>0</v>
      </c>
      <c r="S1199" s="31">
        <v>0</v>
      </c>
      <c r="T1199" s="31">
        <v>0</v>
      </c>
      <c r="U1199" s="31">
        <v>0</v>
      </c>
      <c r="V1199" s="31">
        <v>0</v>
      </c>
      <c r="W1199" s="31">
        <v>0</v>
      </c>
      <c r="X1199" s="31">
        <v>0</v>
      </c>
      <c r="Y1199" s="31">
        <v>0</v>
      </c>
      <c r="Z1199" s="31">
        <v>0</v>
      </c>
      <c r="AA1199" s="31">
        <v>0</v>
      </c>
      <c r="AB1199" s="31">
        <v>0</v>
      </c>
      <c r="AC1199" s="31">
        <f>ROUND(N1199*1.5%,2)</f>
        <v>16878.8</v>
      </c>
      <c r="AD1199" s="31">
        <v>120000</v>
      </c>
      <c r="AE1199" s="31">
        <v>0</v>
      </c>
      <c r="AF1199" s="34">
        <v>2022</v>
      </c>
      <c r="AG1199" s="34">
        <v>2022</v>
      </c>
      <c r="AH1199" s="35">
        <v>2022</v>
      </c>
      <c r="AT1199" s="20" t="e">
        <f t="shared" si="369"/>
        <v>#N/A</v>
      </c>
      <c r="BZ1199" s="71"/>
    </row>
    <row r="1200" spans="1:78" ht="61.5" x14ac:dyDescent="0.85">
      <c r="A1200" s="20">
        <v>1</v>
      </c>
      <c r="B1200" s="66">
        <f>SUBTOTAL(103,$A$1006:A1200)</f>
        <v>168</v>
      </c>
      <c r="C1200" s="122" t="s">
        <v>178</v>
      </c>
      <c r="D1200" s="31">
        <f t="shared" si="374"/>
        <v>1327982.26</v>
      </c>
      <c r="E1200" s="31">
        <v>0</v>
      </c>
      <c r="F1200" s="31">
        <v>0</v>
      </c>
      <c r="G1200" s="31">
        <v>0</v>
      </c>
      <c r="H1200" s="31">
        <v>0</v>
      </c>
      <c r="I1200" s="31">
        <v>0</v>
      </c>
      <c r="J1200" s="31">
        <v>0</v>
      </c>
      <c r="K1200" s="33">
        <v>0</v>
      </c>
      <c r="L1200" s="31">
        <v>0</v>
      </c>
      <c r="M1200" s="31">
        <v>242</v>
      </c>
      <c r="N1200" s="31">
        <v>1190130.31</v>
      </c>
      <c r="O1200" s="31">
        <v>0</v>
      </c>
      <c r="P1200" s="31">
        <v>0</v>
      </c>
      <c r="Q1200" s="31">
        <v>0</v>
      </c>
      <c r="R1200" s="31">
        <v>0</v>
      </c>
      <c r="S1200" s="31">
        <v>0</v>
      </c>
      <c r="T1200" s="31">
        <v>0</v>
      </c>
      <c r="U1200" s="31">
        <v>0</v>
      </c>
      <c r="V1200" s="31">
        <v>0</v>
      </c>
      <c r="W1200" s="31">
        <v>0</v>
      </c>
      <c r="X1200" s="31">
        <v>0</v>
      </c>
      <c r="Y1200" s="31">
        <v>0</v>
      </c>
      <c r="Z1200" s="31">
        <v>0</v>
      </c>
      <c r="AA1200" s="31">
        <v>0</v>
      </c>
      <c r="AB1200" s="31">
        <v>0</v>
      </c>
      <c r="AC1200" s="31">
        <f>ROUND(N1200*1.5%,2)</f>
        <v>17851.95</v>
      </c>
      <c r="AD1200" s="31">
        <v>120000</v>
      </c>
      <c r="AE1200" s="31">
        <v>0</v>
      </c>
      <c r="AF1200" s="34">
        <v>2022</v>
      </c>
      <c r="AG1200" s="34">
        <v>2022</v>
      </c>
      <c r="AH1200" s="35">
        <v>2022</v>
      </c>
      <c r="AT1200" s="20" t="e">
        <f t="shared" si="369"/>
        <v>#N/A</v>
      </c>
      <c r="BZ1200" s="71"/>
    </row>
    <row r="1201" spans="1:78" ht="61.5" x14ac:dyDescent="0.85">
      <c r="B1201" s="24" t="s">
        <v>842</v>
      </c>
      <c r="C1201" s="24"/>
      <c r="D1201" s="195">
        <f>D1202</f>
        <v>1456533.11</v>
      </c>
      <c r="E1201" s="31">
        <f t="shared" ref="E1201:AE1201" si="375">E1202</f>
        <v>0</v>
      </c>
      <c r="F1201" s="31">
        <f t="shared" si="375"/>
        <v>0</v>
      </c>
      <c r="G1201" s="31">
        <f t="shared" si="375"/>
        <v>0</v>
      </c>
      <c r="H1201" s="31">
        <f t="shared" si="375"/>
        <v>0</v>
      </c>
      <c r="I1201" s="31">
        <f t="shared" si="375"/>
        <v>0</v>
      </c>
      <c r="J1201" s="31">
        <f t="shared" si="375"/>
        <v>0</v>
      </c>
      <c r="K1201" s="33">
        <f t="shared" si="375"/>
        <v>0</v>
      </c>
      <c r="L1201" s="31">
        <f t="shared" si="375"/>
        <v>0</v>
      </c>
      <c r="M1201" s="31">
        <f t="shared" si="375"/>
        <v>280</v>
      </c>
      <c r="N1201" s="31">
        <f t="shared" si="375"/>
        <v>1356190.26</v>
      </c>
      <c r="O1201" s="31">
        <f t="shared" si="375"/>
        <v>0</v>
      </c>
      <c r="P1201" s="31">
        <f t="shared" si="375"/>
        <v>0</v>
      </c>
      <c r="Q1201" s="31">
        <f t="shared" si="375"/>
        <v>0</v>
      </c>
      <c r="R1201" s="31">
        <f t="shared" si="375"/>
        <v>0</v>
      </c>
      <c r="S1201" s="31">
        <f t="shared" si="375"/>
        <v>0</v>
      </c>
      <c r="T1201" s="31">
        <f t="shared" si="375"/>
        <v>0</v>
      </c>
      <c r="U1201" s="31">
        <f t="shared" si="375"/>
        <v>0</v>
      </c>
      <c r="V1201" s="31">
        <f t="shared" si="375"/>
        <v>0</v>
      </c>
      <c r="W1201" s="31">
        <f t="shared" si="375"/>
        <v>0</v>
      </c>
      <c r="X1201" s="31">
        <f t="shared" si="375"/>
        <v>0</v>
      </c>
      <c r="Y1201" s="31">
        <f t="shared" si="375"/>
        <v>0</v>
      </c>
      <c r="Z1201" s="31">
        <f t="shared" si="375"/>
        <v>0</v>
      </c>
      <c r="AA1201" s="31">
        <f t="shared" si="375"/>
        <v>0</v>
      </c>
      <c r="AB1201" s="31">
        <f t="shared" si="375"/>
        <v>0</v>
      </c>
      <c r="AC1201" s="31">
        <f t="shared" si="375"/>
        <v>20342.849999999999</v>
      </c>
      <c r="AD1201" s="31">
        <f t="shared" si="375"/>
        <v>80000</v>
      </c>
      <c r="AE1201" s="31">
        <f t="shared" si="375"/>
        <v>0</v>
      </c>
      <c r="AF1201" s="247" t="s">
        <v>757</v>
      </c>
      <c r="AG1201" s="247" t="s">
        <v>757</v>
      </c>
      <c r="AH1201" s="248" t="s">
        <v>757</v>
      </c>
      <c r="AT1201" s="20" t="e">
        <f t="shared" si="369"/>
        <v>#N/A</v>
      </c>
      <c r="BZ1201" s="71">
        <v>1456533.11</v>
      </c>
    </row>
    <row r="1202" spans="1:78" ht="61.5" x14ac:dyDescent="0.85">
      <c r="A1202" s="20">
        <v>1</v>
      </c>
      <c r="B1202" s="66">
        <f>SUBTOTAL(103,$A$1006:A1202)</f>
        <v>169</v>
      </c>
      <c r="C1202" s="122" t="s">
        <v>799</v>
      </c>
      <c r="D1202" s="31">
        <f t="shared" ref="D1202" si="376">E1202+F1202+G1202+H1202+I1202+J1202+L1202+N1202+P1202+R1202+T1202+U1202+V1202+W1202+X1202+Y1202+Z1202+AA1202+AB1202+AC1202+AD1202+AE1202</f>
        <v>1456533.11</v>
      </c>
      <c r="E1202" s="31">
        <v>0</v>
      </c>
      <c r="F1202" s="31">
        <v>0</v>
      </c>
      <c r="G1202" s="31">
        <v>0</v>
      </c>
      <c r="H1202" s="31">
        <v>0</v>
      </c>
      <c r="I1202" s="31">
        <v>0</v>
      </c>
      <c r="J1202" s="31">
        <v>0</v>
      </c>
      <c r="K1202" s="33">
        <v>0</v>
      </c>
      <c r="L1202" s="31">
        <v>0</v>
      </c>
      <c r="M1202" s="31">
        <v>280</v>
      </c>
      <c r="N1202" s="31">
        <v>1356190.26</v>
      </c>
      <c r="O1202" s="31">
        <v>0</v>
      </c>
      <c r="P1202" s="31">
        <v>0</v>
      </c>
      <c r="Q1202" s="31">
        <v>0</v>
      </c>
      <c r="R1202" s="31">
        <v>0</v>
      </c>
      <c r="S1202" s="31">
        <v>0</v>
      </c>
      <c r="T1202" s="31">
        <v>0</v>
      </c>
      <c r="U1202" s="31">
        <v>0</v>
      </c>
      <c r="V1202" s="31">
        <v>0</v>
      </c>
      <c r="W1202" s="31">
        <v>0</v>
      </c>
      <c r="X1202" s="31">
        <v>0</v>
      </c>
      <c r="Y1202" s="31">
        <v>0</v>
      </c>
      <c r="Z1202" s="31">
        <v>0</v>
      </c>
      <c r="AA1202" s="31">
        <v>0</v>
      </c>
      <c r="AB1202" s="31">
        <v>0</v>
      </c>
      <c r="AC1202" s="31">
        <f>ROUND(N1202*1.5%,2)</f>
        <v>20342.849999999999</v>
      </c>
      <c r="AD1202" s="31">
        <v>80000</v>
      </c>
      <c r="AE1202" s="31">
        <v>0</v>
      </c>
      <c r="AF1202" s="34">
        <v>2022</v>
      </c>
      <c r="AG1202" s="34">
        <v>2022</v>
      </c>
      <c r="AH1202" s="35">
        <v>2022</v>
      </c>
      <c r="AT1202" s="20" t="e">
        <f t="shared" si="369"/>
        <v>#N/A</v>
      </c>
      <c r="BZ1202" s="71"/>
    </row>
    <row r="1203" spans="1:78" ht="61.5" x14ac:dyDescent="0.85">
      <c r="B1203" s="24" t="s">
        <v>844</v>
      </c>
      <c r="C1203" s="108"/>
      <c r="D1203" s="195">
        <f>D1204+D1205+D1206</f>
        <v>10290828.25</v>
      </c>
      <c r="E1203" s="31">
        <f t="shared" ref="E1203:AE1203" si="377">E1204+E1205+E1206</f>
        <v>0</v>
      </c>
      <c r="F1203" s="31">
        <f t="shared" si="377"/>
        <v>0</v>
      </c>
      <c r="G1203" s="31">
        <f t="shared" si="377"/>
        <v>0</v>
      </c>
      <c r="H1203" s="31">
        <f t="shared" si="377"/>
        <v>0</v>
      </c>
      <c r="I1203" s="31">
        <f t="shared" si="377"/>
        <v>0</v>
      </c>
      <c r="J1203" s="31">
        <f t="shared" si="377"/>
        <v>0</v>
      </c>
      <c r="K1203" s="33">
        <f t="shared" si="377"/>
        <v>0</v>
      </c>
      <c r="L1203" s="31">
        <f t="shared" si="377"/>
        <v>0</v>
      </c>
      <c r="M1203" s="31">
        <f t="shared" si="377"/>
        <v>1825</v>
      </c>
      <c r="N1203" s="31">
        <f t="shared" si="377"/>
        <v>9695397.290000001</v>
      </c>
      <c r="O1203" s="31">
        <f t="shared" si="377"/>
        <v>0</v>
      </c>
      <c r="P1203" s="31">
        <f t="shared" si="377"/>
        <v>0</v>
      </c>
      <c r="Q1203" s="31">
        <f t="shared" si="377"/>
        <v>0</v>
      </c>
      <c r="R1203" s="31">
        <f t="shared" si="377"/>
        <v>0</v>
      </c>
      <c r="S1203" s="31">
        <f t="shared" si="377"/>
        <v>0</v>
      </c>
      <c r="T1203" s="31">
        <f t="shared" si="377"/>
        <v>0</v>
      </c>
      <c r="U1203" s="31">
        <f t="shared" si="377"/>
        <v>0</v>
      </c>
      <c r="V1203" s="31">
        <f t="shared" si="377"/>
        <v>0</v>
      </c>
      <c r="W1203" s="31">
        <f t="shared" si="377"/>
        <v>0</v>
      </c>
      <c r="X1203" s="31">
        <f t="shared" si="377"/>
        <v>0</v>
      </c>
      <c r="Y1203" s="31">
        <f t="shared" si="377"/>
        <v>0</v>
      </c>
      <c r="Z1203" s="31">
        <f t="shared" si="377"/>
        <v>0</v>
      </c>
      <c r="AA1203" s="31">
        <f t="shared" si="377"/>
        <v>0</v>
      </c>
      <c r="AB1203" s="31">
        <f t="shared" si="377"/>
        <v>0</v>
      </c>
      <c r="AC1203" s="31">
        <f t="shared" si="377"/>
        <v>145430.96</v>
      </c>
      <c r="AD1203" s="31">
        <f t="shared" si="377"/>
        <v>450000</v>
      </c>
      <c r="AE1203" s="31">
        <f t="shared" si="377"/>
        <v>0</v>
      </c>
      <c r="AF1203" s="247" t="s">
        <v>757</v>
      </c>
      <c r="AG1203" s="247" t="s">
        <v>757</v>
      </c>
      <c r="AH1203" s="248" t="s">
        <v>757</v>
      </c>
      <c r="AT1203" s="20" t="e">
        <f t="shared" si="369"/>
        <v>#N/A</v>
      </c>
      <c r="BZ1203" s="71">
        <v>10290828.25</v>
      </c>
    </row>
    <row r="1204" spans="1:78" ht="61.5" x14ac:dyDescent="0.85">
      <c r="A1204" s="20">
        <v>1</v>
      </c>
      <c r="B1204" s="66">
        <f>SUBTOTAL(103,$A$1006:A1204)</f>
        <v>170</v>
      </c>
      <c r="C1204" s="122" t="s">
        <v>85</v>
      </c>
      <c r="D1204" s="31">
        <f t="shared" ref="D1204:D1206" si="378">E1204+F1204+G1204+H1204+I1204+J1204+L1204+N1204+P1204+R1204+T1204+U1204+V1204+W1204+X1204+Y1204+Z1204+AA1204+AB1204+AC1204+AD1204+AE1204</f>
        <v>3665226.5</v>
      </c>
      <c r="E1204" s="31">
        <v>0</v>
      </c>
      <c r="F1204" s="31">
        <v>0</v>
      </c>
      <c r="G1204" s="31">
        <v>0</v>
      </c>
      <c r="H1204" s="31">
        <v>0</v>
      </c>
      <c r="I1204" s="31">
        <v>0</v>
      </c>
      <c r="J1204" s="31">
        <v>0</v>
      </c>
      <c r="K1204" s="33">
        <v>0</v>
      </c>
      <c r="L1204" s="31">
        <v>0</v>
      </c>
      <c r="M1204" s="31">
        <v>650</v>
      </c>
      <c r="N1204" s="31">
        <v>3463277.34</v>
      </c>
      <c r="O1204" s="31">
        <v>0</v>
      </c>
      <c r="P1204" s="31">
        <v>0</v>
      </c>
      <c r="Q1204" s="31">
        <v>0</v>
      </c>
      <c r="R1204" s="31">
        <v>0</v>
      </c>
      <c r="S1204" s="31">
        <v>0</v>
      </c>
      <c r="T1204" s="31">
        <v>0</v>
      </c>
      <c r="U1204" s="31">
        <v>0</v>
      </c>
      <c r="V1204" s="31">
        <v>0</v>
      </c>
      <c r="W1204" s="31">
        <v>0</v>
      </c>
      <c r="X1204" s="31">
        <v>0</v>
      </c>
      <c r="Y1204" s="31">
        <v>0</v>
      </c>
      <c r="Z1204" s="31">
        <v>0</v>
      </c>
      <c r="AA1204" s="31">
        <v>0</v>
      </c>
      <c r="AB1204" s="31">
        <v>0</v>
      </c>
      <c r="AC1204" s="31">
        <f>ROUND(N1204*1.5%,2)</f>
        <v>51949.16</v>
      </c>
      <c r="AD1204" s="31">
        <v>150000</v>
      </c>
      <c r="AE1204" s="31">
        <v>0</v>
      </c>
      <c r="AF1204" s="34">
        <v>2022</v>
      </c>
      <c r="AG1204" s="34">
        <v>2022</v>
      </c>
      <c r="AH1204" s="35">
        <v>2022</v>
      </c>
      <c r="AT1204" s="20" t="e">
        <f t="shared" si="369"/>
        <v>#N/A</v>
      </c>
      <c r="BZ1204" s="71"/>
    </row>
    <row r="1205" spans="1:78" ht="61.5" x14ac:dyDescent="0.85">
      <c r="A1205" s="20">
        <v>1</v>
      </c>
      <c r="B1205" s="66">
        <f>SUBTOTAL(103,$A$1006:A1205)</f>
        <v>171</v>
      </c>
      <c r="C1205" s="122" t="s">
        <v>86</v>
      </c>
      <c r="D1205" s="31">
        <f t="shared" si="378"/>
        <v>3185927.6500000004</v>
      </c>
      <c r="E1205" s="31">
        <v>0</v>
      </c>
      <c r="F1205" s="31">
        <v>0</v>
      </c>
      <c r="G1205" s="31">
        <v>0</v>
      </c>
      <c r="H1205" s="31">
        <v>0</v>
      </c>
      <c r="I1205" s="31">
        <v>0</v>
      </c>
      <c r="J1205" s="31">
        <v>0</v>
      </c>
      <c r="K1205" s="33">
        <v>0</v>
      </c>
      <c r="L1205" s="31">
        <v>0</v>
      </c>
      <c r="M1205" s="31">
        <v>565</v>
      </c>
      <c r="N1205" s="31">
        <v>2991061.72</v>
      </c>
      <c r="O1205" s="31">
        <v>0</v>
      </c>
      <c r="P1205" s="31">
        <v>0</v>
      </c>
      <c r="Q1205" s="31">
        <v>0</v>
      </c>
      <c r="R1205" s="31">
        <v>0</v>
      </c>
      <c r="S1205" s="31">
        <v>0</v>
      </c>
      <c r="T1205" s="31">
        <v>0</v>
      </c>
      <c r="U1205" s="31">
        <v>0</v>
      </c>
      <c r="V1205" s="31">
        <v>0</v>
      </c>
      <c r="W1205" s="31">
        <v>0</v>
      </c>
      <c r="X1205" s="31">
        <v>0</v>
      </c>
      <c r="Y1205" s="31">
        <v>0</v>
      </c>
      <c r="Z1205" s="31">
        <v>0</v>
      </c>
      <c r="AA1205" s="31">
        <v>0</v>
      </c>
      <c r="AB1205" s="31">
        <v>0</v>
      </c>
      <c r="AC1205" s="31">
        <f>ROUND(N1205*1.5%,2)</f>
        <v>44865.93</v>
      </c>
      <c r="AD1205" s="31">
        <v>150000</v>
      </c>
      <c r="AE1205" s="31">
        <v>0</v>
      </c>
      <c r="AF1205" s="34">
        <v>2022</v>
      </c>
      <c r="AG1205" s="34">
        <v>2022</v>
      </c>
      <c r="AH1205" s="35">
        <v>2022</v>
      </c>
      <c r="AT1205" s="20" t="e">
        <f t="shared" si="369"/>
        <v>#N/A</v>
      </c>
      <c r="BZ1205" s="71"/>
    </row>
    <row r="1206" spans="1:78" ht="61.5" x14ac:dyDescent="0.85">
      <c r="A1206" s="20">
        <v>1</v>
      </c>
      <c r="B1206" s="66">
        <f>SUBTOTAL(103,$A$1006:A1206)</f>
        <v>172</v>
      </c>
      <c r="C1206" s="122" t="s">
        <v>84</v>
      </c>
      <c r="D1206" s="31">
        <f t="shared" si="378"/>
        <v>3439674.1</v>
      </c>
      <c r="E1206" s="31">
        <v>0</v>
      </c>
      <c r="F1206" s="31">
        <v>0</v>
      </c>
      <c r="G1206" s="31">
        <v>0</v>
      </c>
      <c r="H1206" s="31">
        <v>0</v>
      </c>
      <c r="I1206" s="31">
        <v>0</v>
      </c>
      <c r="J1206" s="31">
        <v>0</v>
      </c>
      <c r="K1206" s="33">
        <v>0</v>
      </c>
      <c r="L1206" s="31">
        <v>0</v>
      </c>
      <c r="M1206" s="31">
        <v>610</v>
      </c>
      <c r="N1206" s="31">
        <v>3241058.23</v>
      </c>
      <c r="O1206" s="31">
        <v>0</v>
      </c>
      <c r="P1206" s="31">
        <v>0</v>
      </c>
      <c r="Q1206" s="31">
        <v>0</v>
      </c>
      <c r="R1206" s="31">
        <v>0</v>
      </c>
      <c r="S1206" s="31">
        <v>0</v>
      </c>
      <c r="T1206" s="31">
        <v>0</v>
      </c>
      <c r="U1206" s="31">
        <v>0</v>
      </c>
      <c r="V1206" s="31">
        <v>0</v>
      </c>
      <c r="W1206" s="31">
        <v>0</v>
      </c>
      <c r="X1206" s="31">
        <v>0</v>
      </c>
      <c r="Y1206" s="31">
        <v>0</v>
      </c>
      <c r="Z1206" s="31">
        <v>0</v>
      </c>
      <c r="AA1206" s="31">
        <v>0</v>
      </c>
      <c r="AB1206" s="31">
        <v>0</v>
      </c>
      <c r="AC1206" s="31">
        <f>ROUND(N1206*1.5%,2)</f>
        <v>48615.87</v>
      </c>
      <c r="AD1206" s="31">
        <v>150000</v>
      </c>
      <c r="AE1206" s="31">
        <v>0</v>
      </c>
      <c r="AF1206" s="34">
        <v>2022</v>
      </c>
      <c r="AG1206" s="34">
        <v>2022</v>
      </c>
      <c r="AH1206" s="35">
        <v>2022</v>
      </c>
      <c r="AT1206" s="20" t="e">
        <f t="shared" si="369"/>
        <v>#N/A</v>
      </c>
      <c r="BZ1206" s="71"/>
    </row>
    <row r="1207" spans="1:78" ht="61.5" x14ac:dyDescent="0.85">
      <c r="B1207" s="24" t="s">
        <v>845</v>
      </c>
      <c r="C1207" s="24"/>
      <c r="D1207" s="195">
        <f>D1208</f>
        <v>3013803.8600000003</v>
      </c>
      <c r="E1207" s="31">
        <f t="shared" ref="E1207:AE1207" si="379">E1208</f>
        <v>0</v>
      </c>
      <c r="F1207" s="31">
        <f t="shared" si="379"/>
        <v>0</v>
      </c>
      <c r="G1207" s="31">
        <f t="shared" si="379"/>
        <v>0</v>
      </c>
      <c r="H1207" s="31">
        <f t="shared" si="379"/>
        <v>0</v>
      </c>
      <c r="I1207" s="31">
        <f t="shared" si="379"/>
        <v>0</v>
      </c>
      <c r="J1207" s="31">
        <f t="shared" si="379"/>
        <v>0</v>
      </c>
      <c r="K1207" s="33">
        <f t="shared" si="379"/>
        <v>0</v>
      </c>
      <c r="L1207" s="31">
        <f t="shared" si="379"/>
        <v>0</v>
      </c>
      <c r="M1207" s="31">
        <f t="shared" si="379"/>
        <v>586</v>
      </c>
      <c r="N1207" s="31">
        <f t="shared" si="379"/>
        <v>2821481.64</v>
      </c>
      <c r="O1207" s="31">
        <f t="shared" si="379"/>
        <v>0</v>
      </c>
      <c r="P1207" s="31">
        <f t="shared" si="379"/>
        <v>0</v>
      </c>
      <c r="Q1207" s="31">
        <f t="shared" si="379"/>
        <v>0</v>
      </c>
      <c r="R1207" s="31">
        <f t="shared" si="379"/>
        <v>0</v>
      </c>
      <c r="S1207" s="31">
        <f t="shared" si="379"/>
        <v>0</v>
      </c>
      <c r="T1207" s="31">
        <f t="shared" si="379"/>
        <v>0</v>
      </c>
      <c r="U1207" s="31">
        <f t="shared" si="379"/>
        <v>0</v>
      </c>
      <c r="V1207" s="31">
        <f t="shared" si="379"/>
        <v>0</v>
      </c>
      <c r="W1207" s="31">
        <f t="shared" si="379"/>
        <v>0</v>
      </c>
      <c r="X1207" s="31">
        <f t="shared" si="379"/>
        <v>0</v>
      </c>
      <c r="Y1207" s="31">
        <f t="shared" si="379"/>
        <v>0</v>
      </c>
      <c r="Z1207" s="31">
        <f t="shared" si="379"/>
        <v>0</v>
      </c>
      <c r="AA1207" s="31">
        <f t="shared" si="379"/>
        <v>0</v>
      </c>
      <c r="AB1207" s="31">
        <f t="shared" si="379"/>
        <v>0</v>
      </c>
      <c r="AC1207" s="31">
        <f t="shared" si="379"/>
        <v>42322.22</v>
      </c>
      <c r="AD1207" s="31">
        <f t="shared" si="379"/>
        <v>150000</v>
      </c>
      <c r="AE1207" s="31">
        <f t="shared" si="379"/>
        <v>0</v>
      </c>
      <c r="AF1207" s="247" t="s">
        <v>757</v>
      </c>
      <c r="AG1207" s="247" t="s">
        <v>757</v>
      </c>
      <c r="AH1207" s="248" t="s">
        <v>757</v>
      </c>
      <c r="AT1207" s="20" t="e">
        <f t="shared" si="369"/>
        <v>#N/A</v>
      </c>
      <c r="BZ1207" s="71">
        <v>3013803.8600000003</v>
      </c>
    </row>
    <row r="1208" spans="1:78" ht="61.5" x14ac:dyDescent="0.85">
      <c r="A1208" s="20">
        <v>1</v>
      </c>
      <c r="B1208" s="66">
        <f>SUBTOTAL(103,$A$1006:A1208)</f>
        <v>173</v>
      </c>
      <c r="C1208" s="122" t="s">
        <v>88</v>
      </c>
      <c r="D1208" s="31">
        <f t="shared" ref="D1208" si="380">E1208+F1208+G1208+H1208+I1208+J1208+L1208+N1208+P1208+R1208+T1208+U1208+V1208+W1208+X1208+Y1208+Z1208+AA1208+AB1208+AC1208+AD1208+AE1208</f>
        <v>3013803.8600000003</v>
      </c>
      <c r="E1208" s="31">
        <v>0</v>
      </c>
      <c r="F1208" s="31">
        <v>0</v>
      </c>
      <c r="G1208" s="31">
        <v>0</v>
      </c>
      <c r="H1208" s="31">
        <v>0</v>
      </c>
      <c r="I1208" s="31">
        <v>0</v>
      </c>
      <c r="J1208" s="31">
        <v>0</v>
      </c>
      <c r="K1208" s="33">
        <v>0</v>
      </c>
      <c r="L1208" s="31">
        <v>0</v>
      </c>
      <c r="M1208" s="31">
        <v>586</v>
      </c>
      <c r="N1208" s="31">
        <v>2821481.64</v>
      </c>
      <c r="O1208" s="31">
        <v>0</v>
      </c>
      <c r="P1208" s="31">
        <v>0</v>
      </c>
      <c r="Q1208" s="31">
        <v>0</v>
      </c>
      <c r="R1208" s="31">
        <v>0</v>
      </c>
      <c r="S1208" s="31">
        <v>0</v>
      </c>
      <c r="T1208" s="31">
        <v>0</v>
      </c>
      <c r="U1208" s="31">
        <v>0</v>
      </c>
      <c r="V1208" s="31">
        <v>0</v>
      </c>
      <c r="W1208" s="31">
        <v>0</v>
      </c>
      <c r="X1208" s="31">
        <v>0</v>
      </c>
      <c r="Y1208" s="31">
        <v>0</v>
      </c>
      <c r="Z1208" s="31">
        <v>0</v>
      </c>
      <c r="AA1208" s="31">
        <v>0</v>
      </c>
      <c r="AB1208" s="31">
        <v>0</v>
      </c>
      <c r="AC1208" s="31">
        <f>ROUND(N1208*1.5%,2)</f>
        <v>42322.22</v>
      </c>
      <c r="AD1208" s="31">
        <v>150000</v>
      </c>
      <c r="AE1208" s="31">
        <v>0</v>
      </c>
      <c r="AF1208" s="34">
        <v>2022</v>
      </c>
      <c r="AG1208" s="34">
        <v>2022</v>
      </c>
      <c r="AH1208" s="35">
        <v>2022</v>
      </c>
      <c r="AT1208" s="20" t="e">
        <f t="shared" si="369"/>
        <v>#N/A</v>
      </c>
      <c r="BZ1208" s="71"/>
    </row>
    <row r="1209" spans="1:78" ht="61.5" x14ac:dyDescent="0.85">
      <c r="B1209" s="24" t="s">
        <v>894</v>
      </c>
      <c r="C1209" s="24"/>
      <c r="D1209" s="195">
        <f>D1210</f>
        <v>2036502</v>
      </c>
      <c r="E1209" s="31">
        <f t="shared" ref="E1209:AE1209" si="381">E1210</f>
        <v>0</v>
      </c>
      <c r="F1209" s="31">
        <f t="shared" si="381"/>
        <v>0</v>
      </c>
      <c r="G1209" s="31">
        <f t="shared" si="381"/>
        <v>0</v>
      </c>
      <c r="H1209" s="31">
        <f t="shared" si="381"/>
        <v>0</v>
      </c>
      <c r="I1209" s="31">
        <f t="shared" si="381"/>
        <v>0</v>
      </c>
      <c r="J1209" s="31">
        <f t="shared" si="381"/>
        <v>0</v>
      </c>
      <c r="K1209" s="33">
        <f t="shared" si="381"/>
        <v>0</v>
      </c>
      <c r="L1209" s="31">
        <f t="shared" si="381"/>
        <v>0</v>
      </c>
      <c r="M1209" s="31">
        <f t="shared" si="381"/>
        <v>390</v>
      </c>
      <c r="N1209" s="31">
        <f t="shared" si="381"/>
        <v>1888179.31</v>
      </c>
      <c r="O1209" s="31">
        <f t="shared" si="381"/>
        <v>0</v>
      </c>
      <c r="P1209" s="31">
        <f t="shared" si="381"/>
        <v>0</v>
      </c>
      <c r="Q1209" s="31">
        <f t="shared" si="381"/>
        <v>0</v>
      </c>
      <c r="R1209" s="31">
        <f t="shared" si="381"/>
        <v>0</v>
      </c>
      <c r="S1209" s="31">
        <f t="shared" si="381"/>
        <v>0</v>
      </c>
      <c r="T1209" s="31">
        <f t="shared" si="381"/>
        <v>0</v>
      </c>
      <c r="U1209" s="31">
        <f t="shared" si="381"/>
        <v>0</v>
      </c>
      <c r="V1209" s="31">
        <f t="shared" si="381"/>
        <v>0</v>
      </c>
      <c r="W1209" s="31">
        <f t="shared" si="381"/>
        <v>0</v>
      </c>
      <c r="X1209" s="31">
        <f t="shared" si="381"/>
        <v>0</v>
      </c>
      <c r="Y1209" s="31">
        <f t="shared" si="381"/>
        <v>0</v>
      </c>
      <c r="Z1209" s="31">
        <f t="shared" si="381"/>
        <v>0</v>
      </c>
      <c r="AA1209" s="31">
        <f t="shared" si="381"/>
        <v>0</v>
      </c>
      <c r="AB1209" s="31">
        <f t="shared" si="381"/>
        <v>0</v>
      </c>
      <c r="AC1209" s="31">
        <f t="shared" si="381"/>
        <v>28322.69</v>
      </c>
      <c r="AD1209" s="31">
        <f t="shared" si="381"/>
        <v>120000</v>
      </c>
      <c r="AE1209" s="31">
        <f t="shared" si="381"/>
        <v>0</v>
      </c>
      <c r="AF1209" s="247" t="s">
        <v>757</v>
      </c>
      <c r="AG1209" s="247" t="s">
        <v>757</v>
      </c>
      <c r="AH1209" s="248" t="s">
        <v>757</v>
      </c>
      <c r="AT1209" s="20" t="e">
        <f t="shared" si="369"/>
        <v>#N/A</v>
      </c>
      <c r="BZ1209" s="71">
        <v>2036502</v>
      </c>
    </row>
    <row r="1210" spans="1:78" ht="61.5" x14ac:dyDescent="0.85">
      <c r="A1210" s="20">
        <v>1</v>
      </c>
      <c r="B1210" s="66">
        <f>SUBTOTAL(103,$A$1006:A1210)</f>
        <v>174</v>
      </c>
      <c r="C1210" s="122" t="s">
        <v>87</v>
      </c>
      <c r="D1210" s="31">
        <f t="shared" ref="D1210" si="382">E1210+F1210+G1210+H1210+I1210+J1210+L1210+N1210+P1210+R1210+T1210+U1210+V1210+W1210+X1210+Y1210+Z1210+AA1210+AB1210+AC1210+AD1210+AE1210</f>
        <v>2036502</v>
      </c>
      <c r="E1210" s="31">
        <v>0</v>
      </c>
      <c r="F1210" s="31">
        <v>0</v>
      </c>
      <c r="G1210" s="31">
        <v>0</v>
      </c>
      <c r="H1210" s="31">
        <v>0</v>
      </c>
      <c r="I1210" s="31">
        <v>0</v>
      </c>
      <c r="J1210" s="31">
        <v>0</v>
      </c>
      <c r="K1210" s="33">
        <v>0</v>
      </c>
      <c r="L1210" s="31">
        <v>0</v>
      </c>
      <c r="M1210" s="31">
        <v>390</v>
      </c>
      <c r="N1210" s="31">
        <v>1888179.31</v>
      </c>
      <c r="O1210" s="31">
        <v>0</v>
      </c>
      <c r="P1210" s="31">
        <v>0</v>
      </c>
      <c r="Q1210" s="31">
        <v>0</v>
      </c>
      <c r="R1210" s="31">
        <v>0</v>
      </c>
      <c r="S1210" s="31">
        <v>0</v>
      </c>
      <c r="T1210" s="31">
        <v>0</v>
      </c>
      <c r="U1210" s="31">
        <v>0</v>
      </c>
      <c r="V1210" s="31">
        <v>0</v>
      </c>
      <c r="W1210" s="31">
        <v>0</v>
      </c>
      <c r="X1210" s="31">
        <v>0</v>
      </c>
      <c r="Y1210" s="31">
        <v>0</v>
      </c>
      <c r="Z1210" s="31">
        <v>0</v>
      </c>
      <c r="AA1210" s="31">
        <v>0</v>
      </c>
      <c r="AB1210" s="31">
        <v>0</v>
      </c>
      <c r="AC1210" s="31">
        <f>ROUND(N1210*1.5%,2)</f>
        <v>28322.69</v>
      </c>
      <c r="AD1210" s="31">
        <v>120000</v>
      </c>
      <c r="AE1210" s="31">
        <v>0</v>
      </c>
      <c r="AF1210" s="34">
        <v>2022</v>
      </c>
      <c r="AG1210" s="34">
        <v>2022</v>
      </c>
      <c r="AH1210" s="35">
        <v>2022</v>
      </c>
      <c r="AT1210" s="20" t="e">
        <f t="shared" si="369"/>
        <v>#N/A</v>
      </c>
      <c r="BZ1210" s="71"/>
    </row>
    <row r="1211" spans="1:78" ht="61.5" x14ac:dyDescent="0.85">
      <c r="B1211" s="24" t="s">
        <v>846</v>
      </c>
      <c r="C1211" s="108"/>
      <c r="D1211" s="195">
        <f>D1212</f>
        <v>3592598.4</v>
      </c>
      <c r="E1211" s="31">
        <f t="shared" ref="E1211:AE1211" si="383">E1212</f>
        <v>0</v>
      </c>
      <c r="F1211" s="31">
        <f t="shared" si="383"/>
        <v>0</v>
      </c>
      <c r="G1211" s="31">
        <f t="shared" si="383"/>
        <v>0</v>
      </c>
      <c r="H1211" s="31">
        <f t="shared" si="383"/>
        <v>0</v>
      </c>
      <c r="I1211" s="31">
        <f t="shared" si="383"/>
        <v>0</v>
      </c>
      <c r="J1211" s="31">
        <f t="shared" si="383"/>
        <v>0</v>
      </c>
      <c r="K1211" s="33">
        <f t="shared" si="383"/>
        <v>0</v>
      </c>
      <c r="L1211" s="31">
        <f t="shared" si="383"/>
        <v>0</v>
      </c>
      <c r="M1211" s="31">
        <f t="shared" si="383"/>
        <v>688</v>
      </c>
      <c r="N1211" s="31">
        <f t="shared" si="383"/>
        <v>3391722.56</v>
      </c>
      <c r="O1211" s="31">
        <f t="shared" si="383"/>
        <v>0</v>
      </c>
      <c r="P1211" s="31">
        <f t="shared" si="383"/>
        <v>0</v>
      </c>
      <c r="Q1211" s="31">
        <f t="shared" si="383"/>
        <v>0</v>
      </c>
      <c r="R1211" s="31">
        <f t="shared" si="383"/>
        <v>0</v>
      </c>
      <c r="S1211" s="31">
        <f t="shared" si="383"/>
        <v>0</v>
      </c>
      <c r="T1211" s="31">
        <f t="shared" si="383"/>
        <v>0</v>
      </c>
      <c r="U1211" s="31">
        <f t="shared" si="383"/>
        <v>0</v>
      </c>
      <c r="V1211" s="31">
        <f t="shared" si="383"/>
        <v>0</v>
      </c>
      <c r="W1211" s="31">
        <f t="shared" si="383"/>
        <v>0</v>
      </c>
      <c r="X1211" s="31">
        <f t="shared" si="383"/>
        <v>0</v>
      </c>
      <c r="Y1211" s="31">
        <f t="shared" si="383"/>
        <v>0</v>
      </c>
      <c r="Z1211" s="31">
        <f t="shared" si="383"/>
        <v>0</v>
      </c>
      <c r="AA1211" s="31">
        <f t="shared" si="383"/>
        <v>0</v>
      </c>
      <c r="AB1211" s="31">
        <f t="shared" si="383"/>
        <v>0</v>
      </c>
      <c r="AC1211" s="31">
        <f t="shared" si="383"/>
        <v>50875.839999999997</v>
      </c>
      <c r="AD1211" s="31">
        <f t="shared" si="383"/>
        <v>150000</v>
      </c>
      <c r="AE1211" s="31">
        <f t="shared" si="383"/>
        <v>0</v>
      </c>
      <c r="AF1211" s="247" t="s">
        <v>757</v>
      </c>
      <c r="AG1211" s="247" t="s">
        <v>757</v>
      </c>
      <c r="AH1211" s="248" t="s">
        <v>757</v>
      </c>
      <c r="AT1211" s="20" t="e">
        <f t="shared" si="369"/>
        <v>#N/A</v>
      </c>
      <c r="BZ1211" s="71">
        <v>3592598.4</v>
      </c>
    </row>
    <row r="1212" spans="1:78" ht="61.5" x14ac:dyDescent="0.85">
      <c r="A1212" s="20">
        <v>1</v>
      </c>
      <c r="B1212" s="66">
        <f>SUBTOTAL(103,$A$1006:A1212)</f>
        <v>175</v>
      </c>
      <c r="C1212" s="122" t="s">
        <v>108</v>
      </c>
      <c r="D1212" s="31">
        <f t="shared" ref="D1212" si="384">E1212+F1212+G1212+H1212+I1212+J1212+L1212+N1212+P1212+R1212+T1212+U1212+V1212+W1212+X1212+Y1212+Z1212+AA1212+AB1212+AC1212+AD1212+AE1212</f>
        <v>3592598.4</v>
      </c>
      <c r="E1212" s="31">
        <v>0</v>
      </c>
      <c r="F1212" s="31">
        <v>0</v>
      </c>
      <c r="G1212" s="31">
        <v>0</v>
      </c>
      <c r="H1212" s="31">
        <v>0</v>
      </c>
      <c r="I1212" s="31">
        <v>0</v>
      </c>
      <c r="J1212" s="31">
        <v>0</v>
      </c>
      <c r="K1212" s="33">
        <v>0</v>
      </c>
      <c r="L1212" s="31">
        <v>0</v>
      </c>
      <c r="M1212" s="31">
        <v>688</v>
      </c>
      <c r="N1212" s="31">
        <v>3391722.56</v>
      </c>
      <c r="O1212" s="31">
        <v>0</v>
      </c>
      <c r="P1212" s="31">
        <v>0</v>
      </c>
      <c r="Q1212" s="31">
        <v>0</v>
      </c>
      <c r="R1212" s="31">
        <v>0</v>
      </c>
      <c r="S1212" s="31">
        <v>0</v>
      </c>
      <c r="T1212" s="31">
        <v>0</v>
      </c>
      <c r="U1212" s="31">
        <v>0</v>
      </c>
      <c r="V1212" s="31">
        <v>0</v>
      </c>
      <c r="W1212" s="31">
        <v>0</v>
      </c>
      <c r="X1212" s="31">
        <v>0</v>
      </c>
      <c r="Y1212" s="31">
        <v>0</v>
      </c>
      <c r="Z1212" s="31">
        <v>0</v>
      </c>
      <c r="AA1212" s="31">
        <v>0</v>
      </c>
      <c r="AB1212" s="31">
        <v>0</v>
      </c>
      <c r="AC1212" s="31">
        <f>ROUND(N1212*1.5%,2)</f>
        <v>50875.839999999997</v>
      </c>
      <c r="AD1212" s="31">
        <v>150000</v>
      </c>
      <c r="AE1212" s="31">
        <v>0</v>
      </c>
      <c r="AF1212" s="34">
        <v>2022</v>
      </c>
      <c r="AG1212" s="34">
        <v>2022</v>
      </c>
      <c r="AH1212" s="35">
        <v>2022</v>
      </c>
      <c r="AT1212" s="20" t="e">
        <f t="shared" si="369"/>
        <v>#N/A</v>
      </c>
      <c r="BZ1212" s="71"/>
    </row>
    <row r="1213" spans="1:78" ht="61.5" x14ac:dyDescent="0.85">
      <c r="B1213" s="24" t="s">
        <v>881</v>
      </c>
      <c r="C1213" s="24"/>
      <c r="D1213" s="195">
        <f>D1214</f>
        <v>4454195.3999999994</v>
      </c>
      <c r="E1213" s="31">
        <f t="shared" ref="E1213:AE1213" si="385">E1214</f>
        <v>0</v>
      </c>
      <c r="F1213" s="31">
        <f t="shared" si="385"/>
        <v>0</v>
      </c>
      <c r="G1213" s="31">
        <f t="shared" si="385"/>
        <v>0</v>
      </c>
      <c r="H1213" s="31">
        <f t="shared" si="385"/>
        <v>0</v>
      </c>
      <c r="I1213" s="31">
        <f t="shared" si="385"/>
        <v>0</v>
      </c>
      <c r="J1213" s="31">
        <f t="shared" si="385"/>
        <v>0</v>
      </c>
      <c r="K1213" s="33">
        <f t="shared" si="385"/>
        <v>0</v>
      </c>
      <c r="L1213" s="31">
        <f t="shared" si="385"/>
        <v>0</v>
      </c>
      <c r="M1213" s="31">
        <f t="shared" si="385"/>
        <v>853</v>
      </c>
      <c r="N1213" s="31">
        <f t="shared" si="385"/>
        <v>4240586.5999999996</v>
      </c>
      <c r="O1213" s="31">
        <f t="shared" si="385"/>
        <v>0</v>
      </c>
      <c r="P1213" s="31">
        <f t="shared" si="385"/>
        <v>0</v>
      </c>
      <c r="Q1213" s="31">
        <f t="shared" si="385"/>
        <v>0</v>
      </c>
      <c r="R1213" s="31">
        <f t="shared" si="385"/>
        <v>0</v>
      </c>
      <c r="S1213" s="31">
        <f t="shared" si="385"/>
        <v>0</v>
      </c>
      <c r="T1213" s="31">
        <f t="shared" si="385"/>
        <v>0</v>
      </c>
      <c r="U1213" s="31">
        <f t="shared" si="385"/>
        <v>0</v>
      </c>
      <c r="V1213" s="31">
        <f t="shared" si="385"/>
        <v>0</v>
      </c>
      <c r="W1213" s="31">
        <f t="shared" si="385"/>
        <v>0</v>
      </c>
      <c r="X1213" s="31">
        <f t="shared" si="385"/>
        <v>0</v>
      </c>
      <c r="Y1213" s="31">
        <f t="shared" si="385"/>
        <v>0</v>
      </c>
      <c r="Z1213" s="31">
        <f t="shared" si="385"/>
        <v>0</v>
      </c>
      <c r="AA1213" s="31">
        <f t="shared" si="385"/>
        <v>0</v>
      </c>
      <c r="AB1213" s="31">
        <f t="shared" si="385"/>
        <v>0</v>
      </c>
      <c r="AC1213" s="31">
        <f t="shared" si="385"/>
        <v>63608.800000000003</v>
      </c>
      <c r="AD1213" s="31">
        <f t="shared" si="385"/>
        <v>150000</v>
      </c>
      <c r="AE1213" s="31">
        <f t="shared" si="385"/>
        <v>0</v>
      </c>
      <c r="AF1213" s="247" t="s">
        <v>757</v>
      </c>
      <c r="AG1213" s="247" t="s">
        <v>757</v>
      </c>
      <c r="AH1213" s="248" t="s">
        <v>757</v>
      </c>
      <c r="AT1213" s="20" t="e">
        <f t="shared" si="369"/>
        <v>#N/A</v>
      </c>
      <c r="BZ1213" s="71">
        <v>4454195.3999999994</v>
      </c>
    </row>
    <row r="1214" spans="1:78" ht="61.5" x14ac:dyDescent="0.85">
      <c r="A1214" s="20">
        <v>1</v>
      </c>
      <c r="B1214" s="66">
        <f>SUBTOTAL(103,$A$1006:A1214)</f>
        <v>176</v>
      </c>
      <c r="C1214" s="122" t="s">
        <v>110</v>
      </c>
      <c r="D1214" s="31">
        <f t="shared" ref="D1214" si="386">E1214+F1214+G1214+H1214+I1214+J1214+L1214+N1214+P1214+R1214+T1214+U1214+V1214+W1214+X1214+Y1214+Z1214+AA1214+AB1214+AC1214+AD1214+AE1214</f>
        <v>4454195.3999999994</v>
      </c>
      <c r="E1214" s="31">
        <v>0</v>
      </c>
      <c r="F1214" s="31">
        <v>0</v>
      </c>
      <c r="G1214" s="31">
        <v>0</v>
      </c>
      <c r="H1214" s="31">
        <v>0</v>
      </c>
      <c r="I1214" s="31">
        <v>0</v>
      </c>
      <c r="J1214" s="31">
        <v>0</v>
      </c>
      <c r="K1214" s="33">
        <v>0</v>
      </c>
      <c r="L1214" s="31">
        <v>0</v>
      </c>
      <c r="M1214" s="31">
        <v>853</v>
      </c>
      <c r="N1214" s="31">
        <v>4240586.5999999996</v>
      </c>
      <c r="O1214" s="31">
        <v>0</v>
      </c>
      <c r="P1214" s="31">
        <v>0</v>
      </c>
      <c r="Q1214" s="31">
        <v>0</v>
      </c>
      <c r="R1214" s="31">
        <v>0</v>
      </c>
      <c r="S1214" s="31">
        <v>0</v>
      </c>
      <c r="T1214" s="31">
        <v>0</v>
      </c>
      <c r="U1214" s="31">
        <v>0</v>
      </c>
      <c r="V1214" s="31">
        <v>0</v>
      </c>
      <c r="W1214" s="31">
        <v>0</v>
      </c>
      <c r="X1214" s="31">
        <v>0</v>
      </c>
      <c r="Y1214" s="31">
        <v>0</v>
      </c>
      <c r="Z1214" s="31">
        <v>0</v>
      </c>
      <c r="AA1214" s="31">
        <v>0</v>
      </c>
      <c r="AB1214" s="31">
        <v>0</v>
      </c>
      <c r="AC1214" s="31">
        <f>ROUND(N1214*1.5%,2)</f>
        <v>63608.800000000003</v>
      </c>
      <c r="AD1214" s="31">
        <v>150000</v>
      </c>
      <c r="AE1214" s="31">
        <v>0</v>
      </c>
      <c r="AF1214" s="34">
        <v>2022</v>
      </c>
      <c r="AG1214" s="34">
        <v>2022</v>
      </c>
      <c r="AH1214" s="35">
        <v>2022</v>
      </c>
      <c r="AT1214" s="20" t="e">
        <f t="shared" si="369"/>
        <v>#N/A</v>
      </c>
      <c r="BZ1214" s="71"/>
    </row>
    <row r="1215" spans="1:78" ht="61.5" x14ac:dyDescent="0.85">
      <c r="B1215" s="24" t="s">
        <v>895</v>
      </c>
      <c r="C1215" s="108"/>
      <c r="D1215" s="195">
        <f>D1216</f>
        <v>5304624.57</v>
      </c>
      <c r="E1215" s="31">
        <f t="shared" ref="E1215:AE1215" si="387">E1216</f>
        <v>0</v>
      </c>
      <c r="F1215" s="31">
        <f t="shared" si="387"/>
        <v>0</v>
      </c>
      <c r="G1215" s="31">
        <f t="shared" si="387"/>
        <v>0</v>
      </c>
      <c r="H1215" s="31">
        <f t="shared" si="387"/>
        <v>0</v>
      </c>
      <c r="I1215" s="31">
        <f t="shared" si="387"/>
        <v>0</v>
      </c>
      <c r="J1215" s="31">
        <f t="shared" si="387"/>
        <v>0</v>
      </c>
      <c r="K1215" s="33">
        <f t="shared" si="387"/>
        <v>0</v>
      </c>
      <c r="L1215" s="31">
        <f t="shared" si="387"/>
        <v>0</v>
      </c>
      <c r="M1215" s="31">
        <f t="shared" si="387"/>
        <v>926.83</v>
      </c>
      <c r="N1215" s="31">
        <f t="shared" si="387"/>
        <v>5078447.8500000006</v>
      </c>
      <c r="O1215" s="31">
        <f t="shared" si="387"/>
        <v>0</v>
      </c>
      <c r="P1215" s="31">
        <f t="shared" si="387"/>
        <v>0</v>
      </c>
      <c r="Q1215" s="31">
        <f t="shared" si="387"/>
        <v>0</v>
      </c>
      <c r="R1215" s="31">
        <f t="shared" si="387"/>
        <v>0</v>
      </c>
      <c r="S1215" s="31">
        <f t="shared" si="387"/>
        <v>0</v>
      </c>
      <c r="T1215" s="31">
        <f t="shared" si="387"/>
        <v>0</v>
      </c>
      <c r="U1215" s="31">
        <f t="shared" si="387"/>
        <v>0</v>
      </c>
      <c r="V1215" s="31">
        <f t="shared" si="387"/>
        <v>0</v>
      </c>
      <c r="W1215" s="31">
        <f t="shared" si="387"/>
        <v>0</v>
      </c>
      <c r="X1215" s="31">
        <f t="shared" si="387"/>
        <v>0</v>
      </c>
      <c r="Y1215" s="31">
        <f t="shared" si="387"/>
        <v>0</v>
      </c>
      <c r="Z1215" s="31">
        <f t="shared" si="387"/>
        <v>0</v>
      </c>
      <c r="AA1215" s="31">
        <f t="shared" si="387"/>
        <v>0</v>
      </c>
      <c r="AB1215" s="31">
        <f t="shared" si="387"/>
        <v>0</v>
      </c>
      <c r="AC1215" s="31">
        <f t="shared" si="387"/>
        <v>76176.72</v>
      </c>
      <c r="AD1215" s="31">
        <f t="shared" si="387"/>
        <v>150000</v>
      </c>
      <c r="AE1215" s="31">
        <f t="shared" si="387"/>
        <v>0</v>
      </c>
      <c r="AF1215" s="247" t="s">
        <v>757</v>
      </c>
      <c r="AG1215" s="247" t="s">
        <v>757</v>
      </c>
      <c r="AH1215" s="248" t="s">
        <v>757</v>
      </c>
      <c r="AT1215" s="20" t="e">
        <f t="shared" si="369"/>
        <v>#N/A</v>
      </c>
      <c r="BZ1215" s="71">
        <v>4839701.7600000007</v>
      </c>
    </row>
    <row r="1216" spans="1:78" ht="61.5" x14ac:dyDescent="0.85">
      <c r="A1216" s="20">
        <v>1</v>
      </c>
      <c r="B1216" s="66">
        <f>SUBTOTAL(103,$A$1006:A1216)</f>
        <v>177</v>
      </c>
      <c r="C1216" s="122" t="s">
        <v>211</v>
      </c>
      <c r="D1216" s="31">
        <f t="shared" ref="D1216" si="388">E1216+F1216+G1216+H1216+I1216+J1216+L1216+N1216+P1216+R1216+T1216+U1216+V1216+W1216+X1216+Y1216+Z1216+AA1216+AB1216+AC1216+AD1216+AE1216</f>
        <v>5304624.57</v>
      </c>
      <c r="E1216" s="31">
        <v>0</v>
      </c>
      <c r="F1216" s="31">
        <v>0</v>
      </c>
      <c r="G1216" s="31">
        <v>0</v>
      </c>
      <c r="H1216" s="31">
        <v>0</v>
      </c>
      <c r="I1216" s="31">
        <v>0</v>
      </c>
      <c r="J1216" s="31">
        <v>0</v>
      </c>
      <c r="K1216" s="33">
        <v>0</v>
      </c>
      <c r="L1216" s="31">
        <v>0</v>
      </c>
      <c r="M1216" s="31">
        <v>926.83</v>
      </c>
      <c r="N1216" s="31">
        <f>4620395.82+ROUND(464922.81/101.5*100,2)</f>
        <v>5078447.8500000006</v>
      </c>
      <c r="O1216" s="31">
        <v>0</v>
      </c>
      <c r="P1216" s="31">
        <v>0</v>
      </c>
      <c r="Q1216" s="31">
        <v>0</v>
      </c>
      <c r="R1216" s="31">
        <v>0</v>
      </c>
      <c r="S1216" s="31">
        <v>0</v>
      </c>
      <c r="T1216" s="31">
        <v>0</v>
      </c>
      <c r="U1216" s="31">
        <v>0</v>
      </c>
      <c r="V1216" s="31">
        <v>0</v>
      </c>
      <c r="W1216" s="31">
        <v>0</v>
      </c>
      <c r="X1216" s="31">
        <v>0</v>
      </c>
      <c r="Y1216" s="31">
        <v>0</v>
      </c>
      <c r="Z1216" s="31">
        <v>0</v>
      </c>
      <c r="AA1216" s="31">
        <v>0</v>
      </c>
      <c r="AB1216" s="31">
        <v>0</v>
      </c>
      <c r="AC1216" s="31">
        <f>ROUND(N1216*1.5%,2)</f>
        <v>76176.72</v>
      </c>
      <c r="AD1216" s="31">
        <v>150000</v>
      </c>
      <c r="AE1216" s="31">
        <v>0</v>
      </c>
      <c r="AF1216" s="34">
        <v>2022</v>
      </c>
      <c r="AG1216" s="34">
        <v>2022</v>
      </c>
      <c r="AH1216" s="35">
        <v>2022</v>
      </c>
      <c r="AT1216" s="20" t="e">
        <f t="shared" si="369"/>
        <v>#N/A</v>
      </c>
      <c r="BZ1216" s="71"/>
    </row>
    <row r="1217" spans="1:78" ht="61.5" x14ac:dyDescent="0.85">
      <c r="B1217" s="24" t="s">
        <v>847</v>
      </c>
      <c r="C1217" s="108"/>
      <c r="D1217" s="195">
        <f>D1218</f>
        <v>3231458.3</v>
      </c>
      <c r="E1217" s="31">
        <f t="shared" ref="E1217:AE1217" si="389">E1218</f>
        <v>0</v>
      </c>
      <c r="F1217" s="31">
        <f t="shared" si="389"/>
        <v>0</v>
      </c>
      <c r="G1217" s="31">
        <f t="shared" si="389"/>
        <v>0</v>
      </c>
      <c r="H1217" s="31">
        <f t="shared" si="389"/>
        <v>0</v>
      </c>
      <c r="I1217" s="31">
        <f t="shared" si="389"/>
        <v>0</v>
      </c>
      <c r="J1217" s="31">
        <f t="shared" si="389"/>
        <v>0</v>
      </c>
      <c r="K1217" s="33">
        <f t="shared" si="389"/>
        <v>0</v>
      </c>
      <c r="L1217" s="31">
        <f t="shared" si="389"/>
        <v>0</v>
      </c>
      <c r="M1217" s="31">
        <f t="shared" si="389"/>
        <v>0</v>
      </c>
      <c r="N1217" s="31">
        <f t="shared" si="389"/>
        <v>0</v>
      </c>
      <c r="O1217" s="31">
        <f t="shared" si="389"/>
        <v>0</v>
      </c>
      <c r="P1217" s="31">
        <f t="shared" si="389"/>
        <v>0</v>
      </c>
      <c r="Q1217" s="31">
        <f t="shared" si="389"/>
        <v>670.8</v>
      </c>
      <c r="R1217" s="31">
        <f t="shared" si="389"/>
        <v>3035919.51</v>
      </c>
      <c r="S1217" s="31">
        <f t="shared" si="389"/>
        <v>0</v>
      </c>
      <c r="T1217" s="31">
        <f t="shared" si="389"/>
        <v>0</v>
      </c>
      <c r="U1217" s="31">
        <f t="shared" si="389"/>
        <v>0</v>
      </c>
      <c r="V1217" s="31">
        <f t="shared" si="389"/>
        <v>0</v>
      </c>
      <c r="W1217" s="31">
        <f t="shared" si="389"/>
        <v>0</v>
      </c>
      <c r="X1217" s="31">
        <f t="shared" si="389"/>
        <v>0</v>
      </c>
      <c r="Y1217" s="31">
        <f t="shared" si="389"/>
        <v>0</v>
      </c>
      <c r="Z1217" s="31">
        <f t="shared" si="389"/>
        <v>0</v>
      </c>
      <c r="AA1217" s="31">
        <f t="shared" si="389"/>
        <v>0</v>
      </c>
      <c r="AB1217" s="31">
        <f t="shared" si="389"/>
        <v>0</v>
      </c>
      <c r="AC1217" s="31">
        <f t="shared" si="389"/>
        <v>45538.79</v>
      </c>
      <c r="AD1217" s="31">
        <f t="shared" si="389"/>
        <v>150000</v>
      </c>
      <c r="AE1217" s="31">
        <f t="shared" si="389"/>
        <v>0</v>
      </c>
      <c r="AF1217" s="247" t="s">
        <v>757</v>
      </c>
      <c r="AG1217" s="247" t="s">
        <v>757</v>
      </c>
      <c r="AH1217" s="248" t="s">
        <v>757</v>
      </c>
      <c r="AT1217" s="20" t="e">
        <f t="shared" si="369"/>
        <v>#N/A</v>
      </c>
      <c r="BZ1217" s="71">
        <v>3231458.3</v>
      </c>
    </row>
    <row r="1218" spans="1:78" ht="61.5" x14ac:dyDescent="0.85">
      <c r="A1218" s="20">
        <v>1</v>
      </c>
      <c r="B1218" s="66">
        <f>SUBTOTAL(103,$A$1006:A1218)</f>
        <v>178</v>
      </c>
      <c r="C1218" s="122" t="s">
        <v>66</v>
      </c>
      <c r="D1218" s="31">
        <f t="shared" ref="D1218" si="390">E1218+F1218+G1218+H1218+I1218+J1218+L1218+N1218+P1218+R1218+T1218+U1218+V1218+W1218+X1218+Y1218+Z1218+AA1218+AB1218+AC1218+AD1218+AE1218</f>
        <v>3231458.3</v>
      </c>
      <c r="E1218" s="31">
        <v>0</v>
      </c>
      <c r="F1218" s="31">
        <v>0</v>
      </c>
      <c r="G1218" s="31">
        <v>0</v>
      </c>
      <c r="H1218" s="31">
        <v>0</v>
      </c>
      <c r="I1218" s="31">
        <v>0</v>
      </c>
      <c r="J1218" s="31">
        <v>0</v>
      </c>
      <c r="K1218" s="33">
        <v>0</v>
      </c>
      <c r="L1218" s="31">
        <v>0</v>
      </c>
      <c r="M1218" s="31">
        <v>0</v>
      </c>
      <c r="N1218" s="31">
        <v>0</v>
      </c>
      <c r="O1218" s="31">
        <v>0</v>
      </c>
      <c r="P1218" s="31">
        <v>0</v>
      </c>
      <c r="Q1218" s="31">
        <v>670.8</v>
      </c>
      <c r="R1218" s="31">
        <v>3035919.51</v>
      </c>
      <c r="S1218" s="31">
        <v>0</v>
      </c>
      <c r="T1218" s="31">
        <v>0</v>
      </c>
      <c r="U1218" s="31">
        <v>0</v>
      </c>
      <c r="V1218" s="31">
        <v>0</v>
      </c>
      <c r="W1218" s="31">
        <v>0</v>
      </c>
      <c r="X1218" s="31">
        <v>0</v>
      </c>
      <c r="Y1218" s="31">
        <v>0</v>
      </c>
      <c r="Z1218" s="31">
        <v>0</v>
      </c>
      <c r="AA1218" s="31">
        <v>0</v>
      </c>
      <c r="AB1218" s="31">
        <v>0</v>
      </c>
      <c r="AC1218" s="31">
        <f>ROUND(R1218*1.5%,2)</f>
        <v>45538.79</v>
      </c>
      <c r="AD1218" s="31">
        <v>150000</v>
      </c>
      <c r="AE1218" s="31">
        <v>0</v>
      </c>
      <c r="AF1218" s="34">
        <v>2022</v>
      </c>
      <c r="AG1218" s="34">
        <v>2022</v>
      </c>
      <c r="AH1218" s="35">
        <v>2022</v>
      </c>
      <c r="AT1218" s="20" t="e">
        <f t="shared" si="369"/>
        <v>#N/A</v>
      </c>
      <c r="BZ1218" s="71"/>
    </row>
    <row r="1219" spans="1:78" ht="61.5" x14ac:dyDescent="0.85">
      <c r="B1219" s="24" t="s">
        <v>849</v>
      </c>
      <c r="C1219" s="24"/>
      <c r="D1219" s="195">
        <f>D1220+D1221+D1222</f>
        <v>16849360.93</v>
      </c>
      <c r="E1219" s="31">
        <f t="shared" ref="E1219:AE1219" si="391">E1220+E1221+E1222</f>
        <v>451170.83</v>
      </c>
      <c r="F1219" s="31">
        <f t="shared" si="391"/>
        <v>885201.84</v>
      </c>
      <c r="G1219" s="31">
        <f t="shared" si="391"/>
        <v>1880858.0000000002</v>
      </c>
      <c r="H1219" s="31">
        <f t="shared" si="391"/>
        <v>667182.5</v>
      </c>
      <c r="I1219" s="31">
        <f t="shared" si="391"/>
        <v>0</v>
      </c>
      <c r="J1219" s="31">
        <f t="shared" si="391"/>
        <v>0</v>
      </c>
      <c r="K1219" s="33">
        <f t="shared" si="391"/>
        <v>0</v>
      </c>
      <c r="L1219" s="31">
        <f t="shared" si="391"/>
        <v>0</v>
      </c>
      <c r="M1219" s="31">
        <f t="shared" si="391"/>
        <v>2286.5</v>
      </c>
      <c r="N1219" s="31">
        <f t="shared" si="391"/>
        <v>12065696.120000001</v>
      </c>
      <c r="O1219" s="31">
        <f t="shared" si="391"/>
        <v>0</v>
      </c>
      <c r="P1219" s="31">
        <f t="shared" si="391"/>
        <v>0</v>
      </c>
      <c r="Q1219" s="31">
        <f t="shared" si="391"/>
        <v>0</v>
      </c>
      <c r="R1219" s="31">
        <f t="shared" si="391"/>
        <v>0</v>
      </c>
      <c r="S1219" s="31">
        <f t="shared" si="391"/>
        <v>0</v>
      </c>
      <c r="T1219" s="31">
        <f t="shared" si="391"/>
        <v>0</v>
      </c>
      <c r="U1219" s="31">
        <f t="shared" si="391"/>
        <v>0</v>
      </c>
      <c r="V1219" s="31">
        <f t="shared" si="391"/>
        <v>0</v>
      </c>
      <c r="W1219" s="31">
        <f t="shared" si="391"/>
        <v>0</v>
      </c>
      <c r="X1219" s="31">
        <f t="shared" si="391"/>
        <v>0</v>
      </c>
      <c r="Y1219" s="31">
        <f t="shared" si="391"/>
        <v>0</v>
      </c>
      <c r="Z1219" s="31">
        <f t="shared" si="391"/>
        <v>0</v>
      </c>
      <c r="AA1219" s="31">
        <f t="shared" si="391"/>
        <v>0</v>
      </c>
      <c r="AB1219" s="31">
        <f t="shared" si="391"/>
        <v>0</v>
      </c>
      <c r="AC1219" s="31">
        <f t="shared" si="391"/>
        <v>239251.64</v>
      </c>
      <c r="AD1219" s="31">
        <f t="shared" si="391"/>
        <v>660000</v>
      </c>
      <c r="AE1219" s="31">
        <f t="shared" si="391"/>
        <v>0</v>
      </c>
      <c r="AF1219" s="247" t="s">
        <v>757</v>
      </c>
      <c r="AG1219" s="247" t="s">
        <v>757</v>
      </c>
      <c r="AH1219" s="248" t="s">
        <v>757</v>
      </c>
      <c r="AT1219" s="20" t="e">
        <f t="shared" si="369"/>
        <v>#N/A</v>
      </c>
      <c r="BZ1219" s="71">
        <v>16849360.93</v>
      </c>
    </row>
    <row r="1220" spans="1:78" ht="61.5" x14ac:dyDescent="0.85">
      <c r="A1220" s="20">
        <v>1</v>
      </c>
      <c r="B1220" s="66">
        <f>SUBTOTAL(103,$A$1006:A1220)</f>
        <v>179</v>
      </c>
      <c r="C1220" s="122" t="s">
        <v>69</v>
      </c>
      <c r="D1220" s="31">
        <f t="shared" ref="D1220:D1222" si="392">E1220+F1220+G1220+H1220+I1220+J1220+L1220+N1220+P1220+R1220+T1220+U1220+V1220+W1220+X1220+Y1220+Z1220+AA1220+AB1220+AC1220+AD1220+AE1220</f>
        <v>5782944.25</v>
      </c>
      <c r="E1220" s="31">
        <v>0</v>
      </c>
      <c r="F1220" s="31">
        <v>0</v>
      </c>
      <c r="G1220" s="31">
        <v>0</v>
      </c>
      <c r="H1220" s="31">
        <v>0</v>
      </c>
      <c r="I1220" s="31">
        <v>0</v>
      </c>
      <c r="J1220" s="31">
        <v>0</v>
      </c>
      <c r="K1220" s="33">
        <v>0</v>
      </c>
      <c r="L1220" s="31">
        <v>0</v>
      </c>
      <c r="M1220" s="31">
        <v>1047.5999999999999</v>
      </c>
      <c r="N1220" s="31">
        <v>5520142.1200000001</v>
      </c>
      <c r="O1220" s="31">
        <v>0</v>
      </c>
      <c r="P1220" s="31">
        <v>0</v>
      </c>
      <c r="Q1220" s="31">
        <v>0</v>
      </c>
      <c r="R1220" s="31">
        <v>0</v>
      </c>
      <c r="S1220" s="31">
        <v>0</v>
      </c>
      <c r="T1220" s="31">
        <v>0</v>
      </c>
      <c r="U1220" s="31">
        <v>0</v>
      </c>
      <c r="V1220" s="31">
        <v>0</v>
      </c>
      <c r="W1220" s="31">
        <v>0</v>
      </c>
      <c r="X1220" s="31">
        <v>0</v>
      </c>
      <c r="Y1220" s="31">
        <v>0</v>
      </c>
      <c r="Z1220" s="31">
        <v>0</v>
      </c>
      <c r="AA1220" s="31">
        <v>0</v>
      </c>
      <c r="AB1220" s="31">
        <v>0</v>
      </c>
      <c r="AC1220" s="31">
        <f>ROUND(N1220*1.5%,2)</f>
        <v>82802.13</v>
      </c>
      <c r="AD1220" s="31">
        <v>180000</v>
      </c>
      <c r="AE1220" s="31">
        <v>0</v>
      </c>
      <c r="AF1220" s="34">
        <v>2022</v>
      </c>
      <c r="AG1220" s="34">
        <v>2022</v>
      </c>
      <c r="AH1220" s="35">
        <v>2022</v>
      </c>
      <c r="AT1220" s="20" t="e">
        <f t="shared" si="369"/>
        <v>#N/A</v>
      </c>
      <c r="BZ1220" s="71"/>
    </row>
    <row r="1221" spans="1:78" ht="61.5" x14ac:dyDescent="0.85">
      <c r="A1221" s="20">
        <v>1</v>
      </c>
      <c r="B1221" s="66">
        <f>SUBTOTAL(103,$A$1006:A1221)</f>
        <v>180</v>
      </c>
      <c r="C1221" s="122" t="s">
        <v>68</v>
      </c>
      <c r="D1221" s="31">
        <f t="shared" si="392"/>
        <v>6823737.3099999996</v>
      </c>
      <c r="E1221" s="31">
        <v>0</v>
      </c>
      <c r="F1221" s="31">
        <v>0</v>
      </c>
      <c r="G1221" s="31">
        <v>0</v>
      </c>
      <c r="H1221" s="31">
        <v>0</v>
      </c>
      <c r="I1221" s="31">
        <v>0</v>
      </c>
      <c r="J1221" s="31">
        <v>0</v>
      </c>
      <c r="K1221" s="33">
        <v>0</v>
      </c>
      <c r="L1221" s="31">
        <v>0</v>
      </c>
      <c r="M1221" s="31">
        <v>1238.9000000000001</v>
      </c>
      <c r="N1221" s="31">
        <v>6545554</v>
      </c>
      <c r="O1221" s="31">
        <v>0</v>
      </c>
      <c r="P1221" s="31">
        <v>0</v>
      </c>
      <c r="Q1221" s="31">
        <v>0</v>
      </c>
      <c r="R1221" s="31">
        <v>0</v>
      </c>
      <c r="S1221" s="31">
        <v>0</v>
      </c>
      <c r="T1221" s="31">
        <v>0</v>
      </c>
      <c r="U1221" s="31">
        <v>0</v>
      </c>
      <c r="V1221" s="31">
        <v>0</v>
      </c>
      <c r="W1221" s="31">
        <v>0</v>
      </c>
      <c r="X1221" s="31">
        <v>0</v>
      </c>
      <c r="Y1221" s="31">
        <v>0</v>
      </c>
      <c r="Z1221" s="31">
        <v>0</v>
      </c>
      <c r="AA1221" s="31">
        <v>0</v>
      </c>
      <c r="AB1221" s="31">
        <v>0</v>
      </c>
      <c r="AC1221" s="31">
        <f>ROUND(N1221*1.5%,2)</f>
        <v>98183.31</v>
      </c>
      <c r="AD1221" s="31">
        <v>180000</v>
      </c>
      <c r="AE1221" s="31">
        <v>0</v>
      </c>
      <c r="AF1221" s="34">
        <v>2022</v>
      </c>
      <c r="AG1221" s="34">
        <v>2022</v>
      </c>
      <c r="AH1221" s="35">
        <v>2022</v>
      </c>
      <c r="AT1221" s="20" t="e">
        <f t="shared" si="369"/>
        <v>#N/A</v>
      </c>
      <c r="BZ1221" s="71"/>
    </row>
    <row r="1222" spans="1:78" ht="61.5" x14ac:dyDescent="0.85">
      <c r="A1222" s="20">
        <v>1</v>
      </c>
      <c r="B1222" s="66">
        <f>SUBTOTAL(103,$A$1006:A1222)</f>
        <v>181</v>
      </c>
      <c r="C1222" s="122" t="s">
        <v>67</v>
      </c>
      <c r="D1222" s="31">
        <f t="shared" si="392"/>
        <v>4242679.37</v>
      </c>
      <c r="E1222" s="31">
        <v>451170.83</v>
      </c>
      <c r="F1222" s="31">
        <v>885201.84</v>
      </c>
      <c r="G1222" s="31">
        <v>1880858.0000000002</v>
      </c>
      <c r="H1222" s="31">
        <v>667182.5</v>
      </c>
      <c r="I1222" s="31">
        <v>0</v>
      </c>
      <c r="J1222" s="31">
        <v>0</v>
      </c>
      <c r="K1222" s="33">
        <v>0</v>
      </c>
      <c r="L1222" s="31">
        <v>0</v>
      </c>
      <c r="M1222" s="31">
        <v>0</v>
      </c>
      <c r="N1222" s="31">
        <v>0</v>
      </c>
      <c r="O1222" s="31">
        <v>0</v>
      </c>
      <c r="P1222" s="31">
        <v>0</v>
      </c>
      <c r="Q1222" s="31">
        <v>0</v>
      </c>
      <c r="R1222" s="31">
        <v>0</v>
      </c>
      <c r="S1222" s="31">
        <v>0</v>
      </c>
      <c r="T1222" s="31">
        <v>0</v>
      </c>
      <c r="U1222" s="31">
        <v>0</v>
      </c>
      <c r="V1222" s="31">
        <v>0</v>
      </c>
      <c r="W1222" s="31">
        <v>0</v>
      </c>
      <c r="X1222" s="31">
        <v>0</v>
      </c>
      <c r="Y1222" s="31">
        <v>0</v>
      </c>
      <c r="Z1222" s="31">
        <v>0</v>
      </c>
      <c r="AA1222" s="31">
        <v>0</v>
      </c>
      <c r="AB1222" s="31">
        <v>0</v>
      </c>
      <c r="AC1222" s="31">
        <f>ROUND((E1222+F1222+G1222+H1222+I1222+J1222)*1.5%,2)</f>
        <v>58266.2</v>
      </c>
      <c r="AD1222" s="31">
        <v>300000</v>
      </c>
      <c r="AE1222" s="31">
        <v>0</v>
      </c>
      <c r="AF1222" s="34">
        <v>2022</v>
      </c>
      <c r="AG1222" s="34">
        <v>2022</v>
      </c>
      <c r="AH1222" s="35">
        <v>2022</v>
      </c>
      <c r="AT1222" s="20" t="e">
        <f t="shared" si="369"/>
        <v>#N/A</v>
      </c>
      <c r="BZ1222" s="71"/>
    </row>
    <row r="1223" spans="1:78" ht="61.5" x14ac:dyDescent="0.85">
      <c r="B1223" s="24" t="s">
        <v>850</v>
      </c>
      <c r="C1223" s="24"/>
      <c r="D1223" s="195">
        <f>D1224</f>
        <v>2872957.67</v>
      </c>
      <c r="E1223" s="31">
        <f t="shared" ref="E1223:AE1223" si="393">E1224</f>
        <v>0</v>
      </c>
      <c r="F1223" s="31">
        <f t="shared" si="393"/>
        <v>0</v>
      </c>
      <c r="G1223" s="31">
        <f t="shared" si="393"/>
        <v>0</v>
      </c>
      <c r="H1223" s="31">
        <f t="shared" si="393"/>
        <v>0</v>
      </c>
      <c r="I1223" s="31">
        <f t="shared" si="393"/>
        <v>0</v>
      </c>
      <c r="J1223" s="31">
        <f t="shared" si="393"/>
        <v>0</v>
      </c>
      <c r="K1223" s="33">
        <f t="shared" si="393"/>
        <v>0</v>
      </c>
      <c r="L1223" s="31">
        <f t="shared" si="393"/>
        <v>0</v>
      </c>
      <c r="M1223" s="31">
        <f t="shared" si="393"/>
        <v>0</v>
      </c>
      <c r="N1223" s="31">
        <f t="shared" si="393"/>
        <v>0</v>
      </c>
      <c r="O1223" s="31">
        <f t="shared" si="393"/>
        <v>0</v>
      </c>
      <c r="P1223" s="31">
        <f t="shared" si="393"/>
        <v>0</v>
      </c>
      <c r="Q1223" s="31">
        <f t="shared" si="393"/>
        <v>0</v>
      </c>
      <c r="R1223" s="31">
        <f t="shared" si="393"/>
        <v>0</v>
      </c>
      <c r="S1223" s="31">
        <f t="shared" si="393"/>
        <v>72.77</v>
      </c>
      <c r="T1223" s="31">
        <f t="shared" si="393"/>
        <v>2682716.92</v>
      </c>
      <c r="U1223" s="31">
        <f t="shared" si="393"/>
        <v>0</v>
      </c>
      <c r="V1223" s="31">
        <f t="shared" si="393"/>
        <v>0</v>
      </c>
      <c r="W1223" s="31">
        <f t="shared" si="393"/>
        <v>0</v>
      </c>
      <c r="X1223" s="31">
        <f t="shared" si="393"/>
        <v>0</v>
      </c>
      <c r="Y1223" s="31">
        <f t="shared" si="393"/>
        <v>0</v>
      </c>
      <c r="Z1223" s="31">
        <f t="shared" si="393"/>
        <v>0</v>
      </c>
      <c r="AA1223" s="31">
        <f t="shared" si="393"/>
        <v>0</v>
      </c>
      <c r="AB1223" s="31">
        <f t="shared" si="393"/>
        <v>0</v>
      </c>
      <c r="AC1223" s="31">
        <f t="shared" si="393"/>
        <v>40240.75</v>
      </c>
      <c r="AD1223" s="31">
        <f t="shared" si="393"/>
        <v>150000</v>
      </c>
      <c r="AE1223" s="31">
        <f t="shared" si="393"/>
        <v>0</v>
      </c>
      <c r="AF1223" s="247" t="s">
        <v>757</v>
      </c>
      <c r="AG1223" s="247" t="s">
        <v>757</v>
      </c>
      <c r="AH1223" s="248" t="s">
        <v>757</v>
      </c>
      <c r="AT1223" s="20" t="e">
        <f t="shared" si="369"/>
        <v>#N/A</v>
      </c>
      <c r="BZ1223" s="71">
        <v>3799734.79</v>
      </c>
    </row>
    <row r="1224" spans="1:78" ht="61.5" x14ac:dyDescent="0.85">
      <c r="A1224" s="20">
        <v>1</v>
      </c>
      <c r="B1224" s="66">
        <f>SUBTOTAL(103,$A$1006:A1224)</f>
        <v>182</v>
      </c>
      <c r="C1224" s="122" t="s">
        <v>65</v>
      </c>
      <c r="D1224" s="31">
        <f t="shared" ref="D1224" si="394">E1224+F1224+G1224+H1224+I1224+J1224+L1224+N1224+P1224+R1224+T1224+U1224+V1224+W1224+X1224+Y1224+Z1224+AA1224+AB1224+AC1224+AD1224+AE1224</f>
        <v>2872957.67</v>
      </c>
      <c r="E1224" s="31">
        <v>0</v>
      </c>
      <c r="F1224" s="31">
        <v>0</v>
      </c>
      <c r="G1224" s="31">
        <v>0</v>
      </c>
      <c r="H1224" s="31">
        <v>0</v>
      </c>
      <c r="I1224" s="31">
        <v>0</v>
      </c>
      <c r="J1224" s="31">
        <v>0</v>
      </c>
      <c r="K1224" s="33">
        <v>0</v>
      </c>
      <c r="L1224" s="31">
        <v>0</v>
      </c>
      <c r="M1224" s="31">
        <v>0</v>
      </c>
      <c r="N1224" s="31">
        <v>0</v>
      </c>
      <c r="O1224" s="31">
        <v>0</v>
      </c>
      <c r="P1224" s="31">
        <v>0</v>
      </c>
      <c r="Q1224" s="31">
        <v>0</v>
      </c>
      <c r="R1224" s="31">
        <v>0</v>
      </c>
      <c r="S1224" s="31">
        <v>72.77</v>
      </c>
      <c r="T1224" s="31">
        <f>3595797.82-913080.9</f>
        <v>2682716.92</v>
      </c>
      <c r="U1224" s="31">
        <v>0</v>
      </c>
      <c r="V1224" s="31">
        <v>0</v>
      </c>
      <c r="W1224" s="31">
        <v>0</v>
      </c>
      <c r="X1224" s="31">
        <v>0</v>
      </c>
      <c r="Y1224" s="31">
        <v>0</v>
      </c>
      <c r="Z1224" s="31">
        <v>0</v>
      </c>
      <c r="AA1224" s="31">
        <v>0</v>
      </c>
      <c r="AB1224" s="31">
        <v>0</v>
      </c>
      <c r="AC1224" s="31">
        <f>ROUND(T1224*1.5%,2)</f>
        <v>40240.75</v>
      </c>
      <c r="AD1224" s="31">
        <v>150000</v>
      </c>
      <c r="AE1224" s="31">
        <v>0</v>
      </c>
      <c r="AF1224" s="34">
        <v>2022</v>
      </c>
      <c r="AG1224" s="34">
        <v>2022</v>
      </c>
      <c r="AH1224" s="35">
        <v>2022</v>
      </c>
      <c r="AT1224" s="20" t="e">
        <f t="shared" si="369"/>
        <v>#N/A</v>
      </c>
      <c r="BZ1224" s="71"/>
    </row>
    <row r="1225" spans="1:78" ht="61.5" x14ac:dyDescent="0.85">
      <c r="B1225" s="24" t="s">
        <v>851</v>
      </c>
      <c r="C1225" s="24"/>
      <c r="D1225" s="195">
        <f>D1226</f>
        <v>2311215.4500000002</v>
      </c>
      <c r="E1225" s="31">
        <f t="shared" ref="E1225:AE1225" si="395">E1226</f>
        <v>0</v>
      </c>
      <c r="F1225" s="31">
        <f t="shared" si="395"/>
        <v>0</v>
      </c>
      <c r="G1225" s="31">
        <f t="shared" si="395"/>
        <v>0</v>
      </c>
      <c r="H1225" s="31">
        <f t="shared" si="395"/>
        <v>0</v>
      </c>
      <c r="I1225" s="31">
        <f t="shared" si="395"/>
        <v>0</v>
      </c>
      <c r="J1225" s="31">
        <f t="shared" si="395"/>
        <v>0</v>
      </c>
      <c r="K1225" s="33">
        <f t="shared" si="395"/>
        <v>0</v>
      </c>
      <c r="L1225" s="31">
        <f t="shared" si="395"/>
        <v>0</v>
      </c>
      <c r="M1225" s="31">
        <f t="shared" si="395"/>
        <v>470</v>
      </c>
      <c r="N1225" s="31">
        <f t="shared" si="395"/>
        <v>2158832.96</v>
      </c>
      <c r="O1225" s="31">
        <f t="shared" si="395"/>
        <v>0</v>
      </c>
      <c r="P1225" s="31">
        <f t="shared" si="395"/>
        <v>0</v>
      </c>
      <c r="Q1225" s="31">
        <f t="shared" si="395"/>
        <v>0</v>
      </c>
      <c r="R1225" s="31">
        <f t="shared" si="395"/>
        <v>0</v>
      </c>
      <c r="S1225" s="31">
        <f t="shared" si="395"/>
        <v>0</v>
      </c>
      <c r="T1225" s="31">
        <f t="shared" si="395"/>
        <v>0</v>
      </c>
      <c r="U1225" s="31">
        <f t="shared" si="395"/>
        <v>0</v>
      </c>
      <c r="V1225" s="31">
        <f t="shared" si="395"/>
        <v>0</v>
      </c>
      <c r="W1225" s="31">
        <f t="shared" si="395"/>
        <v>0</v>
      </c>
      <c r="X1225" s="31">
        <f t="shared" si="395"/>
        <v>0</v>
      </c>
      <c r="Y1225" s="31">
        <f t="shared" si="395"/>
        <v>0</v>
      </c>
      <c r="Z1225" s="31">
        <f t="shared" si="395"/>
        <v>0</v>
      </c>
      <c r="AA1225" s="31">
        <f t="shared" si="395"/>
        <v>0</v>
      </c>
      <c r="AB1225" s="31">
        <f t="shared" si="395"/>
        <v>0</v>
      </c>
      <c r="AC1225" s="31">
        <f t="shared" si="395"/>
        <v>32382.49</v>
      </c>
      <c r="AD1225" s="31">
        <f t="shared" si="395"/>
        <v>120000</v>
      </c>
      <c r="AE1225" s="31">
        <f t="shared" si="395"/>
        <v>0</v>
      </c>
      <c r="AF1225" s="247" t="s">
        <v>757</v>
      </c>
      <c r="AG1225" s="247" t="s">
        <v>757</v>
      </c>
      <c r="AH1225" s="248" t="s">
        <v>757</v>
      </c>
      <c r="AT1225" s="20" t="e">
        <f t="shared" si="369"/>
        <v>#N/A</v>
      </c>
      <c r="BZ1225" s="71">
        <v>2311215.4500000002</v>
      </c>
    </row>
    <row r="1226" spans="1:78" ht="61.5" x14ac:dyDescent="0.85">
      <c r="A1226" s="20">
        <v>1</v>
      </c>
      <c r="B1226" s="66">
        <f>SUBTOTAL(103,$A$1006:A1226)</f>
        <v>183</v>
      </c>
      <c r="C1226" s="122" t="s">
        <v>64</v>
      </c>
      <c r="D1226" s="31">
        <f t="shared" ref="D1226" si="396">E1226+F1226+G1226+H1226+I1226+J1226+L1226+N1226+P1226+R1226+T1226+U1226+V1226+W1226+X1226+Y1226+Z1226+AA1226+AB1226+AC1226+AD1226+AE1226</f>
        <v>2311215.4500000002</v>
      </c>
      <c r="E1226" s="31">
        <v>0</v>
      </c>
      <c r="F1226" s="31">
        <v>0</v>
      </c>
      <c r="G1226" s="31">
        <v>0</v>
      </c>
      <c r="H1226" s="31">
        <v>0</v>
      </c>
      <c r="I1226" s="31">
        <v>0</v>
      </c>
      <c r="J1226" s="31">
        <v>0</v>
      </c>
      <c r="K1226" s="33">
        <v>0</v>
      </c>
      <c r="L1226" s="31">
        <v>0</v>
      </c>
      <c r="M1226" s="31">
        <v>470</v>
      </c>
      <c r="N1226" s="31">
        <v>2158832.96</v>
      </c>
      <c r="O1226" s="31">
        <v>0</v>
      </c>
      <c r="P1226" s="31">
        <v>0</v>
      </c>
      <c r="Q1226" s="31">
        <v>0</v>
      </c>
      <c r="R1226" s="31">
        <v>0</v>
      </c>
      <c r="S1226" s="31">
        <v>0</v>
      </c>
      <c r="T1226" s="31">
        <v>0</v>
      </c>
      <c r="U1226" s="31">
        <v>0</v>
      </c>
      <c r="V1226" s="31">
        <v>0</v>
      </c>
      <c r="W1226" s="31">
        <v>0</v>
      </c>
      <c r="X1226" s="31">
        <v>0</v>
      </c>
      <c r="Y1226" s="31">
        <v>0</v>
      </c>
      <c r="Z1226" s="31">
        <v>0</v>
      </c>
      <c r="AA1226" s="31">
        <v>0</v>
      </c>
      <c r="AB1226" s="31">
        <v>0</v>
      </c>
      <c r="AC1226" s="31">
        <f>ROUND(N1226*1.5%,2)</f>
        <v>32382.49</v>
      </c>
      <c r="AD1226" s="31">
        <v>120000</v>
      </c>
      <c r="AE1226" s="31">
        <v>0</v>
      </c>
      <c r="AF1226" s="34">
        <v>2022</v>
      </c>
      <c r="AG1226" s="34">
        <v>2022</v>
      </c>
      <c r="AH1226" s="35">
        <v>2022</v>
      </c>
      <c r="AT1226" s="20" t="e">
        <f t="shared" si="369"/>
        <v>#N/A</v>
      </c>
      <c r="BZ1226" s="71"/>
    </row>
    <row r="1227" spans="1:78" ht="61.5" x14ac:dyDescent="0.85">
      <c r="B1227" s="24" t="s">
        <v>889</v>
      </c>
      <c r="C1227" s="24"/>
      <c r="D1227" s="195">
        <f>D1228</f>
        <v>3215375.5700000003</v>
      </c>
      <c r="E1227" s="31">
        <f t="shared" ref="E1227:AE1227" si="397">E1228</f>
        <v>0</v>
      </c>
      <c r="F1227" s="31">
        <f t="shared" si="397"/>
        <v>0</v>
      </c>
      <c r="G1227" s="31">
        <f t="shared" si="397"/>
        <v>0</v>
      </c>
      <c r="H1227" s="31">
        <f t="shared" si="397"/>
        <v>0</v>
      </c>
      <c r="I1227" s="31">
        <f t="shared" si="397"/>
        <v>0</v>
      </c>
      <c r="J1227" s="31">
        <f t="shared" si="397"/>
        <v>0</v>
      </c>
      <c r="K1227" s="33">
        <f t="shared" si="397"/>
        <v>0</v>
      </c>
      <c r="L1227" s="31">
        <f t="shared" si="397"/>
        <v>0</v>
      </c>
      <c r="M1227" s="31">
        <f t="shared" si="397"/>
        <v>615.76</v>
      </c>
      <c r="N1227" s="31">
        <f t="shared" si="397"/>
        <v>3020074.45</v>
      </c>
      <c r="O1227" s="31">
        <f t="shared" si="397"/>
        <v>0</v>
      </c>
      <c r="P1227" s="31">
        <f t="shared" si="397"/>
        <v>0</v>
      </c>
      <c r="Q1227" s="31">
        <f t="shared" si="397"/>
        <v>0</v>
      </c>
      <c r="R1227" s="31">
        <f t="shared" si="397"/>
        <v>0</v>
      </c>
      <c r="S1227" s="31">
        <f t="shared" si="397"/>
        <v>0</v>
      </c>
      <c r="T1227" s="31">
        <f t="shared" si="397"/>
        <v>0</v>
      </c>
      <c r="U1227" s="31">
        <f t="shared" si="397"/>
        <v>0</v>
      </c>
      <c r="V1227" s="31">
        <f t="shared" si="397"/>
        <v>0</v>
      </c>
      <c r="W1227" s="31">
        <f t="shared" si="397"/>
        <v>0</v>
      </c>
      <c r="X1227" s="31">
        <f t="shared" si="397"/>
        <v>0</v>
      </c>
      <c r="Y1227" s="31">
        <f t="shared" si="397"/>
        <v>0</v>
      </c>
      <c r="Z1227" s="31">
        <f t="shared" si="397"/>
        <v>0</v>
      </c>
      <c r="AA1227" s="31">
        <f t="shared" si="397"/>
        <v>0</v>
      </c>
      <c r="AB1227" s="31">
        <f t="shared" si="397"/>
        <v>0</v>
      </c>
      <c r="AC1227" s="31">
        <f t="shared" si="397"/>
        <v>45301.120000000003</v>
      </c>
      <c r="AD1227" s="31">
        <f t="shared" si="397"/>
        <v>150000</v>
      </c>
      <c r="AE1227" s="31">
        <f t="shared" si="397"/>
        <v>0</v>
      </c>
      <c r="AF1227" s="247" t="s">
        <v>757</v>
      </c>
      <c r="AG1227" s="247" t="s">
        <v>757</v>
      </c>
      <c r="AH1227" s="248" t="s">
        <v>757</v>
      </c>
      <c r="AT1227" s="20" t="e">
        <f t="shared" si="369"/>
        <v>#N/A</v>
      </c>
      <c r="BZ1227" s="71">
        <v>3215375.5700000003</v>
      </c>
    </row>
    <row r="1228" spans="1:78" ht="61.5" x14ac:dyDescent="0.85">
      <c r="A1228" s="20">
        <v>1</v>
      </c>
      <c r="B1228" s="66">
        <f>SUBTOTAL(103,$A$1006:A1228)</f>
        <v>184</v>
      </c>
      <c r="C1228" s="122" t="s">
        <v>70</v>
      </c>
      <c r="D1228" s="31">
        <f t="shared" ref="D1228" si="398">E1228+F1228+G1228+H1228+I1228+J1228+L1228+N1228+P1228+R1228+T1228+U1228+V1228+W1228+X1228+Y1228+Z1228+AA1228+AB1228+AC1228+AD1228+AE1228</f>
        <v>3215375.5700000003</v>
      </c>
      <c r="E1228" s="31">
        <v>0</v>
      </c>
      <c r="F1228" s="31">
        <v>0</v>
      </c>
      <c r="G1228" s="31">
        <v>0</v>
      </c>
      <c r="H1228" s="31">
        <v>0</v>
      </c>
      <c r="I1228" s="31">
        <v>0</v>
      </c>
      <c r="J1228" s="31">
        <v>0</v>
      </c>
      <c r="K1228" s="33">
        <v>0</v>
      </c>
      <c r="L1228" s="31">
        <v>0</v>
      </c>
      <c r="M1228" s="31">
        <v>615.76</v>
      </c>
      <c r="N1228" s="31">
        <v>3020074.45</v>
      </c>
      <c r="O1228" s="31">
        <v>0</v>
      </c>
      <c r="P1228" s="31">
        <v>0</v>
      </c>
      <c r="Q1228" s="31">
        <v>0</v>
      </c>
      <c r="R1228" s="31">
        <v>0</v>
      </c>
      <c r="S1228" s="31">
        <v>0</v>
      </c>
      <c r="T1228" s="31">
        <v>0</v>
      </c>
      <c r="U1228" s="31">
        <v>0</v>
      </c>
      <c r="V1228" s="31">
        <v>0</v>
      </c>
      <c r="W1228" s="31">
        <v>0</v>
      </c>
      <c r="X1228" s="31">
        <v>0</v>
      </c>
      <c r="Y1228" s="31">
        <v>0</v>
      </c>
      <c r="Z1228" s="31">
        <v>0</v>
      </c>
      <c r="AA1228" s="31">
        <v>0</v>
      </c>
      <c r="AB1228" s="31">
        <v>0</v>
      </c>
      <c r="AC1228" s="31">
        <f>ROUND(N1228*1.5%,2)</f>
        <v>45301.120000000003</v>
      </c>
      <c r="AD1228" s="31">
        <v>150000</v>
      </c>
      <c r="AE1228" s="31">
        <v>0</v>
      </c>
      <c r="AF1228" s="34">
        <v>2022</v>
      </c>
      <c r="AG1228" s="34">
        <v>2022</v>
      </c>
      <c r="AH1228" s="35">
        <v>2022</v>
      </c>
      <c r="AT1228" s="20" t="e">
        <f t="shared" si="369"/>
        <v>#N/A</v>
      </c>
      <c r="BZ1228" s="71"/>
    </row>
    <row r="1229" spans="1:78" ht="61.5" x14ac:dyDescent="0.85">
      <c r="B1229" s="24" t="s">
        <v>852</v>
      </c>
      <c r="C1229" s="24"/>
      <c r="D1229" s="195">
        <f>D1230+D1231+D1232</f>
        <v>10672314.84</v>
      </c>
      <c r="E1229" s="31">
        <f t="shared" ref="E1229:AE1229" si="399">E1230+E1231+E1232</f>
        <v>0</v>
      </c>
      <c r="F1229" s="31">
        <f t="shared" si="399"/>
        <v>0</v>
      </c>
      <c r="G1229" s="31">
        <f t="shared" si="399"/>
        <v>0</v>
      </c>
      <c r="H1229" s="31">
        <f t="shared" si="399"/>
        <v>0</v>
      </c>
      <c r="I1229" s="31">
        <f t="shared" si="399"/>
        <v>0</v>
      </c>
      <c r="J1229" s="31">
        <f t="shared" si="399"/>
        <v>0</v>
      </c>
      <c r="K1229" s="33">
        <f t="shared" si="399"/>
        <v>0</v>
      </c>
      <c r="L1229" s="31">
        <f t="shared" si="399"/>
        <v>0</v>
      </c>
      <c r="M1229" s="31">
        <f t="shared" si="399"/>
        <v>2043.8</v>
      </c>
      <c r="N1229" s="31">
        <f t="shared" si="399"/>
        <v>10100802.800000001</v>
      </c>
      <c r="O1229" s="31">
        <f t="shared" si="399"/>
        <v>0</v>
      </c>
      <c r="P1229" s="31">
        <f t="shared" si="399"/>
        <v>0</v>
      </c>
      <c r="Q1229" s="31">
        <f t="shared" si="399"/>
        <v>0</v>
      </c>
      <c r="R1229" s="31">
        <f t="shared" si="399"/>
        <v>0</v>
      </c>
      <c r="S1229" s="31">
        <f t="shared" si="399"/>
        <v>0</v>
      </c>
      <c r="T1229" s="31">
        <f t="shared" si="399"/>
        <v>0</v>
      </c>
      <c r="U1229" s="31">
        <f t="shared" si="399"/>
        <v>0</v>
      </c>
      <c r="V1229" s="31">
        <f t="shared" si="399"/>
        <v>0</v>
      </c>
      <c r="W1229" s="31">
        <f t="shared" si="399"/>
        <v>0</v>
      </c>
      <c r="X1229" s="31">
        <f t="shared" si="399"/>
        <v>0</v>
      </c>
      <c r="Y1229" s="31">
        <f t="shared" si="399"/>
        <v>0</v>
      </c>
      <c r="Z1229" s="31">
        <f t="shared" si="399"/>
        <v>0</v>
      </c>
      <c r="AA1229" s="31">
        <f t="shared" si="399"/>
        <v>0</v>
      </c>
      <c r="AB1229" s="31">
        <f t="shared" si="399"/>
        <v>0</v>
      </c>
      <c r="AC1229" s="31">
        <f t="shared" si="399"/>
        <v>151512.04</v>
      </c>
      <c r="AD1229" s="31">
        <f t="shared" si="399"/>
        <v>420000</v>
      </c>
      <c r="AE1229" s="31">
        <f t="shared" si="399"/>
        <v>0</v>
      </c>
      <c r="AF1229" s="247" t="s">
        <v>757</v>
      </c>
      <c r="AG1229" s="247" t="s">
        <v>757</v>
      </c>
      <c r="AH1229" s="248" t="s">
        <v>757</v>
      </c>
      <c r="AT1229" s="20" t="e">
        <f t="shared" si="369"/>
        <v>#N/A</v>
      </c>
      <c r="BZ1229" s="71">
        <v>10672314.84</v>
      </c>
    </row>
    <row r="1230" spans="1:78" ht="61.5" x14ac:dyDescent="0.85">
      <c r="A1230" s="20">
        <v>1</v>
      </c>
      <c r="B1230" s="66">
        <f>SUBTOTAL(103,$A$1006:A1230)</f>
        <v>185</v>
      </c>
      <c r="C1230" s="122" t="s">
        <v>71</v>
      </c>
      <c r="D1230" s="31">
        <f t="shared" ref="D1230:D1232" si="400">E1230+F1230+G1230+H1230+I1230+J1230+L1230+N1230+P1230+R1230+T1230+U1230+V1230+W1230+X1230+Y1230+Z1230+AA1230+AB1230+AC1230+AD1230+AE1230</f>
        <v>2391584.4</v>
      </c>
      <c r="E1230" s="31">
        <v>0</v>
      </c>
      <c r="F1230" s="31">
        <v>0</v>
      </c>
      <c r="G1230" s="31">
        <v>0</v>
      </c>
      <c r="H1230" s="31">
        <v>0</v>
      </c>
      <c r="I1230" s="31">
        <v>0</v>
      </c>
      <c r="J1230" s="31">
        <v>0</v>
      </c>
      <c r="K1230" s="33">
        <v>0</v>
      </c>
      <c r="L1230" s="31">
        <v>0</v>
      </c>
      <c r="M1230" s="31">
        <v>458</v>
      </c>
      <c r="N1230" s="31">
        <v>2238014.19</v>
      </c>
      <c r="O1230" s="31">
        <v>0</v>
      </c>
      <c r="P1230" s="31">
        <v>0</v>
      </c>
      <c r="Q1230" s="31">
        <v>0</v>
      </c>
      <c r="R1230" s="31">
        <v>0</v>
      </c>
      <c r="S1230" s="31">
        <v>0</v>
      </c>
      <c r="T1230" s="31">
        <v>0</v>
      </c>
      <c r="U1230" s="31">
        <v>0</v>
      </c>
      <c r="V1230" s="31">
        <v>0</v>
      </c>
      <c r="W1230" s="31">
        <v>0</v>
      </c>
      <c r="X1230" s="31">
        <v>0</v>
      </c>
      <c r="Y1230" s="31">
        <v>0</v>
      </c>
      <c r="Z1230" s="31">
        <v>0</v>
      </c>
      <c r="AA1230" s="31">
        <v>0</v>
      </c>
      <c r="AB1230" s="31">
        <v>0</v>
      </c>
      <c r="AC1230" s="31">
        <f>ROUND(N1230*1.5%,2)</f>
        <v>33570.21</v>
      </c>
      <c r="AD1230" s="31">
        <v>120000</v>
      </c>
      <c r="AE1230" s="31">
        <v>0</v>
      </c>
      <c r="AF1230" s="34">
        <v>2022</v>
      </c>
      <c r="AG1230" s="34">
        <v>2022</v>
      </c>
      <c r="AH1230" s="35">
        <v>2022</v>
      </c>
      <c r="AT1230" s="20" t="e">
        <f t="shared" si="369"/>
        <v>#N/A</v>
      </c>
      <c r="BZ1230" s="71"/>
    </row>
    <row r="1231" spans="1:78" ht="61.5" x14ac:dyDescent="0.85">
      <c r="A1231" s="20">
        <v>1</v>
      </c>
      <c r="B1231" s="66">
        <f>SUBTOTAL(103,$A$1006:A1231)</f>
        <v>186</v>
      </c>
      <c r="C1231" s="122" t="s">
        <v>72</v>
      </c>
      <c r="D1231" s="31">
        <f t="shared" si="400"/>
        <v>4908492</v>
      </c>
      <c r="E1231" s="31">
        <v>0</v>
      </c>
      <c r="F1231" s="31">
        <v>0</v>
      </c>
      <c r="G1231" s="31">
        <v>0</v>
      </c>
      <c r="H1231" s="31">
        <v>0</v>
      </c>
      <c r="I1231" s="31">
        <v>0</v>
      </c>
      <c r="J1231" s="31">
        <v>0</v>
      </c>
      <c r="K1231" s="33">
        <v>0</v>
      </c>
      <c r="L1231" s="31">
        <v>0</v>
      </c>
      <c r="M1231" s="31">
        <v>940</v>
      </c>
      <c r="N1231" s="31">
        <v>4688169.46</v>
      </c>
      <c r="O1231" s="31">
        <v>0</v>
      </c>
      <c r="P1231" s="31">
        <v>0</v>
      </c>
      <c r="Q1231" s="31">
        <v>0</v>
      </c>
      <c r="R1231" s="31">
        <v>0</v>
      </c>
      <c r="S1231" s="31">
        <v>0</v>
      </c>
      <c r="T1231" s="31">
        <v>0</v>
      </c>
      <c r="U1231" s="31">
        <v>0</v>
      </c>
      <c r="V1231" s="31">
        <v>0</v>
      </c>
      <c r="W1231" s="31">
        <v>0</v>
      </c>
      <c r="X1231" s="31">
        <v>0</v>
      </c>
      <c r="Y1231" s="31">
        <v>0</v>
      </c>
      <c r="Z1231" s="31">
        <v>0</v>
      </c>
      <c r="AA1231" s="31">
        <v>0</v>
      </c>
      <c r="AB1231" s="31">
        <v>0</v>
      </c>
      <c r="AC1231" s="31">
        <f>ROUND(N1231*1.5%,2)</f>
        <v>70322.539999999994</v>
      </c>
      <c r="AD1231" s="31">
        <v>150000</v>
      </c>
      <c r="AE1231" s="31">
        <v>0</v>
      </c>
      <c r="AF1231" s="34">
        <v>2022</v>
      </c>
      <c r="AG1231" s="34">
        <v>2022</v>
      </c>
      <c r="AH1231" s="35">
        <v>2022</v>
      </c>
      <c r="AT1231" s="20" t="e">
        <f t="shared" si="369"/>
        <v>#N/A</v>
      </c>
      <c r="BZ1231" s="71"/>
    </row>
    <row r="1232" spans="1:78" ht="61.5" x14ac:dyDescent="0.85">
      <c r="A1232" s="20">
        <v>1</v>
      </c>
      <c r="B1232" s="66">
        <f>SUBTOTAL(103,$A$1006:A1232)</f>
        <v>187</v>
      </c>
      <c r="C1232" s="122" t="s">
        <v>73</v>
      </c>
      <c r="D1232" s="31">
        <f t="shared" si="400"/>
        <v>3372238.44</v>
      </c>
      <c r="E1232" s="31">
        <v>0</v>
      </c>
      <c r="F1232" s="31">
        <v>0</v>
      </c>
      <c r="G1232" s="31">
        <v>0</v>
      </c>
      <c r="H1232" s="31">
        <v>0</v>
      </c>
      <c r="I1232" s="31">
        <v>0</v>
      </c>
      <c r="J1232" s="31">
        <v>0</v>
      </c>
      <c r="K1232" s="33">
        <v>0</v>
      </c>
      <c r="L1232" s="31">
        <v>0</v>
      </c>
      <c r="M1232" s="31">
        <v>645.79999999999995</v>
      </c>
      <c r="N1232" s="31">
        <v>3174619.15</v>
      </c>
      <c r="O1232" s="31">
        <v>0</v>
      </c>
      <c r="P1232" s="31">
        <v>0</v>
      </c>
      <c r="Q1232" s="31">
        <v>0</v>
      </c>
      <c r="R1232" s="31">
        <v>0</v>
      </c>
      <c r="S1232" s="31">
        <v>0</v>
      </c>
      <c r="T1232" s="31">
        <v>0</v>
      </c>
      <c r="U1232" s="31">
        <v>0</v>
      </c>
      <c r="V1232" s="31">
        <v>0</v>
      </c>
      <c r="W1232" s="31">
        <v>0</v>
      </c>
      <c r="X1232" s="31">
        <v>0</v>
      </c>
      <c r="Y1232" s="31">
        <v>0</v>
      </c>
      <c r="Z1232" s="31">
        <v>0</v>
      </c>
      <c r="AA1232" s="31">
        <v>0</v>
      </c>
      <c r="AB1232" s="31">
        <v>0</v>
      </c>
      <c r="AC1232" s="31">
        <f>ROUND(N1232*1.5%,2)</f>
        <v>47619.29</v>
      </c>
      <c r="AD1232" s="31">
        <v>150000</v>
      </c>
      <c r="AE1232" s="31">
        <v>0</v>
      </c>
      <c r="AF1232" s="34">
        <v>2022</v>
      </c>
      <c r="AG1232" s="34">
        <v>2022</v>
      </c>
      <c r="AH1232" s="35">
        <v>2022</v>
      </c>
      <c r="AT1232" s="20" t="e">
        <f t="shared" si="369"/>
        <v>#N/A</v>
      </c>
      <c r="BZ1232" s="71"/>
    </row>
    <row r="1233" spans="1:78" ht="61.5" x14ac:dyDescent="0.85">
      <c r="B1233" s="24" t="s">
        <v>848</v>
      </c>
      <c r="C1233" s="24"/>
      <c r="D1233" s="195">
        <f>D1234</f>
        <v>3912770.8299999996</v>
      </c>
      <c r="E1233" s="31">
        <f t="shared" ref="E1233:AE1233" si="401">E1234</f>
        <v>0</v>
      </c>
      <c r="F1233" s="31">
        <f t="shared" si="401"/>
        <v>0</v>
      </c>
      <c r="G1233" s="31">
        <f t="shared" si="401"/>
        <v>0</v>
      </c>
      <c r="H1233" s="31">
        <f t="shared" si="401"/>
        <v>0</v>
      </c>
      <c r="I1233" s="31">
        <f t="shared" si="401"/>
        <v>0</v>
      </c>
      <c r="J1233" s="31">
        <f t="shared" si="401"/>
        <v>0</v>
      </c>
      <c r="K1233" s="33">
        <f t="shared" si="401"/>
        <v>0</v>
      </c>
      <c r="L1233" s="31">
        <f t="shared" si="401"/>
        <v>0</v>
      </c>
      <c r="M1233" s="31">
        <f t="shared" si="401"/>
        <v>1320</v>
      </c>
      <c r="N1233" s="31">
        <f t="shared" si="401"/>
        <v>3736720.03</v>
      </c>
      <c r="O1233" s="31">
        <f t="shared" si="401"/>
        <v>0</v>
      </c>
      <c r="P1233" s="31">
        <f t="shared" si="401"/>
        <v>0</v>
      </c>
      <c r="Q1233" s="31">
        <f t="shared" si="401"/>
        <v>0</v>
      </c>
      <c r="R1233" s="31">
        <f t="shared" si="401"/>
        <v>0</v>
      </c>
      <c r="S1233" s="31">
        <f t="shared" si="401"/>
        <v>0</v>
      </c>
      <c r="T1233" s="31">
        <f t="shared" si="401"/>
        <v>0</v>
      </c>
      <c r="U1233" s="31">
        <f t="shared" si="401"/>
        <v>0</v>
      </c>
      <c r="V1233" s="31">
        <f t="shared" si="401"/>
        <v>0</v>
      </c>
      <c r="W1233" s="31">
        <f t="shared" si="401"/>
        <v>0</v>
      </c>
      <c r="X1233" s="31">
        <f t="shared" si="401"/>
        <v>0</v>
      </c>
      <c r="Y1233" s="31">
        <f t="shared" si="401"/>
        <v>0</v>
      </c>
      <c r="Z1233" s="31">
        <f t="shared" si="401"/>
        <v>0</v>
      </c>
      <c r="AA1233" s="31">
        <f t="shared" si="401"/>
        <v>0</v>
      </c>
      <c r="AB1233" s="31">
        <f t="shared" si="401"/>
        <v>0</v>
      </c>
      <c r="AC1233" s="31">
        <f t="shared" si="401"/>
        <v>56050.8</v>
      </c>
      <c r="AD1233" s="31">
        <f t="shared" si="401"/>
        <v>120000</v>
      </c>
      <c r="AE1233" s="31">
        <f t="shared" si="401"/>
        <v>0</v>
      </c>
      <c r="AF1233" s="247" t="s">
        <v>757</v>
      </c>
      <c r="AG1233" s="247" t="s">
        <v>757</v>
      </c>
      <c r="AH1233" s="248" t="s">
        <v>757</v>
      </c>
      <c r="AT1233" s="20" t="e">
        <f t="shared" si="369"/>
        <v>#N/A</v>
      </c>
      <c r="BZ1233" s="71">
        <v>3912770.8299999996</v>
      </c>
    </row>
    <row r="1234" spans="1:78" ht="61.5" x14ac:dyDescent="0.85">
      <c r="A1234" s="20">
        <v>1</v>
      </c>
      <c r="B1234" s="66">
        <f>SUBTOTAL(103,$A$1006:A1234)</f>
        <v>188</v>
      </c>
      <c r="C1234" s="122" t="s">
        <v>1575</v>
      </c>
      <c r="D1234" s="31">
        <f t="shared" ref="D1234" si="402">E1234+F1234+G1234+H1234+I1234+J1234+L1234+N1234+P1234+R1234+T1234+U1234+V1234+W1234+X1234+Y1234+Z1234+AA1234+AB1234+AC1234+AD1234+AE1234</f>
        <v>3912770.8299999996</v>
      </c>
      <c r="E1234" s="31">
        <v>0</v>
      </c>
      <c r="F1234" s="31">
        <v>0</v>
      </c>
      <c r="G1234" s="31">
        <v>0</v>
      </c>
      <c r="H1234" s="31">
        <v>0</v>
      </c>
      <c r="I1234" s="31">
        <v>0</v>
      </c>
      <c r="J1234" s="31">
        <v>0</v>
      </c>
      <c r="K1234" s="33">
        <v>0</v>
      </c>
      <c r="L1234" s="31">
        <v>0</v>
      </c>
      <c r="M1234" s="31">
        <v>1320</v>
      </c>
      <c r="N1234" s="31">
        <v>3736720.03</v>
      </c>
      <c r="O1234" s="31">
        <v>0</v>
      </c>
      <c r="P1234" s="31">
        <v>0</v>
      </c>
      <c r="Q1234" s="31">
        <v>0</v>
      </c>
      <c r="R1234" s="31">
        <v>0</v>
      </c>
      <c r="S1234" s="31">
        <v>0</v>
      </c>
      <c r="T1234" s="31">
        <v>0</v>
      </c>
      <c r="U1234" s="31">
        <v>0</v>
      </c>
      <c r="V1234" s="31">
        <v>0</v>
      </c>
      <c r="W1234" s="31">
        <v>0</v>
      </c>
      <c r="X1234" s="31">
        <v>0</v>
      </c>
      <c r="Y1234" s="31">
        <v>0</v>
      </c>
      <c r="Z1234" s="31">
        <v>0</v>
      </c>
      <c r="AA1234" s="31">
        <v>0</v>
      </c>
      <c r="AB1234" s="31">
        <v>0</v>
      </c>
      <c r="AC1234" s="31">
        <f>ROUND(N1234*1.5%,2)</f>
        <v>56050.8</v>
      </c>
      <c r="AD1234" s="31">
        <v>120000</v>
      </c>
      <c r="AE1234" s="31">
        <v>0</v>
      </c>
      <c r="AF1234" s="34">
        <v>2022</v>
      </c>
      <c r="AG1234" s="34">
        <v>2022</v>
      </c>
      <c r="AH1234" s="35">
        <v>2022</v>
      </c>
      <c r="BZ1234" s="71"/>
    </row>
    <row r="1235" spans="1:78" ht="61.5" x14ac:dyDescent="0.85">
      <c r="B1235" s="24" t="s">
        <v>853</v>
      </c>
      <c r="C1235" s="108"/>
      <c r="D1235" s="195">
        <f>D1236</f>
        <v>4804056</v>
      </c>
      <c r="E1235" s="31">
        <f t="shared" ref="E1235:AE1235" si="403">E1236</f>
        <v>0</v>
      </c>
      <c r="F1235" s="31">
        <f t="shared" si="403"/>
        <v>0</v>
      </c>
      <c r="G1235" s="31">
        <f t="shared" si="403"/>
        <v>0</v>
      </c>
      <c r="H1235" s="31">
        <f t="shared" si="403"/>
        <v>0</v>
      </c>
      <c r="I1235" s="31">
        <f t="shared" si="403"/>
        <v>0</v>
      </c>
      <c r="J1235" s="31">
        <f t="shared" si="403"/>
        <v>0</v>
      </c>
      <c r="K1235" s="33">
        <f t="shared" si="403"/>
        <v>0</v>
      </c>
      <c r="L1235" s="31">
        <f t="shared" si="403"/>
        <v>0</v>
      </c>
      <c r="M1235" s="31">
        <f t="shared" si="403"/>
        <v>925</v>
      </c>
      <c r="N1235" s="31">
        <f t="shared" si="403"/>
        <v>4585276.8499999996</v>
      </c>
      <c r="O1235" s="31">
        <f t="shared" si="403"/>
        <v>0</v>
      </c>
      <c r="P1235" s="31">
        <f t="shared" si="403"/>
        <v>0</v>
      </c>
      <c r="Q1235" s="31">
        <f t="shared" si="403"/>
        <v>0</v>
      </c>
      <c r="R1235" s="31">
        <f t="shared" si="403"/>
        <v>0</v>
      </c>
      <c r="S1235" s="31">
        <f t="shared" si="403"/>
        <v>0</v>
      </c>
      <c r="T1235" s="31">
        <f t="shared" si="403"/>
        <v>0</v>
      </c>
      <c r="U1235" s="31">
        <f t="shared" si="403"/>
        <v>0</v>
      </c>
      <c r="V1235" s="31">
        <f t="shared" si="403"/>
        <v>0</v>
      </c>
      <c r="W1235" s="31">
        <f t="shared" si="403"/>
        <v>0</v>
      </c>
      <c r="X1235" s="31">
        <f t="shared" si="403"/>
        <v>0</v>
      </c>
      <c r="Y1235" s="31">
        <f t="shared" si="403"/>
        <v>0</v>
      </c>
      <c r="Z1235" s="31">
        <f t="shared" si="403"/>
        <v>0</v>
      </c>
      <c r="AA1235" s="31">
        <f t="shared" si="403"/>
        <v>0</v>
      </c>
      <c r="AB1235" s="31">
        <f t="shared" si="403"/>
        <v>0</v>
      </c>
      <c r="AC1235" s="31">
        <f t="shared" si="403"/>
        <v>68779.149999999994</v>
      </c>
      <c r="AD1235" s="31">
        <f t="shared" si="403"/>
        <v>150000</v>
      </c>
      <c r="AE1235" s="31">
        <f t="shared" si="403"/>
        <v>0</v>
      </c>
      <c r="AF1235" s="247" t="s">
        <v>757</v>
      </c>
      <c r="AG1235" s="247" t="s">
        <v>757</v>
      </c>
      <c r="AH1235" s="248" t="s">
        <v>757</v>
      </c>
      <c r="AT1235" s="20" t="e">
        <f t="shared" ref="AT1235:AT1252" si="404">VLOOKUP(C1235,AW:AX,2,FALSE)</f>
        <v>#N/A</v>
      </c>
      <c r="BZ1235" s="71">
        <v>4804056</v>
      </c>
    </row>
    <row r="1236" spans="1:78" ht="61.5" x14ac:dyDescent="0.85">
      <c r="A1236" s="20">
        <v>1</v>
      </c>
      <c r="B1236" s="66">
        <f>SUBTOTAL(103,$A$1006:A1236)</f>
        <v>189</v>
      </c>
      <c r="C1236" s="122" t="s">
        <v>227</v>
      </c>
      <c r="D1236" s="31">
        <f t="shared" ref="D1236" si="405">E1236+F1236+G1236+H1236+I1236+J1236+L1236+N1236+P1236+R1236+T1236+U1236+V1236+W1236+X1236+Y1236+Z1236+AA1236+AB1236+AC1236+AD1236+AE1236</f>
        <v>4804056</v>
      </c>
      <c r="E1236" s="31">
        <v>0</v>
      </c>
      <c r="F1236" s="31">
        <v>0</v>
      </c>
      <c r="G1236" s="31">
        <v>0</v>
      </c>
      <c r="H1236" s="31">
        <v>0</v>
      </c>
      <c r="I1236" s="31">
        <v>0</v>
      </c>
      <c r="J1236" s="31">
        <v>0</v>
      </c>
      <c r="K1236" s="33">
        <v>0</v>
      </c>
      <c r="L1236" s="31">
        <v>0</v>
      </c>
      <c r="M1236" s="31">
        <v>925</v>
      </c>
      <c r="N1236" s="31">
        <v>4585276.8499999996</v>
      </c>
      <c r="O1236" s="31">
        <v>0</v>
      </c>
      <c r="P1236" s="31">
        <v>0</v>
      </c>
      <c r="Q1236" s="31">
        <v>0</v>
      </c>
      <c r="R1236" s="31">
        <v>0</v>
      </c>
      <c r="S1236" s="31">
        <v>0</v>
      </c>
      <c r="T1236" s="31">
        <v>0</v>
      </c>
      <c r="U1236" s="31">
        <v>0</v>
      </c>
      <c r="V1236" s="31">
        <v>0</v>
      </c>
      <c r="W1236" s="31">
        <v>0</v>
      </c>
      <c r="X1236" s="31">
        <v>0</v>
      </c>
      <c r="Y1236" s="31">
        <v>0</v>
      </c>
      <c r="Z1236" s="31">
        <v>0</v>
      </c>
      <c r="AA1236" s="31">
        <v>0</v>
      </c>
      <c r="AB1236" s="31">
        <v>0</v>
      </c>
      <c r="AC1236" s="31">
        <f>ROUND(N1236*1.5%,2)</f>
        <v>68779.149999999994</v>
      </c>
      <c r="AD1236" s="31">
        <v>150000</v>
      </c>
      <c r="AE1236" s="31">
        <v>0</v>
      </c>
      <c r="AF1236" s="34">
        <v>2022</v>
      </c>
      <c r="AG1236" s="34">
        <v>2022</v>
      </c>
      <c r="AH1236" s="35">
        <v>2022</v>
      </c>
      <c r="AT1236" s="20" t="e">
        <f t="shared" si="404"/>
        <v>#N/A</v>
      </c>
      <c r="BZ1236" s="71"/>
    </row>
    <row r="1237" spans="1:78" ht="61.5" x14ac:dyDescent="0.85">
      <c r="B1237" s="24" t="s">
        <v>888</v>
      </c>
      <c r="C1237" s="108"/>
      <c r="D1237" s="195">
        <f>D1238</f>
        <v>7284801.9000000004</v>
      </c>
      <c r="E1237" s="31">
        <f t="shared" ref="E1237:AE1237" si="406">E1238</f>
        <v>0</v>
      </c>
      <c r="F1237" s="31">
        <f t="shared" si="406"/>
        <v>0</v>
      </c>
      <c r="G1237" s="31">
        <f t="shared" si="406"/>
        <v>0</v>
      </c>
      <c r="H1237" s="31">
        <f t="shared" si="406"/>
        <v>0</v>
      </c>
      <c r="I1237" s="31">
        <f t="shared" si="406"/>
        <v>0</v>
      </c>
      <c r="J1237" s="31">
        <f t="shared" si="406"/>
        <v>0</v>
      </c>
      <c r="K1237" s="33">
        <f t="shared" si="406"/>
        <v>0</v>
      </c>
      <c r="L1237" s="31">
        <f t="shared" si="406"/>
        <v>0</v>
      </c>
      <c r="M1237" s="31">
        <f t="shared" si="406"/>
        <v>1501.51</v>
      </c>
      <c r="N1237" s="31">
        <f t="shared" si="406"/>
        <v>6999804.8300000001</v>
      </c>
      <c r="O1237" s="31">
        <f t="shared" si="406"/>
        <v>0</v>
      </c>
      <c r="P1237" s="31">
        <f t="shared" si="406"/>
        <v>0</v>
      </c>
      <c r="Q1237" s="31">
        <f t="shared" si="406"/>
        <v>0</v>
      </c>
      <c r="R1237" s="31">
        <f t="shared" si="406"/>
        <v>0</v>
      </c>
      <c r="S1237" s="31">
        <f t="shared" si="406"/>
        <v>0</v>
      </c>
      <c r="T1237" s="31">
        <f t="shared" si="406"/>
        <v>0</v>
      </c>
      <c r="U1237" s="31">
        <f t="shared" si="406"/>
        <v>0</v>
      </c>
      <c r="V1237" s="31">
        <f t="shared" si="406"/>
        <v>0</v>
      </c>
      <c r="W1237" s="31">
        <f t="shared" si="406"/>
        <v>0</v>
      </c>
      <c r="X1237" s="31">
        <f t="shared" si="406"/>
        <v>0</v>
      </c>
      <c r="Y1237" s="31">
        <f t="shared" si="406"/>
        <v>0</v>
      </c>
      <c r="Z1237" s="31">
        <f t="shared" si="406"/>
        <v>0</v>
      </c>
      <c r="AA1237" s="31">
        <f t="shared" si="406"/>
        <v>0</v>
      </c>
      <c r="AB1237" s="31">
        <f t="shared" si="406"/>
        <v>0</v>
      </c>
      <c r="AC1237" s="31">
        <f t="shared" si="406"/>
        <v>104997.07</v>
      </c>
      <c r="AD1237" s="31">
        <f t="shared" si="406"/>
        <v>180000</v>
      </c>
      <c r="AE1237" s="31">
        <f t="shared" si="406"/>
        <v>0</v>
      </c>
      <c r="AF1237" s="247" t="s">
        <v>757</v>
      </c>
      <c r="AG1237" s="247" t="s">
        <v>757</v>
      </c>
      <c r="AH1237" s="248" t="s">
        <v>757</v>
      </c>
      <c r="AT1237" s="20" t="e">
        <f t="shared" si="404"/>
        <v>#N/A</v>
      </c>
      <c r="BZ1237" s="71">
        <v>7284801.9000000004</v>
      </c>
    </row>
    <row r="1238" spans="1:78" ht="61.5" x14ac:dyDescent="0.85">
      <c r="A1238" s="20">
        <v>1</v>
      </c>
      <c r="B1238" s="66">
        <f>SUBTOTAL(103,$A$1006:A1238)</f>
        <v>190</v>
      </c>
      <c r="C1238" s="122" t="s">
        <v>160</v>
      </c>
      <c r="D1238" s="31">
        <f t="shared" ref="D1238" si="407">E1238+F1238+G1238+H1238+I1238+J1238+L1238+N1238+P1238+R1238+T1238+U1238+V1238+W1238+X1238+Y1238+Z1238+AA1238+AB1238+AC1238+AD1238+AE1238</f>
        <v>7284801.9000000004</v>
      </c>
      <c r="E1238" s="31">
        <v>0</v>
      </c>
      <c r="F1238" s="31">
        <v>0</v>
      </c>
      <c r="G1238" s="31">
        <v>0</v>
      </c>
      <c r="H1238" s="31">
        <v>0</v>
      </c>
      <c r="I1238" s="31">
        <v>0</v>
      </c>
      <c r="J1238" s="31">
        <v>0</v>
      </c>
      <c r="K1238" s="33">
        <v>0</v>
      </c>
      <c r="L1238" s="31">
        <v>0</v>
      </c>
      <c r="M1238" s="31">
        <v>1501.51</v>
      </c>
      <c r="N1238" s="31">
        <v>6999804.8300000001</v>
      </c>
      <c r="O1238" s="31">
        <v>0</v>
      </c>
      <c r="P1238" s="31">
        <v>0</v>
      </c>
      <c r="Q1238" s="31">
        <v>0</v>
      </c>
      <c r="R1238" s="31">
        <v>0</v>
      </c>
      <c r="S1238" s="31">
        <v>0</v>
      </c>
      <c r="T1238" s="31">
        <v>0</v>
      </c>
      <c r="U1238" s="31">
        <v>0</v>
      </c>
      <c r="V1238" s="31">
        <v>0</v>
      </c>
      <c r="W1238" s="31">
        <v>0</v>
      </c>
      <c r="X1238" s="31">
        <v>0</v>
      </c>
      <c r="Y1238" s="31">
        <v>0</v>
      </c>
      <c r="Z1238" s="31">
        <v>0</v>
      </c>
      <c r="AA1238" s="31">
        <v>0</v>
      </c>
      <c r="AB1238" s="31">
        <v>0</v>
      </c>
      <c r="AC1238" s="31">
        <f>ROUND(N1238*1.5%,2)</f>
        <v>104997.07</v>
      </c>
      <c r="AD1238" s="31">
        <v>180000</v>
      </c>
      <c r="AE1238" s="31">
        <v>0</v>
      </c>
      <c r="AF1238" s="34">
        <v>2022</v>
      </c>
      <c r="AG1238" s="34">
        <v>2022</v>
      </c>
      <c r="AH1238" s="35">
        <v>2022</v>
      </c>
      <c r="AT1238" s="20" t="e">
        <f t="shared" si="404"/>
        <v>#N/A</v>
      </c>
      <c r="BZ1238" s="71"/>
    </row>
    <row r="1239" spans="1:78" ht="61.5" x14ac:dyDescent="0.85">
      <c r="B1239" s="24" t="s">
        <v>884</v>
      </c>
      <c r="C1239" s="24"/>
      <c r="D1239" s="195">
        <f>D1240+D1241</f>
        <v>4011881.02</v>
      </c>
      <c r="E1239" s="31">
        <f t="shared" ref="E1239:AE1239" si="408">E1240+E1241</f>
        <v>0</v>
      </c>
      <c r="F1239" s="31">
        <f t="shared" si="408"/>
        <v>0</v>
      </c>
      <c r="G1239" s="31">
        <f t="shared" si="408"/>
        <v>0</v>
      </c>
      <c r="H1239" s="31">
        <f t="shared" si="408"/>
        <v>0</v>
      </c>
      <c r="I1239" s="31">
        <f t="shared" si="408"/>
        <v>0</v>
      </c>
      <c r="J1239" s="31">
        <f t="shared" si="408"/>
        <v>0</v>
      </c>
      <c r="K1239" s="33">
        <f t="shared" si="408"/>
        <v>0</v>
      </c>
      <c r="L1239" s="31">
        <f t="shared" si="408"/>
        <v>0</v>
      </c>
      <c r="M1239" s="31">
        <f t="shared" si="408"/>
        <v>771.1</v>
      </c>
      <c r="N1239" s="31">
        <f t="shared" si="408"/>
        <v>3479820.61</v>
      </c>
      <c r="O1239" s="31">
        <f t="shared" si="408"/>
        <v>0</v>
      </c>
      <c r="P1239" s="31">
        <f t="shared" si="408"/>
        <v>0</v>
      </c>
      <c r="Q1239" s="31">
        <f t="shared" si="408"/>
        <v>98</v>
      </c>
      <c r="R1239" s="31">
        <f t="shared" si="408"/>
        <v>206761.67</v>
      </c>
      <c r="S1239" s="31">
        <f t="shared" si="408"/>
        <v>0</v>
      </c>
      <c r="T1239" s="31">
        <f t="shared" si="408"/>
        <v>0</v>
      </c>
      <c r="U1239" s="31">
        <f t="shared" si="408"/>
        <v>0</v>
      </c>
      <c r="V1239" s="31">
        <f t="shared" si="408"/>
        <v>0</v>
      </c>
      <c r="W1239" s="31">
        <f t="shared" si="408"/>
        <v>0</v>
      </c>
      <c r="X1239" s="31">
        <f t="shared" si="408"/>
        <v>0</v>
      </c>
      <c r="Y1239" s="31">
        <f t="shared" si="408"/>
        <v>0</v>
      </c>
      <c r="Z1239" s="31">
        <f t="shared" si="408"/>
        <v>0</v>
      </c>
      <c r="AA1239" s="31">
        <f t="shared" si="408"/>
        <v>0</v>
      </c>
      <c r="AB1239" s="31">
        <f t="shared" si="408"/>
        <v>0</v>
      </c>
      <c r="AC1239" s="31">
        <f t="shared" si="408"/>
        <v>55298.74</v>
      </c>
      <c r="AD1239" s="31">
        <f t="shared" si="408"/>
        <v>270000</v>
      </c>
      <c r="AE1239" s="31">
        <f t="shared" si="408"/>
        <v>0</v>
      </c>
      <c r="AF1239" s="247" t="s">
        <v>757</v>
      </c>
      <c r="AG1239" s="247" t="s">
        <v>757</v>
      </c>
      <c r="AH1239" s="248" t="s">
        <v>757</v>
      </c>
      <c r="AT1239" s="20" t="e">
        <f t="shared" si="404"/>
        <v>#N/A</v>
      </c>
      <c r="BZ1239" s="71">
        <v>4011881.02</v>
      </c>
    </row>
    <row r="1240" spans="1:78" ht="61.5" x14ac:dyDescent="0.85">
      <c r="A1240" s="20">
        <v>1</v>
      </c>
      <c r="B1240" s="66">
        <f>SUBTOTAL(103,$A$1006:A1240)</f>
        <v>191</v>
      </c>
      <c r="C1240" s="122" t="s">
        <v>165</v>
      </c>
      <c r="D1240" s="31">
        <f t="shared" ref="D1240:D1241" si="409">E1240+F1240+G1240+H1240+I1240+J1240+L1240+N1240+P1240+R1240+T1240+U1240+V1240+W1240+X1240+Y1240+Z1240+AA1240+AB1240+AC1240+AD1240+AE1240</f>
        <v>329863.09999999998</v>
      </c>
      <c r="E1240" s="31">
        <v>0</v>
      </c>
      <c r="F1240" s="31">
        <v>0</v>
      </c>
      <c r="G1240" s="31">
        <v>0</v>
      </c>
      <c r="H1240" s="31">
        <v>0</v>
      </c>
      <c r="I1240" s="31">
        <v>0</v>
      </c>
      <c r="J1240" s="31">
        <v>0</v>
      </c>
      <c r="K1240" s="33">
        <v>0</v>
      </c>
      <c r="L1240" s="31">
        <v>0</v>
      </c>
      <c r="M1240" s="31">
        <v>0</v>
      </c>
      <c r="N1240" s="31">
        <v>0</v>
      </c>
      <c r="O1240" s="31">
        <v>0</v>
      </c>
      <c r="P1240" s="31">
        <v>0</v>
      </c>
      <c r="Q1240" s="31">
        <v>98</v>
      </c>
      <c r="R1240" s="31">
        <v>206761.67</v>
      </c>
      <c r="S1240" s="31">
        <v>0</v>
      </c>
      <c r="T1240" s="31">
        <v>0</v>
      </c>
      <c r="U1240" s="31">
        <v>0</v>
      </c>
      <c r="V1240" s="31">
        <v>0</v>
      </c>
      <c r="W1240" s="31">
        <v>0</v>
      </c>
      <c r="X1240" s="31">
        <v>0</v>
      </c>
      <c r="Y1240" s="31">
        <v>0</v>
      </c>
      <c r="Z1240" s="31">
        <v>0</v>
      </c>
      <c r="AA1240" s="31">
        <v>0</v>
      </c>
      <c r="AB1240" s="31">
        <v>0</v>
      </c>
      <c r="AC1240" s="31">
        <f>ROUND(R1240*1.5%,2)</f>
        <v>3101.43</v>
      </c>
      <c r="AD1240" s="31">
        <v>120000</v>
      </c>
      <c r="AE1240" s="31">
        <v>0</v>
      </c>
      <c r="AF1240" s="34">
        <v>2022</v>
      </c>
      <c r="AG1240" s="34">
        <v>2022</v>
      </c>
      <c r="AH1240" s="35">
        <v>2022</v>
      </c>
      <c r="AT1240" s="20" t="e">
        <f t="shared" si="404"/>
        <v>#N/A</v>
      </c>
      <c r="BZ1240" s="71"/>
    </row>
    <row r="1241" spans="1:78" ht="61.5" x14ac:dyDescent="0.85">
      <c r="A1241" s="20">
        <v>1</v>
      </c>
      <c r="B1241" s="66">
        <f>SUBTOTAL(103,$A$1006:A1241)</f>
        <v>192</v>
      </c>
      <c r="C1241" s="122" t="s">
        <v>166</v>
      </c>
      <c r="D1241" s="31">
        <f t="shared" si="409"/>
        <v>3682017.92</v>
      </c>
      <c r="E1241" s="31">
        <v>0</v>
      </c>
      <c r="F1241" s="31">
        <v>0</v>
      </c>
      <c r="G1241" s="31">
        <v>0</v>
      </c>
      <c r="H1241" s="31">
        <v>0</v>
      </c>
      <c r="I1241" s="31">
        <v>0</v>
      </c>
      <c r="J1241" s="31">
        <v>0</v>
      </c>
      <c r="K1241" s="33">
        <v>0</v>
      </c>
      <c r="L1241" s="31">
        <v>0</v>
      </c>
      <c r="M1241" s="31">
        <v>771.1</v>
      </c>
      <c r="N1241" s="31">
        <v>3479820.61</v>
      </c>
      <c r="O1241" s="31">
        <v>0</v>
      </c>
      <c r="P1241" s="31">
        <v>0</v>
      </c>
      <c r="Q1241" s="31">
        <v>0</v>
      </c>
      <c r="R1241" s="31">
        <v>0</v>
      </c>
      <c r="S1241" s="31">
        <v>0</v>
      </c>
      <c r="T1241" s="31">
        <v>0</v>
      </c>
      <c r="U1241" s="31">
        <v>0</v>
      </c>
      <c r="V1241" s="31">
        <v>0</v>
      </c>
      <c r="W1241" s="31">
        <v>0</v>
      </c>
      <c r="X1241" s="31">
        <v>0</v>
      </c>
      <c r="Y1241" s="31">
        <v>0</v>
      </c>
      <c r="Z1241" s="31">
        <v>0</v>
      </c>
      <c r="AA1241" s="31">
        <v>0</v>
      </c>
      <c r="AB1241" s="31">
        <v>0</v>
      </c>
      <c r="AC1241" s="31">
        <f>ROUND(N1241*1.5%,2)</f>
        <v>52197.31</v>
      </c>
      <c r="AD1241" s="31">
        <v>150000</v>
      </c>
      <c r="AE1241" s="31">
        <v>0</v>
      </c>
      <c r="AF1241" s="34">
        <v>2022</v>
      </c>
      <c r="AG1241" s="34">
        <v>2022</v>
      </c>
      <c r="AH1241" s="35">
        <v>2022</v>
      </c>
      <c r="AT1241" s="20" t="e">
        <f t="shared" si="404"/>
        <v>#N/A</v>
      </c>
      <c r="BZ1241" s="71"/>
    </row>
    <row r="1242" spans="1:78" ht="61.5" x14ac:dyDescent="0.85">
      <c r="B1242" s="24" t="s">
        <v>857</v>
      </c>
      <c r="C1242" s="24"/>
      <c r="D1242" s="195">
        <f>SUM(D1243:D1245)</f>
        <v>6079528.0199999996</v>
      </c>
      <c r="E1242" s="31">
        <f t="shared" ref="E1242:AE1242" si="410">SUM(E1243:E1245)</f>
        <v>0</v>
      </c>
      <c r="F1242" s="31">
        <f t="shared" si="410"/>
        <v>0</v>
      </c>
      <c r="G1242" s="31">
        <f t="shared" si="410"/>
        <v>0</v>
      </c>
      <c r="H1242" s="31">
        <f t="shared" si="410"/>
        <v>0</v>
      </c>
      <c r="I1242" s="31">
        <f t="shared" si="410"/>
        <v>0</v>
      </c>
      <c r="J1242" s="31">
        <f t="shared" si="410"/>
        <v>0</v>
      </c>
      <c r="K1242" s="33">
        <f t="shared" si="410"/>
        <v>0</v>
      </c>
      <c r="L1242" s="31">
        <f t="shared" si="410"/>
        <v>0</v>
      </c>
      <c r="M1242" s="31">
        <f t="shared" si="410"/>
        <v>1274.46</v>
      </c>
      <c r="N1242" s="31">
        <f t="shared" si="410"/>
        <v>5605446.3300000001</v>
      </c>
      <c r="O1242" s="31">
        <f t="shared" si="410"/>
        <v>0</v>
      </c>
      <c r="P1242" s="31">
        <f t="shared" si="410"/>
        <v>0</v>
      </c>
      <c r="Q1242" s="31">
        <f t="shared" si="410"/>
        <v>0</v>
      </c>
      <c r="R1242" s="31">
        <f t="shared" si="410"/>
        <v>0</v>
      </c>
      <c r="S1242" s="31">
        <f t="shared" si="410"/>
        <v>0</v>
      </c>
      <c r="T1242" s="31">
        <f t="shared" si="410"/>
        <v>0</v>
      </c>
      <c r="U1242" s="31">
        <f t="shared" si="410"/>
        <v>0</v>
      </c>
      <c r="V1242" s="31">
        <f t="shared" si="410"/>
        <v>0</v>
      </c>
      <c r="W1242" s="31">
        <f t="shared" si="410"/>
        <v>0</v>
      </c>
      <c r="X1242" s="31">
        <f t="shared" si="410"/>
        <v>0</v>
      </c>
      <c r="Y1242" s="31">
        <f t="shared" si="410"/>
        <v>0</v>
      </c>
      <c r="Z1242" s="31">
        <f t="shared" si="410"/>
        <v>0</v>
      </c>
      <c r="AA1242" s="31">
        <f t="shared" si="410"/>
        <v>0</v>
      </c>
      <c r="AB1242" s="31">
        <f t="shared" si="410"/>
        <v>0</v>
      </c>
      <c r="AC1242" s="31">
        <f t="shared" si="410"/>
        <v>84081.69</v>
      </c>
      <c r="AD1242" s="31">
        <f t="shared" si="410"/>
        <v>390000</v>
      </c>
      <c r="AE1242" s="31">
        <f t="shared" si="410"/>
        <v>0</v>
      </c>
      <c r="AF1242" s="247" t="s">
        <v>757</v>
      </c>
      <c r="AG1242" s="247" t="s">
        <v>757</v>
      </c>
      <c r="AH1242" s="248" t="s">
        <v>757</v>
      </c>
      <c r="AT1242" s="20" t="e">
        <f t="shared" si="404"/>
        <v>#N/A</v>
      </c>
      <c r="BZ1242" s="71">
        <v>6026117.5699999994</v>
      </c>
    </row>
    <row r="1243" spans="1:78" ht="61.5" x14ac:dyDescent="0.85">
      <c r="A1243" s="20">
        <v>1</v>
      </c>
      <c r="B1243" s="66">
        <f>SUBTOTAL(103,$A$1006:A1243)</f>
        <v>193</v>
      </c>
      <c r="C1243" s="122" t="s">
        <v>1969</v>
      </c>
      <c r="D1243" s="31">
        <f t="shared" ref="D1243:D1245" si="411">E1243+F1243+G1243+H1243+I1243+J1243+L1243+N1243+P1243+R1243+T1243+U1243+V1243+W1243+X1243+Y1243+Z1243+AA1243+AB1243+AC1243+AD1243+AE1243</f>
        <v>3274967.59</v>
      </c>
      <c r="E1243" s="31">
        <v>0</v>
      </c>
      <c r="F1243" s="31">
        <v>0</v>
      </c>
      <c r="G1243" s="31">
        <v>0</v>
      </c>
      <c r="H1243" s="31">
        <v>0</v>
      </c>
      <c r="I1243" s="31">
        <v>0</v>
      </c>
      <c r="J1243" s="31">
        <v>0</v>
      </c>
      <c r="K1243" s="33">
        <v>0</v>
      </c>
      <c r="L1243" s="31">
        <v>0</v>
      </c>
      <c r="M1243" s="31">
        <v>767.4</v>
      </c>
      <c r="N1243" s="31">
        <v>3078785.8</v>
      </c>
      <c r="O1243" s="31">
        <v>0</v>
      </c>
      <c r="P1243" s="31">
        <v>0</v>
      </c>
      <c r="Q1243" s="31">
        <v>0</v>
      </c>
      <c r="R1243" s="31">
        <v>0</v>
      </c>
      <c r="S1243" s="31">
        <v>0</v>
      </c>
      <c r="T1243" s="31">
        <v>0</v>
      </c>
      <c r="U1243" s="31">
        <v>0</v>
      </c>
      <c r="V1243" s="31">
        <v>0</v>
      </c>
      <c r="W1243" s="31">
        <v>0</v>
      </c>
      <c r="X1243" s="31">
        <v>0</v>
      </c>
      <c r="Y1243" s="31">
        <v>0</v>
      </c>
      <c r="Z1243" s="31">
        <v>0</v>
      </c>
      <c r="AA1243" s="31">
        <v>0</v>
      </c>
      <c r="AB1243" s="31">
        <v>0</v>
      </c>
      <c r="AC1243" s="31">
        <f>ROUND(N1243*1.5%,2)</f>
        <v>46181.79</v>
      </c>
      <c r="AD1243" s="31">
        <v>150000</v>
      </c>
      <c r="AE1243" s="31">
        <v>0</v>
      </c>
      <c r="AF1243" s="34">
        <v>2022</v>
      </c>
      <c r="AG1243" s="34">
        <v>2022</v>
      </c>
      <c r="AH1243" s="35">
        <v>2022</v>
      </c>
      <c r="AT1243" s="20" t="e">
        <f t="shared" si="404"/>
        <v>#N/A</v>
      </c>
      <c r="BZ1243" s="71"/>
    </row>
    <row r="1244" spans="1:78" ht="61.5" x14ac:dyDescent="0.85">
      <c r="A1244" s="20">
        <v>1</v>
      </c>
      <c r="B1244" s="66">
        <f>SUBTOTAL(103,$A$1006:A1244)</f>
        <v>194</v>
      </c>
      <c r="C1244" s="122" t="s">
        <v>1978</v>
      </c>
      <c r="D1244" s="31">
        <f t="shared" ref="D1244" si="412">E1244+F1244+G1244+H1244+I1244+J1244+L1244+N1244+P1244+R1244+T1244+U1244+V1244+W1244+X1244+Y1244+Z1244+AA1244+AB1244+AC1244+AD1244+AE1244</f>
        <v>1167219.1299999999</v>
      </c>
      <c r="E1244" s="31">
        <v>0</v>
      </c>
      <c r="F1244" s="31">
        <v>0</v>
      </c>
      <c r="G1244" s="31">
        <v>0</v>
      </c>
      <c r="H1244" s="31">
        <v>0</v>
      </c>
      <c r="I1244" s="31">
        <v>0</v>
      </c>
      <c r="J1244" s="31">
        <v>0</v>
      </c>
      <c r="K1244" s="33">
        <v>0</v>
      </c>
      <c r="L1244" s="31">
        <v>0</v>
      </c>
      <c r="M1244" s="31">
        <v>193.5</v>
      </c>
      <c r="N1244" s="31">
        <v>1031742.99</v>
      </c>
      <c r="O1244" s="31">
        <v>0</v>
      </c>
      <c r="P1244" s="31">
        <v>0</v>
      </c>
      <c r="Q1244" s="31">
        <v>0</v>
      </c>
      <c r="R1244" s="31">
        <v>0</v>
      </c>
      <c r="S1244" s="31">
        <v>0</v>
      </c>
      <c r="T1244" s="31">
        <v>0</v>
      </c>
      <c r="U1244" s="31">
        <v>0</v>
      </c>
      <c r="V1244" s="31">
        <v>0</v>
      </c>
      <c r="W1244" s="31">
        <v>0</v>
      </c>
      <c r="X1244" s="31">
        <v>0</v>
      </c>
      <c r="Y1244" s="31">
        <v>0</v>
      </c>
      <c r="Z1244" s="31">
        <v>0</v>
      </c>
      <c r="AA1244" s="31">
        <v>0</v>
      </c>
      <c r="AB1244" s="31">
        <v>0</v>
      </c>
      <c r="AC1244" s="31">
        <f>ROUND(N1244*1.5%,2)</f>
        <v>15476.14</v>
      </c>
      <c r="AD1244" s="31">
        <v>120000</v>
      </c>
      <c r="AE1244" s="31">
        <v>0</v>
      </c>
      <c r="AF1244" s="34">
        <v>2022</v>
      </c>
      <c r="AG1244" s="34">
        <v>2022</v>
      </c>
      <c r="AH1244" s="35">
        <v>2022</v>
      </c>
      <c r="AT1244" s="20" t="e">
        <f t="shared" si="404"/>
        <v>#N/A</v>
      </c>
      <c r="BZ1244" s="71"/>
    </row>
    <row r="1245" spans="1:78" ht="61.5" x14ac:dyDescent="0.85">
      <c r="A1245" s="20">
        <v>1</v>
      </c>
      <c r="B1245" s="66">
        <f>SUBTOTAL(103,$A$1006:A1245)</f>
        <v>195</v>
      </c>
      <c r="C1245" s="122" t="s">
        <v>164</v>
      </c>
      <c r="D1245" s="31">
        <f t="shared" si="411"/>
        <v>1637341.3</v>
      </c>
      <c r="E1245" s="31">
        <v>0</v>
      </c>
      <c r="F1245" s="31">
        <v>0</v>
      </c>
      <c r="G1245" s="31">
        <v>0</v>
      </c>
      <c r="H1245" s="31">
        <v>0</v>
      </c>
      <c r="I1245" s="31">
        <v>0</v>
      </c>
      <c r="J1245" s="31">
        <v>0</v>
      </c>
      <c r="K1245" s="33">
        <v>0</v>
      </c>
      <c r="L1245" s="31">
        <v>0</v>
      </c>
      <c r="M1245" s="31">
        <v>313.56</v>
      </c>
      <c r="N1245" s="31">
        <v>1494917.54</v>
      </c>
      <c r="O1245" s="31">
        <v>0</v>
      </c>
      <c r="P1245" s="31">
        <v>0</v>
      </c>
      <c r="Q1245" s="31">
        <v>0</v>
      </c>
      <c r="R1245" s="31">
        <v>0</v>
      </c>
      <c r="S1245" s="31">
        <v>0</v>
      </c>
      <c r="T1245" s="31">
        <v>0</v>
      </c>
      <c r="U1245" s="31">
        <v>0</v>
      </c>
      <c r="V1245" s="31">
        <v>0</v>
      </c>
      <c r="W1245" s="31">
        <v>0</v>
      </c>
      <c r="X1245" s="31">
        <v>0</v>
      </c>
      <c r="Y1245" s="31">
        <v>0</v>
      </c>
      <c r="Z1245" s="31">
        <v>0</v>
      </c>
      <c r="AA1245" s="31">
        <v>0</v>
      </c>
      <c r="AB1245" s="31">
        <v>0</v>
      </c>
      <c r="AC1245" s="31">
        <f>ROUND(N1245*1.5%,2)</f>
        <v>22423.759999999998</v>
      </c>
      <c r="AD1245" s="31">
        <v>120000</v>
      </c>
      <c r="AE1245" s="31">
        <v>0</v>
      </c>
      <c r="AF1245" s="34">
        <v>2022</v>
      </c>
      <c r="AG1245" s="34">
        <v>2022</v>
      </c>
      <c r="AH1245" s="35">
        <v>2022</v>
      </c>
      <c r="AT1245" s="20" t="e">
        <f t="shared" si="404"/>
        <v>#N/A</v>
      </c>
      <c r="BZ1245" s="71"/>
    </row>
    <row r="1246" spans="1:78" ht="61.5" x14ac:dyDescent="0.85">
      <c r="B1246" s="24" t="s">
        <v>858</v>
      </c>
      <c r="C1246" s="24"/>
      <c r="D1246" s="195">
        <f>SUM(D1247:D1249)</f>
        <v>12459674.15</v>
      </c>
      <c r="E1246" s="31">
        <f t="shared" ref="E1246:AE1246" si="413">SUM(E1247:E1249)</f>
        <v>0</v>
      </c>
      <c r="F1246" s="31">
        <f t="shared" si="413"/>
        <v>0</v>
      </c>
      <c r="G1246" s="31">
        <f t="shared" si="413"/>
        <v>0</v>
      </c>
      <c r="H1246" s="31">
        <f t="shared" si="413"/>
        <v>0</v>
      </c>
      <c r="I1246" s="31">
        <f t="shared" si="413"/>
        <v>0</v>
      </c>
      <c r="J1246" s="31">
        <f t="shared" si="413"/>
        <v>0</v>
      </c>
      <c r="K1246" s="33">
        <f t="shared" si="413"/>
        <v>0</v>
      </c>
      <c r="L1246" s="31">
        <f t="shared" si="413"/>
        <v>0</v>
      </c>
      <c r="M1246" s="31">
        <f t="shared" si="413"/>
        <v>2891.3100000000004</v>
      </c>
      <c r="N1246" s="31">
        <f t="shared" si="413"/>
        <v>11802634.630000001</v>
      </c>
      <c r="O1246" s="31">
        <f t="shared" si="413"/>
        <v>0</v>
      </c>
      <c r="P1246" s="31">
        <f t="shared" si="413"/>
        <v>0</v>
      </c>
      <c r="Q1246" s="31">
        <f t="shared" si="413"/>
        <v>0</v>
      </c>
      <c r="R1246" s="31">
        <f t="shared" si="413"/>
        <v>0</v>
      </c>
      <c r="S1246" s="31">
        <f t="shared" si="413"/>
        <v>0</v>
      </c>
      <c r="T1246" s="31">
        <f t="shared" si="413"/>
        <v>0</v>
      </c>
      <c r="U1246" s="31">
        <f t="shared" si="413"/>
        <v>0</v>
      </c>
      <c r="V1246" s="31">
        <f t="shared" si="413"/>
        <v>0</v>
      </c>
      <c r="W1246" s="31">
        <f t="shared" si="413"/>
        <v>0</v>
      </c>
      <c r="X1246" s="31">
        <f t="shared" si="413"/>
        <v>0</v>
      </c>
      <c r="Y1246" s="31">
        <f t="shared" si="413"/>
        <v>0</v>
      </c>
      <c r="Z1246" s="31">
        <f t="shared" si="413"/>
        <v>0</v>
      </c>
      <c r="AA1246" s="31">
        <f t="shared" si="413"/>
        <v>0</v>
      </c>
      <c r="AB1246" s="31">
        <f t="shared" si="413"/>
        <v>0</v>
      </c>
      <c r="AC1246" s="31">
        <f t="shared" si="413"/>
        <v>177039.52000000002</v>
      </c>
      <c r="AD1246" s="31">
        <f t="shared" si="413"/>
        <v>480000</v>
      </c>
      <c r="AE1246" s="31">
        <f t="shared" si="413"/>
        <v>0</v>
      </c>
      <c r="AF1246" s="247" t="s">
        <v>757</v>
      </c>
      <c r="AG1246" s="247" t="s">
        <v>757</v>
      </c>
      <c r="AH1246" s="248" t="s">
        <v>757</v>
      </c>
      <c r="AT1246" s="20" t="e">
        <f t="shared" si="404"/>
        <v>#N/A</v>
      </c>
      <c r="BZ1246" s="71">
        <v>12459674.15</v>
      </c>
    </row>
    <row r="1247" spans="1:78" ht="61.5" x14ac:dyDescent="0.85">
      <c r="A1247" s="20">
        <v>1</v>
      </c>
      <c r="B1247" s="66">
        <f>SUBTOTAL(103,$A$1006:A1247)</f>
        <v>196</v>
      </c>
      <c r="C1247" s="122" t="s">
        <v>161</v>
      </c>
      <c r="D1247" s="31">
        <f t="shared" ref="D1247:D1249" si="414">E1247+F1247+G1247+H1247+I1247+J1247+L1247+N1247+P1247+R1247+T1247+U1247+V1247+W1247+X1247+Y1247+Z1247+AA1247+AB1247+AC1247+AD1247+AE1247</f>
        <v>5095413.53</v>
      </c>
      <c r="E1247" s="31">
        <v>0</v>
      </c>
      <c r="F1247" s="31">
        <v>0</v>
      </c>
      <c r="G1247" s="31">
        <v>0</v>
      </c>
      <c r="H1247" s="31">
        <v>0</v>
      </c>
      <c r="I1247" s="31">
        <v>0</v>
      </c>
      <c r="J1247" s="31">
        <v>0</v>
      </c>
      <c r="K1247" s="33">
        <v>0</v>
      </c>
      <c r="L1247" s="31">
        <v>0</v>
      </c>
      <c r="M1247" s="31">
        <v>1276.79</v>
      </c>
      <c r="N1247" s="31">
        <v>4842771.95</v>
      </c>
      <c r="O1247" s="31">
        <v>0</v>
      </c>
      <c r="P1247" s="31">
        <v>0</v>
      </c>
      <c r="Q1247" s="31">
        <v>0</v>
      </c>
      <c r="R1247" s="31">
        <v>0</v>
      </c>
      <c r="S1247" s="31">
        <v>0</v>
      </c>
      <c r="T1247" s="31">
        <v>0</v>
      </c>
      <c r="U1247" s="31">
        <v>0</v>
      </c>
      <c r="V1247" s="31">
        <v>0</v>
      </c>
      <c r="W1247" s="31">
        <v>0</v>
      </c>
      <c r="X1247" s="31">
        <v>0</v>
      </c>
      <c r="Y1247" s="31">
        <v>0</v>
      </c>
      <c r="Z1247" s="31">
        <v>0</v>
      </c>
      <c r="AA1247" s="31">
        <v>0</v>
      </c>
      <c r="AB1247" s="31">
        <v>0</v>
      </c>
      <c r="AC1247" s="31">
        <f>ROUND(N1247*1.5%,2)</f>
        <v>72641.58</v>
      </c>
      <c r="AD1247" s="31">
        <v>180000</v>
      </c>
      <c r="AE1247" s="31">
        <v>0</v>
      </c>
      <c r="AF1247" s="34">
        <v>2022</v>
      </c>
      <c r="AG1247" s="34">
        <v>2022</v>
      </c>
      <c r="AH1247" s="35">
        <v>2022</v>
      </c>
      <c r="AT1247" s="20" t="e">
        <f t="shared" si="404"/>
        <v>#N/A</v>
      </c>
      <c r="BZ1247" s="71"/>
    </row>
    <row r="1248" spans="1:78" ht="61.5" x14ac:dyDescent="0.85">
      <c r="A1248" s="20">
        <v>1</v>
      </c>
      <c r="B1248" s="66">
        <f>SUBTOTAL(103,$A$1006:A1248)</f>
        <v>197</v>
      </c>
      <c r="C1248" s="122" t="s">
        <v>162</v>
      </c>
      <c r="D1248" s="31">
        <f t="shared" si="414"/>
        <v>3457309.86</v>
      </c>
      <c r="E1248" s="31">
        <v>0</v>
      </c>
      <c r="F1248" s="31">
        <v>0</v>
      </c>
      <c r="G1248" s="31">
        <v>0</v>
      </c>
      <c r="H1248" s="31">
        <v>0</v>
      </c>
      <c r="I1248" s="31">
        <v>0</v>
      </c>
      <c r="J1248" s="31">
        <v>0</v>
      </c>
      <c r="K1248" s="33">
        <v>0</v>
      </c>
      <c r="L1248" s="31">
        <v>0</v>
      </c>
      <c r="M1248" s="31">
        <v>866.32</v>
      </c>
      <c r="N1248" s="31">
        <v>3258433.36</v>
      </c>
      <c r="O1248" s="31">
        <v>0</v>
      </c>
      <c r="P1248" s="31">
        <v>0</v>
      </c>
      <c r="Q1248" s="31">
        <v>0</v>
      </c>
      <c r="R1248" s="31">
        <v>0</v>
      </c>
      <c r="S1248" s="31">
        <v>0</v>
      </c>
      <c r="T1248" s="31">
        <v>0</v>
      </c>
      <c r="U1248" s="31">
        <v>0</v>
      </c>
      <c r="V1248" s="31">
        <v>0</v>
      </c>
      <c r="W1248" s="31">
        <v>0</v>
      </c>
      <c r="X1248" s="31">
        <v>0</v>
      </c>
      <c r="Y1248" s="31">
        <v>0</v>
      </c>
      <c r="Z1248" s="31">
        <v>0</v>
      </c>
      <c r="AA1248" s="31">
        <v>0</v>
      </c>
      <c r="AB1248" s="31">
        <v>0</v>
      </c>
      <c r="AC1248" s="31">
        <f>ROUND(N1248*1.5%,2)</f>
        <v>48876.5</v>
      </c>
      <c r="AD1248" s="31">
        <v>150000</v>
      </c>
      <c r="AE1248" s="31">
        <v>0</v>
      </c>
      <c r="AF1248" s="34">
        <v>2022</v>
      </c>
      <c r="AG1248" s="34">
        <v>2022</v>
      </c>
      <c r="AH1248" s="35">
        <v>2022</v>
      </c>
      <c r="AT1248" s="20" t="e">
        <f t="shared" si="404"/>
        <v>#N/A</v>
      </c>
      <c r="BZ1248" s="71"/>
    </row>
    <row r="1249" spans="1:82" ht="61.5" x14ac:dyDescent="0.85">
      <c r="A1249" s="20">
        <v>1</v>
      </c>
      <c r="B1249" s="66">
        <f>SUBTOTAL(103,$A$1006:A1249)</f>
        <v>198</v>
      </c>
      <c r="C1249" s="122" t="s">
        <v>163</v>
      </c>
      <c r="D1249" s="31">
        <f t="shared" si="414"/>
        <v>3906950.76</v>
      </c>
      <c r="E1249" s="31">
        <v>0</v>
      </c>
      <c r="F1249" s="31">
        <v>0</v>
      </c>
      <c r="G1249" s="31">
        <v>0</v>
      </c>
      <c r="H1249" s="31">
        <v>0</v>
      </c>
      <c r="I1249" s="31">
        <v>0</v>
      </c>
      <c r="J1249" s="31">
        <v>0</v>
      </c>
      <c r="K1249" s="33">
        <v>0</v>
      </c>
      <c r="L1249" s="31">
        <v>0</v>
      </c>
      <c r="M1249" s="31">
        <v>748.2</v>
      </c>
      <c r="N1249" s="31">
        <v>3701429.32</v>
      </c>
      <c r="O1249" s="31">
        <v>0</v>
      </c>
      <c r="P1249" s="31">
        <v>0</v>
      </c>
      <c r="Q1249" s="31">
        <v>0</v>
      </c>
      <c r="R1249" s="31">
        <v>0</v>
      </c>
      <c r="S1249" s="31">
        <v>0</v>
      </c>
      <c r="T1249" s="31">
        <v>0</v>
      </c>
      <c r="U1249" s="31">
        <v>0</v>
      </c>
      <c r="V1249" s="31">
        <v>0</v>
      </c>
      <c r="W1249" s="31">
        <v>0</v>
      </c>
      <c r="X1249" s="31">
        <v>0</v>
      </c>
      <c r="Y1249" s="31">
        <v>0</v>
      </c>
      <c r="Z1249" s="31">
        <v>0</v>
      </c>
      <c r="AA1249" s="31">
        <v>0</v>
      </c>
      <c r="AB1249" s="31">
        <v>0</v>
      </c>
      <c r="AC1249" s="31">
        <f>ROUND(N1249*1.5%,2)</f>
        <v>55521.440000000002</v>
      </c>
      <c r="AD1249" s="31">
        <v>150000</v>
      </c>
      <c r="AE1249" s="31">
        <v>0</v>
      </c>
      <c r="AF1249" s="34">
        <v>2022</v>
      </c>
      <c r="AG1249" s="34">
        <v>2022</v>
      </c>
      <c r="AH1249" s="35">
        <v>2022</v>
      </c>
      <c r="AT1249" s="20" t="e">
        <f t="shared" si="404"/>
        <v>#N/A</v>
      </c>
      <c r="BZ1249" s="71"/>
    </row>
    <row r="1250" spans="1:82" ht="61.5" x14ac:dyDescent="0.85">
      <c r="B1250" s="24" t="s">
        <v>859</v>
      </c>
      <c r="C1250" s="24"/>
      <c r="D1250" s="195">
        <f t="shared" ref="D1250:AE1250" si="415">SUM(D1251:D1253)</f>
        <v>12269019.870000001</v>
      </c>
      <c r="E1250" s="31">
        <f t="shared" si="415"/>
        <v>0</v>
      </c>
      <c r="F1250" s="31">
        <f t="shared" si="415"/>
        <v>0</v>
      </c>
      <c r="G1250" s="31">
        <f t="shared" si="415"/>
        <v>0</v>
      </c>
      <c r="H1250" s="31">
        <f t="shared" si="415"/>
        <v>0</v>
      </c>
      <c r="I1250" s="31">
        <f t="shared" si="415"/>
        <v>0</v>
      </c>
      <c r="J1250" s="31">
        <f t="shared" si="415"/>
        <v>0</v>
      </c>
      <c r="K1250" s="33">
        <f t="shared" si="415"/>
        <v>0</v>
      </c>
      <c r="L1250" s="31">
        <f t="shared" si="415"/>
        <v>0</v>
      </c>
      <c r="M1250" s="31">
        <f t="shared" si="415"/>
        <v>995</v>
      </c>
      <c r="N1250" s="31">
        <f t="shared" si="415"/>
        <v>6086660.5899999999</v>
      </c>
      <c r="O1250" s="31">
        <f t="shared" si="415"/>
        <v>146</v>
      </c>
      <c r="P1250" s="31">
        <f t="shared" si="415"/>
        <v>565939.61</v>
      </c>
      <c r="Q1250" s="31">
        <f t="shared" si="415"/>
        <v>1414.36</v>
      </c>
      <c r="R1250" s="31">
        <f t="shared" si="415"/>
        <v>5021311</v>
      </c>
      <c r="S1250" s="31">
        <f t="shared" si="415"/>
        <v>0</v>
      </c>
      <c r="T1250" s="31">
        <f t="shared" si="415"/>
        <v>0</v>
      </c>
      <c r="U1250" s="31">
        <f t="shared" si="415"/>
        <v>0</v>
      </c>
      <c r="V1250" s="31">
        <f t="shared" si="415"/>
        <v>0</v>
      </c>
      <c r="W1250" s="31">
        <f t="shared" si="415"/>
        <v>0</v>
      </c>
      <c r="X1250" s="31">
        <f t="shared" si="415"/>
        <v>0</v>
      </c>
      <c r="Y1250" s="31">
        <f t="shared" si="415"/>
        <v>0</v>
      </c>
      <c r="Z1250" s="31">
        <f t="shared" si="415"/>
        <v>0</v>
      </c>
      <c r="AA1250" s="31">
        <f t="shared" si="415"/>
        <v>0</v>
      </c>
      <c r="AB1250" s="31">
        <f t="shared" si="415"/>
        <v>0</v>
      </c>
      <c r="AC1250" s="31">
        <f t="shared" si="415"/>
        <v>175108.66999999998</v>
      </c>
      <c r="AD1250" s="31">
        <f t="shared" si="415"/>
        <v>420000</v>
      </c>
      <c r="AE1250" s="31">
        <f t="shared" si="415"/>
        <v>0</v>
      </c>
      <c r="AF1250" s="247" t="s">
        <v>757</v>
      </c>
      <c r="AG1250" s="247" t="s">
        <v>757</v>
      </c>
      <c r="AH1250" s="248" t="s">
        <v>757</v>
      </c>
      <c r="AT1250" s="20" t="e">
        <f t="shared" si="404"/>
        <v>#N/A</v>
      </c>
      <c r="BZ1250" s="71">
        <v>11707868.220000001</v>
      </c>
    </row>
    <row r="1251" spans="1:82" ht="61.5" x14ac:dyDescent="0.85">
      <c r="A1251" s="20">
        <v>1</v>
      </c>
      <c r="B1251" s="66">
        <f>SUBTOTAL(103,$A$1006:A1251)</f>
        <v>199</v>
      </c>
      <c r="C1251" s="122" t="s">
        <v>157</v>
      </c>
      <c r="D1251" s="31">
        <f t="shared" ref="D1251:D1253" si="416">E1251+F1251+G1251+H1251+I1251+J1251+L1251+N1251+P1251+R1251+T1251+U1251+V1251+W1251+X1251+Y1251+Z1251+AA1251+AB1251+AC1251+AD1251+AE1251</f>
        <v>694428.7</v>
      </c>
      <c r="E1251" s="31">
        <v>0</v>
      </c>
      <c r="F1251" s="31">
        <v>0</v>
      </c>
      <c r="G1251" s="31">
        <v>0</v>
      </c>
      <c r="H1251" s="31">
        <v>0</v>
      </c>
      <c r="I1251" s="31">
        <v>0</v>
      </c>
      <c r="J1251" s="31">
        <v>0</v>
      </c>
      <c r="K1251" s="33">
        <v>0</v>
      </c>
      <c r="L1251" s="31">
        <v>0</v>
      </c>
      <c r="M1251" s="31">
        <v>0</v>
      </c>
      <c r="N1251" s="31">
        <v>0</v>
      </c>
      <c r="O1251" s="31">
        <v>146</v>
      </c>
      <c r="P1251" s="31">
        <f>365939.61+200000</f>
        <v>565939.61</v>
      </c>
      <c r="Q1251" s="31">
        <v>0</v>
      </c>
      <c r="R1251" s="31">
        <v>0</v>
      </c>
      <c r="S1251" s="31">
        <v>0</v>
      </c>
      <c r="T1251" s="31">
        <v>0</v>
      </c>
      <c r="U1251" s="31">
        <v>0</v>
      </c>
      <c r="V1251" s="31">
        <v>0</v>
      </c>
      <c r="W1251" s="31">
        <v>0</v>
      </c>
      <c r="X1251" s="31">
        <v>0</v>
      </c>
      <c r="Y1251" s="31">
        <v>0</v>
      </c>
      <c r="Z1251" s="31">
        <v>0</v>
      </c>
      <c r="AA1251" s="31">
        <v>0</v>
      </c>
      <c r="AB1251" s="31">
        <v>0</v>
      </c>
      <c r="AC1251" s="31">
        <f>ROUND(P1251*1.5%,2)</f>
        <v>8489.09</v>
      </c>
      <c r="AD1251" s="31">
        <v>120000</v>
      </c>
      <c r="AE1251" s="31">
        <v>0</v>
      </c>
      <c r="AF1251" s="34">
        <v>2022</v>
      </c>
      <c r="AG1251" s="34">
        <v>2022</v>
      </c>
      <c r="AH1251" s="35">
        <v>2022</v>
      </c>
      <c r="AT1251" s="20" t="e">
        <f t="shared" si="404"/>
        <v>#N/A</v>
      </c>
      <c r="BZ1251" s="71"/>
    </row>
    <row r="1252" spans="1:82" ht="61.5" x14ac:dyDescent="0.85">
      <c r="A1252" s="20">
        <v>1</v>
      </c>
      <c r="B1252" s="66">
        <f>SUBTOTAL(103,$A$1006:A1252)</f>
        <v>200</v>
      </c>
      <c r="C1252" s="24" t="s">
        <v>149</v>
      </c>
      <c r="D1252" s="31">
        <f t="shared" si="416"/>
        <v>5246630.67</v>
      </c>
      <c r="E1252" s="31">
        <v>0</v>
      </c>
      <c r="F1252" s="31">
        <v>0</v>
      </c>
      <c r="G1252" s="31">
        <v>0</v>
      </c>
      <c r="H1252" s="31">
        <v>0</v>
      </c>
      <c r="I1252" s="31">
        <v>0</v>
      </c>
      <c r="J1252" s="31">
        <v>0</v>
      </c>
      <c r="K1252" s="33">
        <v>0</v>
      </c>
      <c r="L1252" s="31">
        <v>0</v>
      </c>
      <c r="M1252" s="31">
        <v>0</v>
      </c>
      <c r="N1252" s="31">
        <v>0</v>
      </c>
      <c r="O1252" s="31">
        <v>0</v>
      </c>
      <c r="P1252" s="31">
        <v>0</v>
      </c>
      <c r="Q1252" s="31">
        <v>1414.36</v>
      </c>
      <c r="R1252" s="31">
        <f>4221311+800000</f>
        <v>5021311</v>
      </c>
      <c r="S1252" s="31">
        <v>0</v>
      </c>
      <c r="T1252" s="31">
        <v>0</v>
      </c>
      <c r="U1252" s="31">
        <v>0</v>
      </c>
      <c r="V1252" s="31">
        <v>0</v>
      </c>
      <c r="W1252" s="31">
        <v>0</v>
      </c>
      <c r="X1252" s="31">
        <v>0</v>
      </c>
      <c r="Y1252" s="31">
        <v>0</v>
      </c>
      <c r="Z1252" s="31">
        <v>0</v>
      </c>
      <c r="AA1252" s="31">
        <v>0</v>
      </c>
      <c r="AB1252" s="31">
        <v>0</v>
      </c>
      <c r="AC1252" s="31">
        <f>ROUND(R1252*1.5%,2)</f>
        <v>75319.67</v>
      </c>
      <c r="AD1252" s="31">
        <v>150000</v>
      </c>
      <c r="AE1252" s="31">
        <v>0</v>
      </c>
      <c r="AF1252" s="34">
        <v>2022</v>
      </c>
      <c r="AG1252" s="34">
        <v>2022</v>
      </c>
      <c r="AH1252" s="35">
        <v>2022</v>
      </c>
      <c r="AT1252" s="20" t="e">
        <f t="shared" si="404"/>
        <v>#N/A</v>
      </c>
      <c r="BZ1252" s="71"/>
      <c r="CD1252" s="20" t="e">
        <f>VLOOKUP(C1252,CE:CF,2,FALSE)</f>
        <v>#N/A</v>
      </c>
    </row>
    <row r="1253" spans="1:82" ht="61.5" x14ac:dyDescent="0.85">
      <c r="A1253" s="20">
        <v>1</v>
      </c>
      <c r="B1253" s="66">
        <f>SUBTOTAL(103,$A$1006:A1253)</f>
        <v>201</v>
      </c>
      <c r="C1253" s="122" t="s">
        <v>138</v>
      </c>
      <c r="D1253" s="31">
        <f t="shared" si="416"/>
        <v>6327960.5</v>
      </c>
      <c r="E1253" s="31">
        <v>0</v>
      </c>
      <c r="F1253" s="31">
        <v>0</v>
      </c>
      <c r="G1253" s="31">
        <v>0</v>
      </c>
      <c r="H1253" s="31">
        <v>0</v>
      </c>
      <c r="I1253" s="31">
        <v>0</v>
      </c>
      <c r="J1253" s="31">
        <v>0</v>
      </c>
      <c r="K1253" s="33">
        <v>0</v>
      </c>
      <c r="L1253" s="31">
        <v>0</v>
      </c>
      <c r="M1253" s="31">
        <v>995</v>
      </c>
      <c r="N1253" s="31">
        <f>4971124.14+1115536.45</f>
        <v>6086660.5899999999</v>
      </c>
      <c r="O1253" s="31">
        <v>0</v>
      </c>
      <c r="P1253" s="31">
        <v>0</v>
      </c>
      <c r="Q1253" s="31">
        <v>0</v>
      </c>
      <c r="R1253" s="31">
        <v>0</v>
      </c>
      <c r="S1253" s="31">
        <v>0</v>
      </c>
      <c r="T1253" s="31">
        <v>0</v>
      </c>
      <c r="U1253" s="31">
        <v>0</v>
      </c>
      <c r="V1253" s="31">
        <v>0</v>
      </c>
      <c r="W1253" s="31">
        <v>0</v>
      </c>
      <c r="X1253" s="31">
        <v>0</v>
      </c>
      <c r="Y1253" s="31">
        <v>0</v>
      </c>
      <c r="Z1253" s="31">
        <v>0</v>
      </c>
      <c r="AA1253" s="31">
        <v>0</v>
      </c>
      <c r="AB1253" s="31">
        <v>0</v>
      </c>
      <c r="AC1253" s="31">
        <f>ROUND(N1253*1.5%,2)</f>
        <v>91299.91</v>
      </c>
      <c r="AD1253" s="31">
        <v>150000</v>
      </c>
      <c r="AE1253" s="31">
        <v>0</v>
      </c>
      <c r="AF1253" s="34">
        <v>2022</v>
      </c>
      <c r="AG1253" s="34">
        <v>2022</v>
      </c>
      <c r="AH1253" s="35">
        <v>2022</v>
      </c>
      <c r="AT1253" s="20" t="e">
        <f>VLOOKUP(C1253,AW$1253:AX$1253,2,FALSE)</f>
        <v>#N/A</v>
      </c>
      <c r="BZ1253" s="71"/>
    </row>
    <row r="1254" spans="1:82" ht="61.5" x14ac:dyDescent="0.85">
      <c r="B1254" s="24" t="s">
        <v>860</v>
      </c>
      <c r="C1254" s="108"/>
      <c r="D1254" s="195">
        <f>D1255+D1256</f>
        <v>9221698.8000000007</v>
      </c>
      <c r="E1254" s="31">
        <f t="shared" ref="E1254:AE1254" si="417">E1255+E1256</f>
        <v>0</v>
      </c>
      <c r="F1254" s="31">
        <f t="shared" si="417"/>
        <v>0</v>
      </c>
      <c r="G1254" s="31">
        <f t="shared" si="417"/>
        <v>0</v>
      </c>
      <c r="H1254" s="31">
        <f t="shared" si="417"/>
        <v>0</v>
      </c>
      <c r="I1254" s="31">
        <f t="shared" si="417"/>
        <v>0</v>
      </c>
      <c r="J1254" s="31">
        <f t="shared" si="417"/>
        <v>0</v>
      </c>
      <c r="K1254" s="33">
        <f t="shared" si="417"/>
        <v>0</v>
      </c>
      <c r="L1254" s="31">
        <f t="shared" si="417"/>
        <v>0</v>
      </c>
      <c r="M1254" s="31">
        <f t="shared" si="417"/>
        <v>1766</v>
      </c>
      <c r="N1254" s="31">
        <f t="shared" si="417"/>
        <v>8789851.0299999993</v>
      </c>
      <c r="O1254" s="31">
        <f t="shared" si="417"/>
        <v>0</v>
      </c>
      <c r="P1254" s="31">
        <f t="shared" si="417"/>
        <v>0</v>
      </c>
      <c r="Q1254" s="31">
        <f t="shared" si="417"/>
        <v>0</v>
      </c>
      <c r="R1254" s="31">
        <f t="shared" si="417"/>
        <v>0</v>
      </c>
      <c r="S1254" s="31">
        <f t="shared" si="417"/>
        <v>0</v>
      </c>
      <c r="T1254" s="31">
        <f t="shared" si="417"/>
        <v>0</v>
      </c>
      <c r="U1254" s="31">
        <f t="shared" si="417"/>
        <v>0</v>
      </c>
      <c r="V1254" s="31">
        <f t="shared" si="417"/>
        <v>0</v>
      </c>
      <c r="W1254" s="31">
        <f t="shared" si="417"/>
        <v>0</v>
      </c>
      <c r="X1254" s="31">
        <f t="shared" si="417"/>
        <v>0</v>
      </c>
      <c r="Y1254" s="31">
        <f t="shared" si="417"/>
        <v>0</v>
      </c>
      <c r="Z1254" s="31">
        <f t="shared" si="417"/>
        <v>0</v>
      </c>
      <c r="AA1254" s="31">
        <f t="shared" si="417"/>
        <v>0</v>
      </c>
      <c r="AB1254" s="31">
        <f t="shared" si="417"/>
        <v>0</v>
      </c>
      <c r="AC1254" s="31">
        <f t="shared" si="417"/>
        <v>131847.76999999999</v>
      </c>
      <c r="AD1254" s="31">
        <f t="shared" si="417"/>
        <v>300000</v>
      </c>
      <c r="AE1254" s="31">
        <f t="shared" si="417"/>
        <v>0</v>
      </c>
      <c r="AF1254" s="247" t="s">
        <v>757</v>
      </c>
      <c r="AG1254" s="247" t="s">
        <v>757</v>
      </c>
      <c r="AH1254" s="248" t="s">
        <v>757</v>
      </c>
      <c r="AT1254" s="20" t="e">
        <f t="shared" ref="AT1254:AT1279" si="418">VLOOKUP(C1254,AW:AX,2,FALSE)</f>
        <v>#N/A</v>
      </c>
      <c r="BZ1254" s="71">
        <v>9221698.8000000007</v>
      </c>
    </row>
    <row r="1255" spans="1:82" ht="61.5" x14ac:dyDescent="0.85">
      <c r="A1255" s="20">
        <v>1</v>
      </c>
      <c r="B1255" s="66">
        <f>SUBTOTAL(103,$A$1006:A1255)</f>
        <v>202</v>
      </c>
      <c r="C1255" s="122" t="s">
        <v>100</v>
      </c>
      <c r="D1255" s="31">
        <f t="shared" ref="D1255:D1256" si="419">E1255+F1255+G1255+H1255+I1255+J1255+L1255+N1255+P1255+R1255+T1255+U1255+V1255+W1255+X1255+Y1255+Z1255+AA1255+AB1255+AC1255+AD1255+AE1255</f>
        <v>4177440</v>
      </c>
      <c r="E1255" s="31">
        <v>0</v>
      </c>
      <c r="F1255" s="31">
        <v>0</v>
      </c>
      <c r="G1255" s="31">
        <v>0</v>
      </c>
      <c r="H1255" s="31">
        <v>0</v>
      </c>
      <c r="I1255" s="31">
        <v>0</v>
      </c>
      <c r="J1255" s="31">
        <v>0</v>
      </c>
      <c r="K1255" s="33">
        <v>0</v>
      </c>
      <c r="L1255" s="31">
        <v>0</v>
      </c>
      <c r="M1255" s="31">
        <v>800</v>
      </c>
      <c r="N1255" s="31">
        <v>3967921.18</v>
      </c>
      <c r="O1255" s="31">
        <v>0</v>
      </c>
      <c r="P1255" s="31">
        <v>0</v>
      </c>
      <c r="Q1255" s="31">
        <v>0</v>
      </c>
      <c r="R1255" s="31">
        <v>0</v>
      </c>
      <c r="S1255" s="31">
        <v>0</v>
      </c>
      <c r="T1255" s="31">
        <v>0</v>
      </c>
      <c r="U1255" s="31">
        <v>0</v>
      </c>
      <c r="V1255" s="31">
        <v>0</v>
      </c>
      <c r="W1255" s="31">
        <v>0</v>
      </c>
      <c r="X1255" s="31">
        <v>0</v>
      </c>
      <c r="Y1255" s="31">
        <v>0</v>
      </c>
      <c r="Z1255" s="31">
        <v>0</v>
      </c>
      <c r="AA1255" s="31">
        <v>0</v>
      </c>
      <c r="AB1255" s="31">
        <v>0</v>
      </c>
      <c r="AC1255" s="31">
        <f>ROUND(N1255*1.5%,2)</f>
        <v>59518.82</v>
      </c>
      <c r="AD1255" s="31">
        <v>150000</v>
      </c>
      <c r="AE1255" s="31">
        <v>0</v>
      </c>
      <c r="AF1255" s="34">
        <v>2022</v>
      </c>
      <c r="AG1255" s="34">
        <v>2022</v>
      </c>
      <c r="AH1255" s="35">
        <v>2022</v>
      </c>
      <c r="AT1255" s="20" t="e">
        <f t="shared" si="418"/>
        <v>#N/A</v>
      </c>
      <c r="BZ1255" s="71"/>
    </row>
    <row r="1256" spans="1:82" ht="61.5" x14ac:dyDescent="0.85">
      <c r="A1256" s="20">
        <v>1</v>
      </c>
      <c r="B1256" s="66">
        <f>SUBTOTAL(103,$A$1006:A1256)</f>
        <v>203</v>
      </c>
      <c r="C1256" s="122" t="s">
        <v>101</v>
      </c>
      <c r="D1256" s="31">
        <f t="shared" si="419"/>
        <v>5044258.8</v>
      </c>
      <c r="E1256" s="31">
        <v>0</v>
      </c>
      <c r="F1256" s="31">
        <v>0</v>
      </c>
      <c r="G1256" s="31">
        <v>0</v>
      </c>
      <c r="H1256" s="31">
        <v>0</v>
      </c>
      <c r="I1256" s="31">
        <v>0</v>
      </c>
      <c r="J1256" s="31">
        <v>0</v>
      </c>
      <c r="K1256" s="33">
        <v>0</v>
      </c>
      <c r="L1256" s="31">
        <v>0</v>
      </c>
      <c r="M1256" s="31">
        <v>966</v>
      </c>
      <c r="N1256" s="31">
        <v>4821929.8499999996</v>
      </c>
      <c r="O1256" s="31">
        <v>0</v>
      </c>
      <c r="P1256" s="31">
        <v>0</v>
      </c>
      <c r="Q1256" s="31">
        <v>0</v>
      </c>
      <c r="R1256" s="31">
        <v>0</v>
      </c>
      <c r="S1256" s="31">
        <v>0</v>
      </c>
      <c r="T1256" s="31">
        <v>0</v>
      </c>
      <c r="U1256" s="31">
        <v>0</v>
      </c>
      <c r="V1256" s="31">
        <v>0</v>
      </c>
      <c r="W1256" s="31">
        <v>0</v>
      </c>
      <c r="X1256" s="31">
        <v>0</v>
      </c>
      <c r="Y1256" s="31">
        <v>0</v>
      </c>
      <c r="Z1256" s="31">
        <v>0</v>
      </c>
      <c r="AA1256" s="31">
        <v>0</v>
      </c>
      <c r="AB1256" s="31">
        <v>0</v>
      </c>
      <c r="AC1256" s="31">
        <f>ROUND(N1256*1.5%,2)</f>
        <v>72328.95</v>
      </c>
      <c r="AD1256" s="31">
        <v>150000</v>
      </c>
      <c r="AE1256" s="31">
        <v>0</v>
      </c>
      <c r="AF1256" s="34">
        <v>2022</v>
      </c>
      <c r="AG1256" s="34">
        <v>2022</v>
      </c>
      <c r="AH1256" s="35">
        <v>2022</v>
      </c>
      <c r="AT1256" s="20" t="e">
        <f t="shared" si="418"/>
        <v>#N/A</v>
      </c>
      <c r="BZ1256" s="71"/>
    </row>
    <row r="1257" spans="1:82" ht="61.5" x14ac:dyDescent="0.85">
      <c r="B1257" s="24" t="s">
        <v>887</v>
      </c>
      <c r="C1257" s="24"/>
      <c r="D1257" s="195">
        <f>D1258</f>
        <v>3623929.1999999997</v>
      </c>
      <c r="E1257" s="31">
        <f t="shared" ref="E1257:AE1257" si="420">E1258</f>
        <v>0</v>
      </c>
      <c r="F1257" s="31">
        <f t="shared" si="420"/>
        <v>0</v>
      </c>
      <c r="G1257" s="31">
        <f t="shared" si="420"/>
        <v>0</v>
      </c>
      <c r="H1257" s="31">
        <f t="shared" si="420"/>
        <v>0</v>
      </c>
      <c r="I1257" s="31">
        <f t="shared" si="420"/>
        <v>0</v>
      </c>
      <c r="J1257" s="31">
        <f t="shared" si="420"/>
        <v>0</v>
      </c>
      <c r="K1257" s="33">
        <f t="shared" si="420"/>
        <v>0</v>
      </c>
      <c r="L1257" s="31">
        <f t="shared" si="420"/>
        <v>0</v>
      </c>
      <c r="M1257" s="31">
        <f t="shared" si="420"/>
        <v>694</v>
      </c>
      <c r="N1257" s="31">
        <f t="shared" si="420"/>
        <v>3422590.34</v>
      </c>
      <c r="O1257" s="31">
        <f t="shared" si="420"/>
        <v>0</v>
      </c>
      <c r="P1257" s="31">
        <f t="shared" si="420"/>
        <v>0</v>
      </c>
      <c r="Q1257" s="31">
        <f t="shared" si="420"/>
        <v>0</v>
      </c>
      <c r="R1257" s="31">
        <f t="shared" si="420"/>
        <v>0</v>
      </c>
      <c r="S1257" s="31">
        <f t="shared" si="420"/>
        <v>0</v>
      </c>
      <c r="T1257" s="31">
        <f t="shared" si="420"/>
        <v>0</v>
      </c>
      <c r="U1257" s="31">
        <f t="shared" si="420"/>
        <v>0</v>
      </c>
      <c r="V1257" s="31">
        <f t="shared" si="420"/>
        <v>0</v>
      </c>
      <c r="W1257" s="31">
        <f t="shared" si="420"/>
        <v>0</v>
      </c>
      <c r="X1257" s="31">
        <f t="shared" si="420"/>
        <v>0</v>
      </c>
      <c r="Y1257" s="31">
        <f t="shared" si="420"/>
        <v>0</v>
      </c>
      <c r="Z1257" s="31">
        <f t="shared" si="420"/>
        <v>0</v>
      </c>
      <c r="AA1257" s="31">
        <f t="shared" si="420"/>
        <v>0</v>
      </c>
      <c r="AB1257" s="31">
        <f t="shared" si="420"/>
        <v>0</v>
      </c>
      <c r="AC1257" s="31">
        <f t="shared" si="420"/>
        <v>51338.86</v>
      </c>
      <c r="AD1257" s="31">
        <f t="shared" si="420"/>
        <v>150000</v>
      </c>
      <c r="AE1257" s="31">
        <f t="shared" si="420"/>
        <v>0</v>
      </c>
      <c r="AF1257" s="247" t="s">
        <v>757</v>
      </c>
      <c r="AG1257" s="247" t="s">
        <v>757</v>
      </c>
      <c r="AH1257" s="248" t="s">
        <v>757</v>
      </c>
      <c r="AT1257" s="20" t="e">
        <f t="shared" si="418"/>
        <v>#N/A</v>
      </c>
      <c r="BZ1257" s="71">
        <v>3623929.1999999997</v>
      </c>
    </row>
    <row r="1258" spans="1:82" ht="61.5" x14ac:dyDescent="0.85">
      <c r="A1258" s="20">
        <v>1</v>
      </c>
      <c r="B1258" s="66">
        <f>SUBTOTAL(103,$A$1006:A1258)</f>
        <v>204</v>
      </c>
      <c r="C1258" s="122" t="s">
        <v>105</v>
      </c>
      <c r="D1258" s="31">
        <f t="shared" ref="D1258" si="421">E1258+F1258+G1258+H1258+I1258+J1258+L1258+N1258+P1258+R1258+T1258+U1258+V1258+W1258+X1258+Y1258+Z1258+AA1258+AB1258+AC1258+AD1258+AE1258</f>
        <v>3623929.1999999997</v>
      </c>
      <c r="E1258" s="31">
        <v>0</v>
      </c>
      <c r="F1258" s="31">
        <v>0</v>
      </c>
      <c r="G1258" s="31">
        <v>0</v>
      </c>
      <c r="H1258" s="31">
        <v>0</v>
      </c>
      <c r="I1258" s="31">
        <v>0</v>
      </c>
      <c r="J1258" s="31">
        <v>0</v>
      </c>
      <c r="K1258" s="33">
        <v>0</v>
      </c>
      <c r="L1258" s="31">
        <v>0</v>
      </c>
      <c r="M1258" s="31">
        <v>694</v>
      </c>
      <c r="N1258" s="31">
        <v>3422590.34</v>
      </c>
      <c r="O1258" s="31">
        <v>0</v>
      </c>
      <c r="P1258" s="31">
        <v>0</v>
      </c>
      <c r="Q1258" s="31">
        <v>0</v>
      </c>
      <c r="R1258" s="31">
        <v>0</v>
      </c>
      <c r="S1258" s="31">
        <v>0</v>
      </c>
      <c r="T1258" s="31">
        <v>0</v>
      </c>
      <c r="U1258" s="31">
        <v>0</v>
      </c>
      <c r="V1258" s="31">
        <v>0</v>
      </c>
      <c r="W1258" s="31">
        <v>0</v>
      </c>
      <c r="X1258" s="31">
        <v>0</v>
      </c>
      <c r="Y1258" s="31">
        <v>0</v>
      </c>
      <c r="Z1258" s="31">
        <v>0</v>
      </c>
      <c r="AA1258" s="31">
        <v>0</v>
      </c>
      <c r="AB1258" s="31">
        <v>0</v>
      </c>
      <c r="AC1258" s="31">
        <f>ROUND(N1258*1.5%,2)</f>
        <v>51338.86</v>
      </c>
      <c r="AD1258" s="31">
        <v>150000</v>
      </c>
      <c r="AE1258" s="31">
        <v>0</v>
      </c>
      <c r="AF1258" s="34">
        <v>2022</v>
      </c>
      <c r="AG1258" s="34">
        <v>2022</v>
      </c>
      <c r="AH1258" s="35">
        <v>2022</v>
      </c>
      <c r="AT1258" s="20" t="e">
        <f t="shared" si="418"/>
        <v>#N/A</v>
      </c>
      <c r="BZ1258" s="71"/>
    </row>
    <row r="1259" spans="1:82" ht="61.5" x14ac:dyDescent="0.85">
      <c r="B1259" s="24" t="s">
        <v>861</v>
      </c>
      <c r="C1259" s="24"/>
      <c r="D1259" s="195">
        <f>D1260</f>
        <v>3080862</v>
      </c>
      <c r="E1259" s="31">
        <f t="shared" ref="E1259:AE1259" si="422">E1260</f>
        <v>0</v>
      </c>
      <c r="F1259" s="31">
        <f t="shared" si="422"/>
        <v>0</v>
      </c>
      <c r="G1259" s="31">
        <f t="shared" si="422"/>
        <v>0</v>
      </c>
      <c r="H1259" s="31">
        <f t="shared" si="422"/>
        <v>0</v>
      </c>
      <c r="I1259" s="31">
        <f t="shared" si="422"/>
        <v>0</v>
      </c>
      <c r="J1259" s="31">
        <f t="shared" si="422"/>
        <v>0</v>
      </c>
      <c r="K1259" s="33">
        <f t="shared" si="422"/>
        <v>0</v>
      </c>
      <c r="L1259" s="31">
        <f t="shared" si="422"/>
        <v>0</v>
      </c>
      <c r="M1259" s="31">
        <f t="shared" si="422"/>
        <v>590</v>
      </c>
      <c r="N1259" s="31">
        <f t="shared" si="422"/>
        <v>2887548.77</v>
      </c>
      <c r="O1259" s="31">
        <f t="shared" si="422"/>
        <v>0</v>
      </c>
      <c r="P1259" s="31">
        <f t="shared" si="422"/>
        <v>0</v>
      </c>
      <c r="Q1259" s="31">
        <f t="shared" si="422"/>
        <v>0</v>
      </c>
      <c r="R1259" s="31">
        <f t="shared" si="422"/>
        <v>0</v>
      </c>
      <c r="S1259" s="31">
        <f t="shared" si="422"/>
        <v>0</v>
      </c>
      <c r="T1259" s="31">
        <f t="shared" si="422"/>
        <v>0</v>
      </c>
      <c r="U1259" s="31">
        <f t="shared" si="422"/>
        <v>0</v>
      </c>
      <c r="V1259" s="31">
        <f t="shared" si="422"/>
        <v>0</v>
      </c>
      <c r="W1259" s="31">
        <f t="shared" si="422"/>
        <v>0</v>
      </c>
      <c r="X1259" s="31">
        <f t="shared" si="422"/>
        <v>0</v>
      </c>
      <c r="Y1259" s="31">
        <f t="shared" si="422"/>
        <v>0</v>
      </c>
      <c r="Z1259" s="31">
        <f t="shared" si="422"/>
        <v>0</v>
      </c>
      <c r="AA1259" s="31">
        <f t="shared" si="422"/>
        <v>0</v>
      </c>
      <c r="AB1259" s="31">
        <f t="shared" si="422"/>
        <v>0</v>
      </c>
      <c r="AC1259" s="31">
        <f t="shared" si="422"/>
        <v>43313.23</v>
      </c>
      <c r="AD1259" s="31">
        <f t="shared" si="422"/>
        <v>150000</v>
      </c>
      <c r="AE1259" s="31">
        <f t="shared" si="422"/>
        <v>0</v>
      </c>
      <c r="AF1259" s="247" t="s">
        <v>757</v>
      </c>
      <c r="AG1259" s="247" t="s">
        <v>757</v>
      </c>
      <c r="AH1259" s="248" t="s">
        <v>757</v>
      </c>
      <c r="AT1259" s="20" t="e">
        <f t="shared" si="418"/>
        <v>#N/A</v>
      </c>
      <c r="BZ1259" s="71">
        <v>3080862</v>
      </c>
    </row>
    <row r="1260" spans="1:82" ht="61.5" x14ac:dyDescent="0.85">
      <c r="A1260" s="20">
        <v>1</v>
      </c>
      <c r="B1260" s="66">
        <f>SUBTOTAL(103,$A$1006:A1260)</f>
        <v>205</v>
      </c>
      <c r="C1260" s="122" t="s">
        <v>102</v>
      </c>
      <c r="D1260" s="31">
        <f t="shared" ref="D1260" si="423">E1260+F1260+G1260+H1260+I1260+J1260+L1260+N1260+P1260+R1260+T1260+U1260+V1260+W1260+X1260+Y1260+Z1260+AA1260+AB1260+AC1260+AD1260+AE1260</f>
        <v>3080862</v>
      </c>
      <c r="E1260" s="31">
        <v>0</v>
      </c>
      <c r="F1260" s="31">
        <v>0</v>
      </c>
      <c r="G1260" s="31">
        <v>0</v>
      </c>
      <c r="H1260" s="31">
        <v>0</v>
      </c>
      <c r="I1260" s="31">
        <v>0</v>
      </c>
      <c r="J1260" s="31">
        <v>0</v>
      </c>
      <c r="K1260" s="33">
        <v>0</v>
      </c>
      <c r="L1260" s="31">
        <v>0</v>
      </c>
      <c r="M1260" s="31">
        <v>590</v>
      </c>
      <c r="N1260" s="31">
        <v>2887548.77</v>
      </c>
      <c r="O1260" s="31">
        <v>0</v>
      </c>
      <c r="P1260" s="31">
        <v>0</v>
      </c>
      <c r="Q1260" s="31">
        <v>0</v>
      </c>
      <c r="R1260" s="31">
        <v>0</v>
      </c>
      <c r="S1260" s="31">
        <v>0</v>
      </c>
      <c r="T1260" s="31">
        <v>0</v>
      </c>
      <c r="U1260" s="31">
        <v>0</v>
      </c>
      <c r="V1260" s="31">
        <v>0</v>
      </c>
      <c r="W1260" s="31">
        <v>0</v>
      </c>
      <c r="X1260" s="31">
        <v>0</v>
      </c>
      <c r="Y1260" s="31">
        <v>0</v>
      </c>
      <c r="Z1260" s="31">
        <v>0</v>
      </c>
      <c r="AA1260" s="31">
        <v>0</v>
      </c>
      <c r="AB1260" s="31">
        <v>0</v>
      </c>
      <c r="AC1260" s="31">
        <f>ROUND(N1260*1.5%,2)</f>
        <v>43313.23</v>
      </c>
      <c r="AD1260" s="31">
        <v>150000</v>
      </c>
      <c r="AE1260" s="31">
        <v>0</v>
      </c>
      <c r="AF1260" s="34">
        <v>2022</v>
      </c>
      <c r="AG1260" s="34">
        <v>2022</v>
      </c>
      <c r="AH1260" s="35">
        <v>2022</v>
      </c>
      <c r="AT1260" s="20" t="e">
        <f t="shared" si="418"/>
        <v>#N/A</v>
      </c>
      <c r="BZ1260" s="71"/>
    </row>
    <row r="1261" spans="1:82" ht="61.5" x14ac:dyDescent="0.85">
      <c r="B1261" s="24" t="s">
        <v>862</v>
      </c>
      <c r="C1261" s="24"/>
      <c r="D1261" s="195">
        <f>D1262+D1263</f>
        <v>2610892.59</v>
      </c>
      <c r="E1261" s="31">
        <f t="shared" ref="E1261:AE1261" si="424">E1262+E1263</f>
        <v>0</v>
      </c>
      <c r="F1261" s="31">
        <f t="shared" si="424"/>
        <v>0</v>
      </c>
      <c r="G1261" s="31">
        <f t="shared" si="424"/>
        <v>0</v>
      </c>
      <c r="H1261" s="31">
        <f t="shared" si="424"/>
        <v>0</v>
      </c>
      <c r="I1261" s="31">
        <f t="shared" si="424"/>
        <v>0</v>
      </c>
      <c r="J1261" s="31">
        <f t="shared" si="424"/>
        <v>0</v>
      </c>
      <c r="K1261" s="33">
        <f t="shared" si="424"/>
        <v>0</v>
      </c>
      <c r="L1261" s="31">
        <f t="shared" si="424"/>
        <v>0</v>
      </c>
      <c r="M1261" s="31">
        <f t="shared" si="424"/>
        <v>500</v>
      </c>
      <c r="N1261" s="31">
        <f t="shared" si="424"/>
        <v>2335854.77</v>
      </c>
      <c r="O1261" s="31">
        <f t="shared" si="424"/>
        <v>0</v>
      </c>
      <c r="P1261" s="31">
        <f t="shared" si="424"/>
        <v>0</v>
      </c>
      <c r="Q1261" s="31">
        <f t="shared" si="424"/>
        <v>0</v>
      </c>
      <c r="R1261" s="31">
        <f t="shared" si="424"/>
        <v>0</v>
      </c>
      <c r="S1261" s="31">
        <f t="shared" si="424"/>
        <v>0</v>
      </c>
      <c r="T1261" s="31">
        <f t="shared" si="424"/>
        <v>0</v>
      </c>
      <c r="U1261" s="31">
        <f t="shared" si="424"/>
        <v>0</v>
      </c>
      <c r="V1261" s="31">
        <f t="shared" si="424"/>
        <v>0</v>
      </c>
      <c r="W1261" s="31">
        <f t="shared" si="424"/>
        <v>0</v>
      </c>
      <c r="X1261" s="31">
        <f t="shared" si="424"/>
        <v>0</v>
      </c>
      <c r="Y1261" s="31">
        <f t="shared" si="424"/>
        <v>0</v>
      </c>
      <c r="Z1261" s="31">
        <f t="shared" si="424"/>
        <v>0</v>
      </c>
      <c r="AA1261" s="31">
        <f t="shared" si="424"/>
        <v>0</v>
      </c>
      <c r="AB1261" s="31">
        <f t="shared" si="424"/>
        <v>0</v>
      </c>
      <c r="AC1261" s="31">
        <f t="shared" si="424"/>
        <v>35037.82</v>
      </c>
      <c r="AD1261" s="31">
        <f t="shared" si="424"/>
        <v>240000</v>
      </c>
      <c r="AE1261" s="31">
        <f t="shared" si="424"/>
        <v>0</v>
      </c>
      <c r="AF1261" s="247" t="s">
        <v>757</v>
      </c>
      <c r="AG1261" s="247" t="s">
        <v>757</v>
      </c>
      <c r="AH1261" s="248" t="s">
        <v>757</v>
      </c>
      <c r="AT1261" s="20" t="e">
        <f t="shared" si="418"/>
        <v>#N/A</v>
      </c>
      <c r="BZ1261" s="71">
        <v>2610892.59</v>
      </c>
    </row>
    <row r="1262" spans="1:82" ht="61.5" x14ac:dyDescent="0.85">
      <c r="A1262" s="20">
        <v>1</v>
      </c>
      <c r="B1262" s="66">
        <f>SUBTOTAL(103,$A$1006:A1262)</f>
        <v>206</v>
      </c>
      <c r="C1262" s="122" t="s">
        <v>103</v>
      </c>
      <c r="D1262" s="31">
        <f t="shared" ref="D1262:D1263" si="425">E1262+F1262+G1262+H1262+I1262+J1262+L1262+N1262+P1262+R1262+T1262+U1262+V1262+W1262+X1262+Y1262+Z1262+AA1262+AB1262+AC1262+AD1262+AE1262</f>
        <v>1321115.3999999999</v>
      </c>
      <c r="E1262" s="31">
        <v>0</v>
      </c>
      <c r="F1262" s="31">
        <v>0</v>
      </c>
      <c r="G1262" s="31">
        <v>0</v>
      </c>
      <c r="H1262" s="31">
        <v>0</v>
      </c>
      <c r="I1262" s="31">
        <v>0</v>
      </c>
      <c r="J1262" s="31">
        <v>0</v>
      </c>
      <c r="K1262" s="33">
        <v>0</v>
      </c>
      <c r="L1262" s="31">
        <v>0</v>
      </c>
      <c r="M1262" s="31">
        <v>253</v>
      </c>
      <c r="N1262" s="31">
        <v>1183364.93</v>
      </c>
      <c r="O1262" s="31">
        <v>0</v>
      </c>
      <c r="P1262" s="31">
        <v>0</v>
      </c>
      <c r="Q1262" s="31">
        <v>0</v>
      </c>
      <c r="R1262" s="31">
        <v>0</v>
      </c>
      <c r="S1262" s="31">
        <v>0</v>
      </c>
      <c r="T1262" s="31">
        <v>0</v>
      </c>
      <c r="U1262" s="31">
        <v>0</v>
      </c>
      <c r="V1262" s="31">
        <v>0</v>
      </c>
      <c r="W1262" s="31">
        <v>0</v>
      </c>
      <c r="X1262" s="31">
        <v>0</v>
      </c>
      <c r="Y1262" s="31">
        <v>0</v>
      </c>
      <c r="Z1262" s="31">
        <v>0</v>
      </c>
      <c r="AA1262" s="31">
        <v>0</v>
      </c>
      <c r="AB1262" s="31">
        <v>0</v>
      </c>
      <c r="AC1262" s="31">
        <f>ROUND(N1262*1.5%,2)</f>
        <v>17750.47</v>
      </c>
      <c r="AD1262" s="31">
        <v>120000</v>
      </c>
      <c r="AE1262" s="31">
        <v>0</v>
      </c>
      <c r="AF1262" s="34">
        <v>2022</v>
      </c>
      <c r="AG1262" s="34">
        <v>2022</v>
      </c>
      <c r="AH1262" s="35">
        <v>2022</v>
      </c>
      <c r="AT1262" s="20" t="e">
        <f t="shared" si="418"/>
        <v>#N/A</v>
      </c>
      <c r="BZ1262" s="71"/>
    </row>
    <row r="1263" spans="1:82" ht="61.5" x14ac:dyDescent="0.85">
      <c r="A1263" s="20">
        <v>1</v>
      </c>
      <c r="B1263" s="66">
        <f>SUBTOTAL(103,$A$1006:A1263)</f>
        <v>207</v>
      </c>
      <c r="C1263" s="122" t="s">
        <v>104</v>
      </c>
      <c r="D1263" s="31">
        <f t="shared" si="425"/>
        <v>1289777.1900000002</v>
      </c>
      <c r="E1263" s="31">
        <v>0</v>
      </c>
      <c r="F1263" s="31">
        <v>0</v>
      </c>
      <c r="G1263" s="31">
        <v>0</v>
      </c>
      <c r="H1263" s="31">
        <v>0</v>
      </c>
      <c r="I1263" s="31">
        <v>0</v>
      </c>
      <c r="J1263" s="31">
        <v>0</v>
      </c>
      <c r="K1263" s="33">
        <v>0</v>
      </c>
      <c r="L1263" s="31">
        <v>0</v>
      </c>
      <c r="M1263" s="31">
        <v>247</v>
      </c>
      <c r="N1263" s="31">
        <v>1152489.8400000001</v>
      </c>
      <c r="O1263" s="31">
        <v>0</v>
      </c>
      <c r="P1263" s="31">
        <v>0</v>
      </c>
      <c r="Q1263" s="31">
        <v>0</v>
      </c>
      <c r="R1263" s="31">
        <v>0</v>
      </c>
      <c r="S1263" s="31">
        <v>0</v>
      </c>
      <c r="T1263" s="31">
        <v>0</v>
      </c>
      <c r="U1263" s="31">
        <v>0</v>
      </c>
      <c r="V1263" s="31">
        <v>0</v>
      </c>
      <c r="W1263" s="31">
        <v>0</v>
      </c>
      <c r="X1263" s="31">
        <v>0</v>
      </c>
      <c r="Y1263" s="31">
        <v>0</v>
      </c>
      <c r="Z1263" s="31">
        <v>0</v>
      </c>
      <c r="AA1263" s="31">
        <v>0</v>
      </c>
      <c r="AB1263" s="31">
        <v>0</v>
      </c>
      <c r="AC1263" s="31">
        <f>ROUND(N1263*1.5%,2)</f>
        <v>17287.349999999999</v>
      </c>
      <c r="AD1263" s="31">
        <v>120000</v>
      </c>
      <c r="AE1263" s="31">
        <v>0</v>
      </c>
      <c r="AF1263" s="34">
        <v>2022</v>
      </c>
      <c r="AG1263" s="34">
        <v>2022</v>
      </c>
      <c r="AH1263" s="35">
        <v>2022</v>
      </c>
      <c r="AT1263" s="20" t="e">
        <f t="shared" si="418"/>
        <v>#N/A</v>
      </c>
      <c r="BZ1263" s="71"/>
    </row>
    <row r="1264" spans="1:82" ht="61.5" x14ac:dyDescent="0.85">
      <c r="B1264" s="24" t="s">
        <v>864</v>
      </c>
      <c r="C1264" s="108"/>
      <c r="D1264" s="195">
        <f>D1265+D1266+D1267</f>
        <v>6332416.4000000004</v>
      </c>
      <c r="E1264" s="31">
        <f t="shared" ref="E1264:AE1264" si="426">E1265+E1266+E1267</f>
        <v>0</v>
      </c>
      <c r="F1264" s="31">
        <f t="shared" si="426"/>
        <v>0</v>
      </c>
      <c r="G1264" s="31">
        <f t="shared" si="426"/>
        <v>0</v>
      </c>
      <c r="H1264" s="31">
        <f t="shared" si="426"/>
        <v>0</v>
      </c>
      <c r="I1264" s="31">
        <f t="shared" si="426"/>
        <v>0</v>
      </c>
      <c r="J1264" s="31">
        <f t="shared" si="426"/>
        <v>0</v>
      </c>
      <c r="K1264" s="33">
        <f t="shared" si="426"/>
        <v>0</v>
      </c>
      <c r="L1264" s="31">
        <f t="shared" si="426"/>
        <v>0</v>
      </c>
      <c r="M1264" s="31">
        <f t="shared" si="426"/>
        <v>696</v>
      </c>
      <c r="N1264" s="31">
        <f t="shared" si="426"/>
        <v>3349359.61</v>
      </c>
      <c r="O1264" s="31">
        <f t="shared" si="426"/>
        <v>0</v>
      </c>
      <c r="P1264" s="31">
        <f t="shared" si="426"/>
        <v>0</v>
      </c>
      <c r="Q1264" s="31">
        <f t="shared" si="426"/>
        <v>910</v>
      </c>
      <c r="R1264" s="31">
        <f t="shared" si="426"/>
        <v>2485533.4</v>
      </c>
      <c r="S1264" s="31">
        <f t="shared" si="426"/>
        <v>0</v>
      </c>
      <c r="T1264" s="31">
        <f t="shared" si="426"/>
        <v>0</v>
      </c>
      <c r="U1264" s="31">
        <f t="shared" si="426"/>
        <v>0</v>
      </c>
      <c r="V1264" s="31">
        <f t="shared" si="426"/>
        <v>0</v>
      </c>
      <c r="W1264" s="31">
        <f t="shared" si="426"/>
        <v>0</v>
      </c>
      <c r="X1264" s="31">
        <f t="shared" si="426"/>
        <v>0</v>
      </c>
      <c r="Y1264" s="31">
        <f t="shared" si="426"/>
        <v>0</v>
      </c>
      <c r="Z1264" s="31">
        <f t="shared" si="426"/>
        <v>0</v>
      </c>
      <c r="AA1264" s="31">
        <f t="shared" si="426"/>
        <v>0</v>
      </c>
      <c r="AB1264" s="31">
        <f t="shared" si="426"/>
        <v>0</v>
      </c>
      <c r="AC1264" s="31">
        <f t="shared" si="426"/>
        <v>87523.39</v>
      </c>
      <c r="AD1264" s="31">
        <f t="shared" si="426"/>
        <v>410000</v>
      </c>
      <c r="AE1264" s="31">
        <f t="shared" si="426"/>
        <v>0</v>
      </c>
      <c r="AF1264" s="247" t="s">
        <v>757</v>
      </c>
      <c r="AG1264" s="247" t="s">
        <v>757</v>
      </c>
      <c r="AH1264" s="248" t="s">
        <v>757</v>
      </c>
      <c r="AT1264" s="20" t="e">
        <f t="shared" si="418"/>
        <v>#N/A</v>
      </c>
      <c r="BZ1264" s="71">
        <v>6332416.4000000004</v>
      </c>
    </row>
    <row r="1265" spans="1:224" ht="61.5" x14ac:dyDescent="0.85">
      <c r="A1265" s="20">
        <v>1</v>
      </c>
      <c r="B1265" s="66">
        <f>SUBTOTAL(103,$A$1006:A1265)</f>
        <v>208</v>
      </c>
      <c r="C1265" s="122" t="s">
        <v>194</v>
      </c>
      <c r="D1265" s="31">
        <f t="shared" ref="D1265:D1267" si="427">E1265+F1265+G1265+H1265+I1265+J1265+L1265+N1265+P1265+R1265+T1265+U1265+V1265+W1265+X1265+Y1265+Z1265+AA1265+AB1265+AC1265+AD1265+AE1265</f>
        <v>3549600</v>
      </c>
      <c r="E1265" s="31">
        <v>0</v>
      </c>
      <c r="F1265" s="31">
        <v>0</v>
      </c>
      <c r="G1265" s="31">
        <v>0</v>
      </c>
      <c r="H1265" s="31">
        <v>0</v>
      </c>
      <c r="I1265" s="31">
        <v>0</v>
      </c>
      <c r="J1265" s="31">
        <v>0</v>
      </c>
      <c r="K1265" s="33">
        <v>0</v>
      </c>
      <c r="L1265" s="31">
        <v>0</v>
      </c>
      <c r="M1265" s="31">
        <v>696</v>
      </c>
      <c r="N1265" s="31">
        <v>3349359.61</v>
      </c>
      <c r="O1265" s="31">
        <v>0</v>
      </c>
      <c r="P1265" s="31">
        <v>0</v>
      </c>
      <c r="Q1265" s="31">
        <v>0</v>
      </c>
      <c r="R1265" s="31">
        <v>0</v>
      </c>
      <c r="S1265" s="31">
        <v>0</v>
      </c>
      <c r="T1265" s="31">
        <v>0</v>
      </c>
      <c r="U1265" s="31">
        <v>0</v>
      </c>
      <c r="V1265" s="31">
        <v>0</v>
      </c>
      <c r="W1265" s="31">
        <v>0</v>
      </c>
      <c r="X1265" s="31">
        <v>0</v>
      </c>
      <c r="Y1265" s="31">
        <v>0</v>
      </c>
      <c r="Z1265" s="31">
        <v>0</v>
      </c>
      <c r="AA1265" s="31">
        <v>0</v>
      </c>
      <c r="AB1265" s="31">
        <v>0</v>
      </c>
      <c r="AC1265" s="31">
        <f>ROUND(N1265*1.5%,2)</f>
        <v>50240.39</v>
      </c>
      <c r="AD1265" s="31">
        <v>150000</v>
      </c>
      <c r="AE1265" s="31">
        <v>0</v>
      </c>
      <c r="AF1265" s="34">
        <v>2022</v>
      </c>
      <c r="AG1265" s="34">
        <v>2022</v>
      </c>
      <c r="AH1265" s="35">
        <v>2022</v>
      </c>
      <c r="AT1265" s="20" t="e">
        <f t="shared" si="418"/>
        <v>#N/A</v>
      </c>
      <c r="BZ1265" s="71"/>
    </row>
    <row r="1266" spans="1:224" ht="61.5" x14ac:dyDescent="0.85">
      <c r="A1266" s="20">
        <v>1</v>
      </c>
      <c r="B1266" s="66">
        <f>SUBTOTAL(103,$A$1006:A1266)</f>
        <v>209</v>
      </c>
      <c r="C1266" s="122" t="s">
        <v>195</v>
      </c>
      <c r="D1266" s="31">
        <f t="shared" si="427"/>
        <v>1391408.2</v>
      </c>
      <c r="E1266" s="31">
        <v>0</v>
      </c>
      <c r="F1266" s="31">
        <v>0</v>
      </c>
      <c r="G1266" s="31">
        <v>0</v>
      </c>
      <c r="H1266" s="31">
        <v>0</v>
      </c>
      <c r="I1266" s="31">
        <v>0</v>
      </c>
      <c r="J1266" s="31">
        <v>0</v>
      </c>
      <c r="K1266" s="33">
        <v>0</v>
      </c>
      <c r="L1266" s="31">
        <v>0</v>
      </c>
      <c r="M1266" s="31">
        <v>0</v>
      </c>
      <c r="N1266" s="31">
        <v>0</v>
      </c>
      <c r="O1266" s="31">
        <v>0</v>
      </c>
      <c r="P1266" s="31">
        <v>0</v>
      </c>
      <c r="Q1266" s="31">
        <v>455</v>
      </c>
      <c r="R1266" s="31">
        <v>1242766.7</v>
      </c>
      <c r="S1266" s="31">
        <v>0</v>
      </c>
      <c r="T1266" s="31">
        <v>0</v>
      </c>
      <c r="U1266" s="31">
        <v>0</v>
      </c>
      <c r="V1266" s="31">
        <v>0</v>
      </c>
      <c r="W1266" s="31">
        <v>0</v>
      </c>
      <c r="X1266" s="31">
        <v>0</v>
      </c>
      <c r="Y1266" s="31">
        <v>0</v>
      </c>
      <c r="Z1266" s="31">
        <v>0</v>
      </c>
      <c r="AA1266" s="31">
        <v>0</v>
      </c>
      <c r="AB1266" s="31">
        <v>0</v>
      </c>
      <c r="AC1266" s="31">
        <f>ROUND(R1266*1.5%,2)</f>
        <v>18641.5</v>
      </c>
      <c r="AD1266" s="31">
        <v>130000</v>
      </c>
      <c r="AE1266" s="31">
        <v>0</v>
      </c>
      <c r="AF1266" s="34">
        <v>2022</v>
      </c>
      <c r="AG1266" s="34">
        <v>2022</v>
      </c>
      <c r="AH1266" s="35">
        <v>2022</v>
      </c>
      <c r="AT1266" s="20" t="e">
        <f t="shared" si="418"/>
        <v>#N/A</v>
      </c>
      <c r="BZ1266" s="71"/>
    </row>
    <row r="1267" spans="1:224" ht="61.5" x14ac:dyDescent="0.85">
      <c r="A1267" s="20">
        <v>1</v>
      </c>
      <c r="B1267" s="66">
        <f>SUBTOTAL(103,$A$1006:A1267)</f>
        <v>210</v>
      </c>
      <c r="C1267" s="122" t="s">
        <v>196</v>
      </c>
      <c r="D1267" s="31">
        <f t="shared" si="427"/>
        <v>1391408.2</v>
      </c>
      <c r="E1267" s="31">
        <v>0</v>
      </c>
      <c r="F1267" s="31">
        <v>0</v>
      </c>
      <c r="G1267" s="31">
        <v>0</v>
      </c>
      <c r="H1267" s="31">
        <v>0</v>
      </c>
      <c r="I1267" s="31">
        <v>0</v>
      </c>
      <c r="J1267" s="31">
        <v>0</v>
      </c>
      <c r="K1267" s="33">
        <v>0</v>
      </c>
      <c r="L1267" s="31">
        <v>0</v>
      </c>
      <c r="M1267" s="31">
        <v>0</v>
      </c>
      <c r="N1267" s="31">
        <v>0</v>
      </c>
      <c r="O1267" s="31">
        <v>0</v>
      </c>
      <c r="P1267" s="31">
        <v>0</v>
      </c>
      <c r="Q1267" s="31">
        <v>455</v>
      </c>
      <c r="R1267" s="31">
        <v>1242766.7</v>
      </c>
      <c r="S1267" s="31">
        <v>0</v>
      </c>
      <c r="T1267" s="31">
        <v>0</v>
      </c>
      <c r="U1267" s="31">
        <v>0</v>
      </c>
      <c r="V1267" s="31">
        <v>0</v>
      </c>
      <c r="W1267" s="31">
        <v>0</v>
      </c>
      <c r="X1267" s="31">
        <v>0</v>
      </c>
      <c r="Y1267" s="31">
        <v>0</v>
      </c>
      <c r="Z1267" s="31">
        <v>0</v>
      </c>
      <c r="AA1267" s="31">
        <v>0</v>
      </c>
      <c r="AB1267" s="31">
        <v>0</v>
      </c>
      <c r="AC1267" s="31">
        <f>ROUND(R1267*1.5%,2)</f>
        <v>18641.5</v>
      </c>
      <c r="AD1267" s="31">
        <v>130000</v>
      </c>
      <c r="AE1267" s="31">
        <v>0</v>
      </c>
      <c r="AF1267" s="34">
        <v>2022</v>
      </c>
      <c r="AG1267" s="34">
        <v>2022</v>
      </c>
      <c r="AH1267" s="35">
        <v>2022</v>
      </c>
      <c r="AT1267" s="20" t="e">
        <f t="shared" si="418"/>
        <v>#N/A</v>
      </c>
      <c r="BZ1267" s="71"/>
    </row>
    <row r="1268" spans="1:224" ht="61.5" x14ac:dyDescent="0.85">
      <c r="B1268" s="24" t="s">
        <v>865</v>
      </c>
      <c r="C1268" s="24"/>
      <c r="D1268" s="195">
        <f>D1269</f>
        <v>5584659.7400000002</v>
      </c>
      <c r="E1268" s="31">
        <f t="shared" ref="E1268:AE1268" si="428">E1269</f>
        <v>0</v>
      </c>
      <c r="F1268" s="31">
        <f t="shared" si="428"/>
        <v>0</v>
      </c>
      <c r="G1268" s="31">
        <f t="shared" si="428"/>
        <v>0</v>
      </c>
      <c r="H1268" s="31">
        <f t="shared" si="428"/>
        <v>0</v>
      </c>
      <c r="I1268" s="31">
        <f t="shared" si="428"/>
        <v>0</v>
      </c>
      <c r="J1268" s="31">
        <f t="shared" si="428"/>
        <v>0</v>
      </c>
      <c r="K1268" s="33">
        <f t="shared" si="428"/>
        <v>0</v>
      </c>
      <c r="L1268" s="31">
        <f t="shared" si="428"/>
        <v>0</v>
      </c>
      <c r="M1268" s="31">
        <f t="shared" si="428"/>
        <v>720</v>
      </c>
      <c r="N1268" s="31">
        <f t="shared" si="428"/>
        <v>5374049</v>
      </c>
      <c r="O1268" s="31">
        <f t="shared" si="428"/>
        <v>0</v>
      </c>
      <c r="P1268" s="31">
        <f t="shared" si="428"/>
        <v>0</v>
      </c>
      <c r="Q1268" s="31">
        <f t="shared" si="428"/>
        <v>0</v>
      </c>
      <c r="R1268" s="31">
        <f t="shared" si="428"/>
        <v>0</v>
      </c>
      <c r="S1268" s="31">
        <f t="shared" si="428"/>
        <v>0</v>
      </c>
      <c r="T1268" s="31">
        <f t="shared" si="428"/>
        <v>0</v>
      </c>
      <c r="U1268" s="31">
        <f t="shared" si="428"/>
        <v>0</v>
      </c>
      <c r="V1268" s="31">
        <f t="shared" si="428"/>
        <v>0</v>
      </c>
      <c r="W1268" s="31">
        <f t="shared" si="428"/>
        <v>0</v>
      </c>
      <c r="X1268" s="31">
        <f t="shared" si="428"/>
        <v>0</v>
      </c>
      <c r="Y1268" s="31">
        <f t="shared" si="428"/>
        <v>0</v>
      </c>
      <c r="Z1268" s="31">
        <f t="shared" si="428"/>
        <v>0</v>
      </c>
      <c r="AA1268" s="31">
        <f t="shared" si="428"/>
        <v>0</v>
      </c>
      <c r="AB1268" s="31">
        <f t="shared" si="428"/>
        <v>0</v>
      </c>
      <c r="AC1268" s="31">
        <f t="shared" si="428"/>
        <v>80610.740000000005</v>
      </c>
      <c r="AD1268" s="31">
        <f t="shared" si="428"/>
        <v>130000</v>
      </c>
      <c r="AE1268" s="31">
        <f t="shared" si="428"/>
        <v>0</v>
      </c>
      <c r="AF1268" s="247" t="s">
        <v>757</v>
      </c>
      <c r="AG1268" s="247" t="s">
        <v>757</v>
      </c>
      <c r="AH1268" s="248" t="s">
        <v>757</v>
      </c>
      <c r="AT1268" s="20" t="e">
        <f t="shared" si="418"/>
        <v>#N/A</v>
      </c>
      <c r="BZ1268" s="71">
        <v>4686244.08</v>
      </c>
    </row>
    <row r="1269" spans="1:224" ht="61.5" x14ac:dyDescent="0.85">
      <c r="A1269" s="20">
        <v>1</v>
      </c>
      <c r="B1269" s="66">
        <f>SUBTOTAL(103,$A$1006:A1269)</f>
        <v>211</v>
      </c>
      <c r="C1269" s="122" t="s">
        <v>1374</v>
      </c>
      <c r="D1269" s="31">
        <f t="shared" ref="D1269" si="429">E1269+F1269+G1269+H1269+I1269+J1269+L1269+N1269+P1269+R1269+T1269+U1269+V1269+W1269+X1269+Y1269+Z1269+AA1269+AB1269+AC1269+AD1269+AE1269</f>
        <v>5584659.7400000002</v>
      </c>
      <c r="E1269" s="31">
        <v>0</v>
      </c>
      <c r="F1269" s="31">
        <v>0</v>
      </c>
      <c r="G1269" s="31">
        <v>0</v>
      </c>
      <c r="H1269" s="31">
        <v>0</v>
      </c>
      <c r="I1269" s="31">
        <v>0</v>
      </c>
      <c r="J1269" s="31">
        <v>0</v>
      </c>
      <c r="K1269" s="33">
        <v>0</v>
      </c>
      <c r="L1269" s="31">
        <v>0</v>
      </c>
      <c r="M1269" s="31">
        <v>720</v>
      </c>
      <c r="N1269" s="31">
        <f>2853393.18+1635517.24+885138.58</f>
        <v>5374049</v>
      </c>
      <c r="O1269" s="31">
        <v>0</v>
      </c>
      <c r="P1269" s="31">
        <v>0</v>
      </c>
      <c r="Q1269" s="31">
        <v>0</v>
      </c>
      <c r="R1269" s="31">
        <v>0</v>
      </c>
      <c r="S1269" s="31">
        <v>0</v>
      </c>
      <c r="T1269" s="31">
        <v>0</v>
      </c>
      <c r="U1269" s="31">
        <v>0</v>
      </c>
      <c r="V1269" s="31">
        <v>0</v>
      </c>
      <c r="W1269" s="31">
        <v>0</v>
      </c>
      <c r="X1269" s="31">
        <v>0</v>
      </c>
      <c r="Y1269" s="31">
        <v>0</v>
      </c>
      <c r="Z1269" s="31">
        <v>0</v>
      </c>
      <c r="AA1269" s="31">
        <v>0</v>
      </c>
      <c r="AB1269" s="31">
        <v>0</v>
      </c>
      <c r="AC1269" s="31">
        <f>ROUND(N1269*1.5%,2)</f>
        <v>80610.740000000005</v>
      </c>
      <c r="AD1269" s="31">
        <v>130000</v>
      </c>
      <c r="AE1269" s="31">
        <v>0</v>
      </c>
      <c r="AF1269" s="34">
        <v>2022</v>
      </c>
      <c r="AG1269" s="34">
        <v>2022</v>
      </c>
      <c r="AH1269" s="35">
        <v>2022</v>
      </c>
      <c r="AT1269" s="20" t="e">
        <f t="shared" si="418"/>
        <v>#N/A</v>
      </c>
      <c r="BZ1269" s="71"/>
    </row>
    <row r="1270" spans="1:224" ht="61.5" x14ac:dyDescent="0.85">
      <c r="B1270" s="24" t="s">
        <v>867</v>
      </c>
      <c r="C1270" s="24"/>
      <c r="D1270" s="195">
        <f>D1271</f>
        <v>3600600</v>
      </c>
      <c r="E1270" s="31">
        <f t="shared" ref="E1270:AE1270" si="430">E1271</f>
        <v>0</v>
      </c>
      <c r="F1270" s="31">
        <f t="shared" si="430"/>
        <v>0</v>
      </c>
      <c r="G1270" s="31">
        <f t="shared" si="430"/>
        <v>0</v>
      </c>
      <c r="H1270" s="31">
        <f t="shared" si="430"/>
        <v>0</v>
      </c>
      <c r="I1270" s="31">
        <f t="shared" si="430"/>
        <v>0</v>
      </c>
      <c r="J1270" s="31">
        <f t="shared" si="430"/>
        <v>0</v>
      </c>
      <c r="K1270" s="33">
        <f t="shared" si="430"/>
        <v>0</v>
      </c>
      <c r="L1270" s="31">
        <f t="shared" si="430"/>
        <v>0</v>
      </c>
      <c r="M1270" s="31">
        <f t="shared" si="430"/>
        <v>0</v>
      </c>
      <c r="N1270" s="31">
        <f t="shared" si="430"/>
        <v>0</v>
      </c>
      <c r="O1270" s="31">
        <f t="shared" si="430"/>
        <v>0</v>
      </c>
      <c r="P1270" s="31">
        <f t="shared" si="430"/>
        <v>0</v>
      </c>
      <c r="Q1270" s="31">
        <f t="shared" si="430"/>
        <v>333.4</v>
      </c>
      <c r="R1270" s="31">
        <f t="shared" si="430"/>
        <v>3399605.91</v>
      </c>
      <c r="S1270" s="31">
        <f t="shared" si="430"/>
        <v>0</v>
      </c>
      <c r="T1270" s="31">
        <f t="shared" si="430"/>
        <v>0</v>
      </c>
      <c r="U1270" s="31">
        <f t="shared" si="430"/>
        <v>0</v>
      </c>
      <c r="V1270" s="31">
        <f t="shared" si="430"/>
        <v>0</v>
      </c>
      <c r="W1270" s="31">
        <f t="shared" si="430"/>
        <v>0</v>
      </c>
      <c r="X1270" s="31">
        <f t="shared" si="430"/>
        <v>0</v>
      </c>
      <c r="Y1270" s="31">
        <f t="shared" si="430"/>
        <v>0</v>
      </c>
      <c r="Z1270" s="31">
        <f t="shared" si="430"/>
        <v>0</v>
      </c>
      <c r="AA1270" s="31">
        <f t="shared" si="430"/>
        <v>0</v>
      </c>
      <c r="AB1270" s="31">
        <f t="shared" si="430"/>
        <v>0</v>
      </c>
      <c r="AC1270" s="31">
        <f t="shared" si="430"/>
        <v>50994.09</v>
      </c>
      <c r="AD1270" s="31">
        <f t="shared" si="430"/>
        <v>150000</v>
      </c>
      <c r="AE1270" s="31">
        <f t="shared" si="430"/>
        <v>0</v>
      </c>
      <c r="AF1270" s="247" t="s">
        <v>757</v>
      </c>
      <c r="AG1270" s="247" t="s">
        <v>757</v>
      </c>
      <c r="AH1270" s="248" t="s">
        <v>757</v>
      </c>
      <c r="AT1270" s="20" t="e">
        <f t="shared" si="418"/>
        <v>#N/A</v>
      </c>
      <c r="BZ1270" s="71">
        <v>3600600</v>
      </c>
    </row>
    <row r="1271" spans="1:224" ht="61.5" x14ac:dyDescent="0.85">
      <c r="A1271" s="20">
        <v>1</v>
      </c>
      <c r="B1271" s="66">
        <f>SUBTOTAL(103,$A$1006:A1271)</f>
        <v>212</v>
      </c>
      <c r="C1271" s="122" t="s">
        <v>800</v>
      </c>
      <c r="D1271" s="31">
        <f t="shared" ref="D1271" si="431">E1271+F1271+G1271+H1271+I1271+J1271+L1271+N1271+P1271+R1271+T1271+U1271+V1271+W1271+X1271+Y1271+Z1271+AA1271+AB1271+AC1271+AD1271+AE1271</f>
        <v>3600600</v>
      </c>
      <c r="E1271" s="31">
        <v>0</v>
      </c>
      <c r="F1271" s="31">
        <v>0</v>
      </c>
      <c r="G1271" s="31">
        <v>0</v>
      </c>
      <c r="H1271" s="31">
        <v>0</v>
      </c>
      <c r="I1271" s="31">
        <v>0</v>
      </c>
      <c r="J1271" s="31">
        <v>0</v>
      </c>
      <c r="K1271" s="33">
        <v>0</v>
      </c>
      <c r="L1271" s="31">
        <v>0</v>
      </c>
      <c r="M1271" s="31">
        <v>0</v>
      </c>
      <c r="N1271" s="31">
        <v>0</v>
      </c>
      <c r="O1271" s="31">
        <v>0</v>
      </c>
      <c r="P1271" s="31">
        <v>0</v>
      </c>
      <c r="Q1271" s="31">
        <v>333.4</v>
      </c>
      <c r="R1271" s="31">
        <f>1668008.87+1731597.04</f>
        <v>3399605.91</v>
      </c>
      <c r="S1271" s="31">
        <v>0</v>
      </c>
      <c r="T1271" s="31">
        <v>0</v>
      </c>
      <c r="U1271" s="31">
        <v>0</v>
      </c>
      <c r="V1271" s="31">
        <v>0</v>
      </c>
      <c r="W1271" s="31">
        <v>0</v>
      </c>
      <c r="X1271" s="31">
        <v>0</v>
      </c>
      <c r="Y1271" s="31">
        <v>0</v>
      </c>
      <c r="Z1271" s="31">
        <v>0</v>
      </c>
      <c r="AA1271" s="31">
        <v>0</v>
      </c>
      <c r="AB1271" s="31">
        <v>0</v>
      </c>
      <c r="AC1271" s="31">
        <f>ROUND((N1271+R1271)*1.5%,2)</f>
        <v>50994.09</v>
      </c>
      <c r="AD1271" s="31">
        <v>150000</v>
      </c>
      <c r="AE1271" s="31">
        <v>0</v>
      </c>
      <c r="AF1271" s="34">
        <v>2022</v>
      </c>
      <c r="AG1271" s="34">
        <v>2022</v>
      </c>
      <c r="AH1271" s="35">
        <v>2022</v>
      </c>
      <c r="AT1271" s="20" t="e">
        <f t="shared" si="418"/>
        <v>#N/A</v>
      </c>
      <c r="BZ1271" s="71"/>
    </row>
    <row r="1272" spans="1:224" ht="61.5" x14ac:dyDescent="0.85">
      <c r="B1272" s="24" t="s">
        <v>886</v>
      </c>
      <c r="C1272" s="24"/>
      <c r="D1272" s="195">
        <f>D1273</f>
        <v>2233993.96</v>
      </c>
      <c r="E1272" s="31">
        <f t="shared" ref="E1272:AE1272" si="432">E1273</f>
        <v>0</v>
      </c>
      <c r="F1272" s="31">
        <f t="shared" si="432"/>
        <v>0</v>
      </c>
      <c r="G1272" s="31">
        <f t="shared" si="432"/>
        <v>0</v>
      </c>
      <c r="H1272" s="31">
        <f t="shared" si="432"/>
        <v>0</v>
      </c>
      <c r="I1272" s="31">
        <f t="shared" si="432"/>
        <v>0</v>
      </c>
      <c r="J1272" s="31">
        <f t="shared" si="432"/>
        <v>0</v>
      </c>
      <c r="K1272" s="33">
        <f t="shared" si="432"/>
        <v>0</v>
      </c>
      <c r="L1272" s="31">
        <f t="shared" si="432"/>
        <v>0</v>
      </c>
      <c r="M1272" s="31">
        <f t="shared" si="432"/>
        <v>376</v>
      </c>
      <c r="N1272" s="31">
        <f t="shared" si="432"/>
        <v>2082752.67</v>
      </c>
      <c r="O1272" s="31">
        <f t="shared" si="432"/>
        <v>0</v>
      </c>
      <c r="P1272" s="31">
        <f t="shared" si="432"/>
        <v>0</v>
      </c>
      <c r="Q1272" s="31">
        <f t="shared" si="432"/>
        <v>0</v>
      </c>
      <c r="R1272" s="31">
        <f t="shared" si="432"/>
        <v>0</v>
      </c>
      <c r="S1272" s="31">
        <f t="shared" si="432"/>
        <v>0</v>
      </c>
      <c r="T1272" s="31">
        <f t="shared" si="432"/>
        <v>0</v>
      </c>
      <c r="U1272" s="31">
        <f t="shared" si="432"/>
        <v>0</v>
      </c>
      <c r="V1272" s="31">
        <f t="shared" si="432"/>
        <v>0</v>
      </c>
      <c r="W1272" s="31">
        <f t="shared" si="432"/>
        <v>0</v>
      </c>
      <c r="X1272" s="31">
        <f t="shared" si="432"/>
        <v>0</v>
      </c>
      <c r="Y1272" s="31">
        <f t="shared" si="432"/>
        <v>0</v>
      </c>
      <c r="Z1272" s="31">
        <f t="shared" si="432"/>
        <v>0</v>
      </c>
      <c r="AA1272" s="31">
        <f t="shared" si="432"/>
        <v>0</v>
      </c>
      <c r="AB1272" s="31">
        <f t="shared" si="432"/>
        <v>0</v>
      </c>
      <c r="AC1272" s="31">
        <f t="shared" si="432"/>
        <v>31241.29</v>
      </c>
      <c r="AD1272" s="31">
        <f t="shared" si="432"/>
        <v>120000</v>
      </c>
      <c r="AE1272" s="31">
        <f t="shared" si="432"/>
        <v>0</v>
      </c>
      <c r="AF1272" s="247" t="s">
        <v>757</v>
      </c>
      <c r="AG1272" s="247" t="s">
        <v>757</v>
      </c>
      <c r="AH1272" s="248" t="s">
        <v>757</v>
      </c>
      <c r="AT1272" s="20" t="e">
        <f t="shared" si="418"/>
        <v>#N/A</v>
      </c>
      <c r="BZ1272" s="71">
        <v>2233993.96</v>
      </c>
    </row>
    <row r="1273" spans="1:224" ht="61.5" x14ac:dyDescent="0.85">
      <c r="A1273" s="20">
        <v>1</v>
      </c>
      <c r="B1273" s="66">
        <f>SUBTOTAL(103,$A$1006:A1273)</f>
        <v>213</v>
      </c>
      <c r="C1273" s="122" t="s">
        <v>197</v>
      </c>
      <c r="D1273" s="31">
        <f t="shared" ref="D1273" si="433">E1273+F1273+G1273+H1273+I1273+J1273+L1273+N1273+P1273+R1273+T1273+U1273+V1273+W1273+X1273+Y1273+Z1273+AA1273+AB1273+AC1273+AD1273+AE1273</f>
        <v>2233993.96</v>
      </c>
      <c r="E1273" s="31">
        <v>0</v>
      </c>
      <c r="F1273" s="31">
        <v>0</v>
      </c>
      <c r="G1273" s="31">
        <v>0</v>
      </c>
      <c r="H1273" s="31">
        <v>0</v>
      </c>
      <c r="I1273" s="31">
        <v>0</v>
      </c>
      <c r="J1273" s="31">
        <v>0</v>
      </c>
      <c r="K1273" s="33">
        <v>0</v>
      </c>
      <c r="L1273" s="31">
        <v>0</v>
      </c>
      <c r="M1273" s="31">
        <v>376</v>
      </c>
      <c r="N1273" s="31">
        <f>1771034.48+311718.19</f>
        <v>2082752.67</v>
      </c>
      <c r="O1273" s="31">
        <v>0</v>
      </c>
      <c r="P1273" s="31">
        <v>0</v>
      </c>
      <c r="Q1273" s="31">
        <v>0</v>
      </c>
      <c r="R1273" s="31">
        <v>0</v>
      </c>
      <c r="S1273" s="31">
        <v>0</v>
      </c>
      <c r="T1273" s="31">
        <v>0</v>
      </c>
      <c r="U1273" s="31">
        <v>0</v>
      </c>
      <c r="V1273" s="31">
        <v>0</v>
      </c>
      <c r="W1273" s="31">
        <v>0</v>
      </c>
      <c r="X1273" s="31">
        <v>0</v>
      </c>
      <c r="Y1273" s="31">
        <v>0</v>
      </c>
      <c r="Z1273" s="31">
        <v>0</v>
      </c>
      <c r="AA1273" s="31">
        <v>0</v>
      </c>
      <c r="AB1273" s="31">
        <v>0</v>
      </c>
      <c r="AC1273" s="31">
        <f>ROUND(N1273*1.5%,2)</f>
        <v>31241.29</v>
      </c>
      <c r="AD1273" s="31">
        <v>120000</v>
      </c>
      <c r="AE1273" s="31">
        <v>0</v>
      </c>
      <c r="AF1273" s="34">
        <v>2022</v>
      </c>
      <c r="AG1273" s="34">
        <v>2022</v>
      </c>
      <c r="AH1273" s="35">
        <v>2022</v>
      </c>
      <c r="AT1273" s="20" t="e">
        <f t="shared" si="418"/>
        <v>#N/A</v>
      </c>
      <c r="BZ1273" s="71"/>
    </row>
    <row r="1274" spans="1:224" ht="61.5" x14ac:dyDescent="0.85">
      <c r="B1274" s="24" t="s">
        <v>868</v>
      </c>
      <c r="C1274" s="108"/>
      <c r="D1274" s="195">
        <f>SUM(D1275:D1277)</f>
        <v>14392200</v>
      </c>
      <c r="E1274" s="31">
        <f t="shared" ref="E1274:AE1274" si="434">SUM(E1275:E1277)</f>
        <v>0</v>
      </c>
      <c r="F1274" s="31">
        <f t="shared" si="434"/>
        <v>0</v>
      </c>
      <c r="G1274" s="31">
        <f t="shared" si="434"/>
        <v>0</v>
      </c>
      <c r="H1274" s="31">
        <f t="shared" si="434"/>
        <v>0</v>
      </c>
      <c r="I1274" s="31">
        <f t="shared" si="434"/>
        <v>0</v>
      </c>
      <c r="J1274" s="31">
        <f t="shared" si="434"/>
        <v>0</v>
      </c>
      <c r="K1274" s="33">
        <f t="shared" si="434"/>
        <v>0</v>
      </c>
      <c r="L1274" s="31">
        <f t="shared" si="434"/>
        <v>0</v>
      </c>
      <c r="M1274" s="31">
        <f t="shared" si="434"/>
        <v>2822</v>
      </c>
      <c r="N1274" s="31">
        <f t="shared" si="434"/>
        <v>13706600.99</v>
      </c>
      <c r="O1274" s="31">
        <f t="shared" si="434"/>
        <v>0</v>
      </c>
      <c r="P1274" s="31">
        <f t="shared" si="434"/>
        <v>0</v>
      </c>
      <c r="Q1274" s="31">
        <f t="shared" si="434"/>
        <v>0</v>
      </c>
      <c r="R1274" s="31">
        <f t="shared" si="434"/>
        <v>0</v>
      </c>
      <c r="S1274" s="31">
        <f t="shared" si="434"/>
        <v>0</v>
      </c>
      <c r="T1274" s="31">
        <f t="shared" si="434"/>
        <v>0</v>
      </c>
      <c r="U1274" s="31">
        <f t="shared" si="434"/>
        <v>0</v>
      </c>
      <c r="V1274" s="31">
        <f t="shared" si="434"/>
        <v>0</v>
      </c>
      <c r="W1274" s="31">
        <f t="shared" si="434"/>
        <v>0</v>
      </c>
      <c r="X1274" s="31">
        <f t="shared" si="434"/>
        <v>0</v>
      </c>
      <c r="Y1274" s="31">
        <f t="shared" si="434"/>
        <v>0</v>
      </c>
      <c r="Z1274" s="31">
        <f t="shared" si="434"/>
        <v>0</v>
      </c>
      <c r="AA1274" s="31">
        <f t="shared" si="434"/>
        <v>0</v>
      </c>
      <c r="AB1274" s="31">
        <f t="shared" si="434"/>
        <v>0</v>
      </c>
      <c r="AC1274" s="31">
        <f t="shared" si="434"/>
        <v>205599.01</v>
      </c>
      <c r="AD1274" s="31">
        <f t="shared" si="434"/>
        <v>480000</v>
      </c>
      <c r="AE1274" s="31">
        <f t="shared" si="434"/>
        <v>0</v>
      </c>
      <c r="AF1274" s="247" t="s">
        <v>757</v>
      </c>
      <c r="AG1274" s="247" t="s">
        <v>757</v>
      </c>
      <c r="AH1274" s="248" t="s">
        <v>757</v>
      </c>
      <c r="AT1274" s="20" t="e">
        <f t="shared" si="418"/>
        <v>#N/A</v>
      </c>
      <c r="BZ1274" s="71">
        <v>14392200</v>
      </c>
    </row>
    <row r="1275" spans="1:224" ht="61.5" x14ac:dyDescent="0.85">
      <c r="A1275" s="20">
        <v>1</v>
      </c>
      <c r="B1275" s="66">
        <f>SUBTOTAL(103,$A$1006:A1275)</f>
        <v>214</v>
      </c>
      <c r="C1275" s="122" t="s">
        <v>214</v>
      </c>
      <c r="D1275" s="31">
        <f t="shared" ref="D1275:D1277" si="435">E1275+F1275+G1275+H1275+I1275+J1275+L1275+N1275+P1275+R1275+T1275+U1275+V1275+W1275+X1275+Y1275+Z1275+AA1275+AB1275+AC1275+AD1275+AE1275</f>
        <v>6002700</v>
      </c>
      <c r="E1275" s="31">
        <v>0</v>
      </c>
      <c r="F1275" s="31">
        <v>0</v>
      </c>
      <c r="G1275" s="31">
        <v>0</v>
      </c>
      <c r="H1275" s="31">
        <v>0</v>
      </c>
      <c r="I1275" s="31">
        <v>0</v>
      </c>
      <c r="J1275" s="31">
        <v>0</v>
      </c>
      <c r="K1275" s="33">
        <v>0</v>
      </c>
      <c r="L1275" s="31">
        <v>0</v>
      </c>
      <c r="M1275" s="31">
        <v>1177</v>
      </c>
      <c r="N1275" s="31">
        <v>5736650.25</v>
      </c>
      <c r="O1275" s="31">
        <v>0</v>
      </c>
      <c r="P1275" s="31">
        <v>0</v>
      </c>
      <c r="Q1275" s="31">
        <v>0</v>
      </c>
      <c r="R1275" s="31">
        <v>0</v>
      </c>
      <c r="S1275" s="31">
        <v>0</v>
      </c>
      <c r="T1275" s="31">
        <v>0</v>
      </c>
      <c r="U1275" s="31">
        <v>0</v>
      </c>
      <c r="V1275" s="31">
        <v>0</v>
      </c>
      <c r="W1275" s="31">
        <v>0</v>
      </c>
      <c r="X1275" s="31">
        <v>0</v>
      </c>
      <c r="Y1275" s="31">
        <v>0</v>
      </c>
      <c r="Z1275" s="31">
        <v>0</v>
      </c>
      <c r="AA1275" s="31">
        <v>0</v>
      </c>
      <c r="AB1275" s="31">
        <v>0</v>
      </c>
      <c r="AC1275" s="31">
        <f>ROUND(N1275*1.5%,2)</f>
        <v>86049.75</v>
      </c>
      <c r="AD1275" s="31">
        <v>180000</v>
      </c>
      <c r="AE1275" s="31">
        <v>0</v>
      </c>
      <c r="AF1275" s="34">
        <v>2022</v>
      </c>
      <c r="AG1275" s="34">
        <v>2022</v>
      </c>
      <c r="AH1275" s="35">
        <v>2022</v>
      </c>
      <c r="AT1275" s="20" t="e">
        <f t="shared" si="418"/>
        <v>#N/A</v>
      </c>
      <c r="BZ1275" s="71"/>
    </row>
    <row r="1276" spans="1:224" ht="61.5" x14ac:dyDescent="0.85">
      <c r="A1276" s="20">
        <v>1</v>
      </c>
      <c r="B1276" s="66">
        <f>SUBTOTAL(103,$A$1006:A1276)</f>
        <v>215</v>
      </c>
      <c r="C1276" s="122" t="s">
        <v>215</v>
      </c>
      <c r="D1276" s="31">
        <f t="shared" si="435"/>
        <v>4059600</v>
      </c>
      <c r="E1276" s="31">
        <v>0</v>
      </c>
      <c r="F1276" s="31">
        <v>0</v>
      </c>
      <c r="G1276" s="31">
        <v>0</v>
      </c>
      <c r="H1276" s="31">
        <v>0</v>
      </c>
      <c r="I1276" s="31">
        <v>0</v>
      </c>
      <c r="J1276" s="31">
        <v>0</v>
      </c>
      <c r="K1276" s="33">
        <v>0</v>
      </c>
      <c r="L1276" s="31">
        <v>0</v>
      </c>
      <c r="M1276" s="31">
        <v>796</v>
      </c>
      <c r="N1276" s="31">
        <v>3851822.66</v>
      </c>
      <c r="O1276" s="31">
        <v>0</v>
      </c>
      <c r="P1276" s="31">
        <v>0</v>
      </c>
      <c r="Q1276" s="31">
        <v>0</v>
      </c>
      <c r="R1276" s="31">
        <v>0</v>
      </c>
      <c r="S1276" s="31">
        <v>0</v>
      </c>
      <c r="T1276" s="31">
        <v>0</v>
      </c>
      <c r="U1276" s="31">
        <v>0</v>
      </c>
      <c r="V1276" s="31">
        <v>0</v>
      </c>
      <c r="W1276" s="31">
        <v>0</v>
      </c>
      <c r="X1276" s="31">
        <v>0</v>
      </c>
      <c r="Y1276" s="31">
        <v>0</v>
      </c>
      <c r="Z1276" s="31">
        <v>0</v>
      </c>
      <c r="AA1276" s="31">
        <v>0</v>
      </c>
      <c r="AB1276" s="31">
        <v>0</v>
      </c>
      <c r="AC1276" s="31">
        <f>ROUND(N1276*1.5%,2)</f>
        <v>57777.34</v>
      </c>
      <c r="AD1276" s="31">
        <v>150000</v>
      </c>
      <c r="AE1276" s="31">
        <v>0</v>
      </c>
      <c r="AF1276" s="34">
        <v>2022</v>
      </c>
      <c r="AG1276" s="34">
        <v>2022</v>
      </c>
      <c r="AH1276" s="35">
        <v>2022</v>
      </c>
      <c r="AT1276" s="20" t="e">
        <f t="shared" si="418"/>
        <v>#N/A</v>
      </c>
      <c r="BZ1276" s="71"/>
    </row>
    <row r="1277" spans="1:224" ht="61.5" x14ac:dyDescent="0.85">
      <c r="A1277" s="20">
        <v>1</v>
      </c>
      <c r="B1277" s="66">
        <f>SUBTOTAL(103,$A$1006:A1277)</f>
        <v>216</v>
      </c>
      <c r="C1277" s="122" t="s">
        <v>216</v>
      </c>
      <c r="D1277" s="31">
        <f t="shared" si="435"/>
        <v>4329900</v>
      </c>
      <c r="E1277" s="31">
        <v>0</v>
      </c>
      <c r="F1277" s="31">
        <v>0</v>
      </c>
      <c r="G1277" s="31">
        <v>0</v>
      </c>
      <c r="H1277" s="31">
        <v>0</v>
      </c>
      <c r="I1277" s="31">
        <v>0</v>
      </c>
      <c r="J1277" s="31">
        <v>0</v>
      </c>
      <c r="K1277" s="33">
        <v>0</v>
      </c>
      <c r="L1277" s="31">
        <v>0</v>
      </c>
      <c r="M1277" s="31">
        <v>849</v>
      </c>
      <c r="N1277" s="31">
        <v>4118128.08</v>
      </c>
      <c r="O1277" s="31">
        <v>0</v>
      </c>
      <c r="P1277" s="31">
        <v>0</v>
      </c>
      <c r="Q1277" s="31">
        <v>0</v>
      </c>
      <c r="R1277" s="31">
        <v>0</v>
      </c>
      <c r="S1277" s="31">
        <v>0</v>
      </c>
      <c r="T1277" s="31">
        <v>0</v>
      </c>
      <c r="U1277" s="31">
        <v>0</v>
      </c>
      <c r="V1277" s="31">
        <v>0</v>
      </c>
      <c r="W1277" s="31">
        <v>0</v>
      </c>
      <c r="X1277" s="31">
        <v>0</v>
      </c>
      <c r="Y1277" s="31">
        <v>0</v>
      </c>
      <c r="Z1277" s="31">
        <v>0</v>
      </c>
      <c r="AA1277" s="31">
        <v>0</v>
      </c>
      <c r="AB1277" s="31">
        <v>0</v>
      </c>
      <c r="AC1277" s="31">
        <f>ROUND(N1277*1.5%,2)</f>
        <v>61771.92</v>
      </c>
      <c r="AD1277" s="31">
        <v>150000</v>
      </c>
      <c r="AE1277" s="31">
        <v>0</v>
      </c>
      <c r="AF1277" s="34">
        <v>2022</v>
      </c>
      <c r="AG1277" s="34">
        <v>2022</v>
      </c>
      <c r="AH1277" s="35">
        <v>2022</v>
      </c>
      <c r="AT1277" s="20" t="e">
        <f t="shared" si="418"/>
        <v>#N/A</v>
      </c>
      <c r="BZ1277" s="71"/>
    </row>
    <row r="1278" spans="1:224" ht="61.5" x14ac:dyDescent="0.85">
      <c r="B1278" s="24" t="s">
        <v>869</v>
      </c>
      <c r="C1278" s="24"/>
      <c r="D1278" s="195">
        <f>D1279</f>
        <v>3396600</v>
      </c>
      <c r="E1278" s="31">
        <f t="shared" ref="E1278:AE1278" si="436">E1279</f>
        <v>0</v>
      </c>
      <c r="F1278" s="31">
        <f t="shared" si="436"/>
        <v>0</v>
      </c>
      <c r="G1278" s="31">
        <f t="shared" si="436"/>
        <v>0</v>
      </c>
      <c r="H1278" s="31">
        <f t="shared" si="436"/>
        <v>0</v>
      </c>
      <c r="I1278" s="31">
        <f t="shared" si="436"/>
        <v>0</v>
      </c>
      <c r="J1278" s="31">
        <f t="shared" si="436"/>
        <v>0</v>
      </c>
      <c r="K1278" s="33">
        <f t="shared" si="436"/>
        <v>0</v>
      </c>
      <c r="L1278" s="31">
        <f t="shared" si="436"/>
        <v>0</v>
      </c>
      <c r="M1278" s="31">
        <f t="shared" si="436"/>
        <v>666</v>
      </c>
      <c r="N1278" s="31">
        <f t="shared" si="436"/>
        <v>3198620.69</v>
      </c>
      <c r="O1278" s="31">
        <f t="shared" si="436"/>
        <v>0</v>
      </c>
      <c r="P1278" s="31">
        <f t="shared" si="436"/>
        <v>0</v>
      </c>
      <c r="Q1278" s="31">
        <f t="shared" si="436"/>
        <v>0</v>
      </c>
      <c r="R1278" s="31">
        <f t="shared" si="436"/>
        <v>0</v>
      </c>
      <c r="S1278" s="31">
        <f t="shared" si="436"/>
        <v>0</v>
      </c>
      <c r="T1278" s="31">
        <f t="shared" si="436"/>
        <v>0</v>
      </c>
      <c r="U1278" s="31">
        <f t="shared" si="436"/>
        <v>0</v>
      </c>
      <c r="V1278" s="31">
        <f t="shared" si="436"/>
        <v>0</v>
      </c>
      <c r="W1278" s="31">
        <f t="shared" si="436"/>
        <v>0</v>
      </c>
      <c r="X1278" s="31">
        <f t="shared" si="436"/>
        <v>0</v>
      </c>
      <c r="Y1278" s="31">
        <f t="shared" si="436"/>
        <v>0</v>
      </c>
      <c r="Z1278" s="31">
        <f t="shared" si="436"/>
        <v>0</v>
      </c>
      <c r="AA1278" s="31">
        <f t="shared" si="436"/>
        <v>0</v>
      </c>
      <c r="AB1278" s="31">
        <f t="shared" si="436"/>
        <v>0</v>
      </c>
      <c r="AC1278" s="31">
        <f t="shared" si="436"/>
        <v>47979.31</v>
      </c>
      <c r="AD1278" s="31">
        <f t="shared" si="436"/>
        <v>150000</v>
      </c>
      <c r="AE1278" s="31">
        <f t="shared" si="436"/>
        <v>0</v>
      </c>
      <c r="AF1278" s="247" t="s">
        <v>757</v>
      </c>
      <c r="AG1278" s="247" t="s">
        <v>757</v>
      </c>
      <c r="AH1278" s="248" t="s">
        <v>757</v>
      </c>
      <c r="AT1278" s="20" t="e">
        <f t="shared" si="418"/>
        <v>#N/A</v>
      </c>
      <c r="BZ1278" s="71">
        <v>3396600</v>
      </c>
    </row>
    <row r="1279" spans="1:224" ht="61.5" x14ac:dyDescent="0.85">
      <c r="A1279" s="20">
        <v>1</v>
      </c>
      <c r="B1279" s="66">
        <f>SUBTOTAL(103,$A$1006:A1279)</f>
        <v>217</v>
      </c>
      <c r="C1279" s="122" t="s">
        <v>222</v>
      </c>
      <c r="D1279" s="31">
        <f t="shared" ref="D1279" si="437">E1279+F1279+G1279+H1279+I1279+J1279+L1279+N1279+P1279+R1279+T1279+U1279+V1279+W1279+X1279+Y1279+Z1279+AA1279+AB1279+AC1279+AD1279+AE1279</f>
        <v>3396600</v>
      </c>
      <c r="E1279" s="31">
        <v>0</v>
      </c>
      <c r="F1279" s="31">
        <v>0</v>
      </c>
      <c r="G1279" s="31">
        <v>0</v>
      </c>
      <c r="H1279" s="31">
        <v>0</v>
      </c>
      <c r="I1279" s="31">
        <v>0</v>
      </c>
      <c r="J1279" s="31">
        <v>0</v>
      </c>
      <c r="K1279" s="33">
        <v>0</v>
      </c>
      <c r="L1279" s="31">
        <v>0</v>
      </c>
      <c r="M1279" s="31">
        <v>666</v>
      </c>
      <c r="N1279" s="31">
        <v>3198620.69</v>
      </c>
      <c r="O1279" s="31">
        <v>0</v>
      </c>
      <c r="P1279" s="31">
        <v>0</v>
      </c>
      <c r="Q1279" s="31">
        <v>0</v>
      </c>
      <c r="R1279" s="31">
        <v>0</v>
      </c>
      <c r="S1279" s="31">
        <v>0</v>
      </c>
      <c r="T1279" s="31">
        <v>0</v>
      </c>
      <c r="U1279" s="31">
        <v>0</v>
      </c>
      <c r="V1279" s="31">
        <v>0</v>
      </c>
      <c r="W1279" s="31">
        <v>0</v>
      </c>
      <c r="X1279" s="31">
        <v>0</v>
      </c>
      <c r="Y1279" s="31">
        <v>0</v>
      </c>
      <c r="Z1279" s="31">
        <v>0</v>
      </c>
      <c r="AA1279" s="31">
        <v>0</v>
      </c>
      <c r="AB1279" s="31">
        <v>0</v>
      </c>
      <c r="AC1279" s="31">
        <f>ROUND(N1279*1.5%,2)</f>
        <v>47979.31</v>
      </c>
      <c r="AD1279" s="31">
        <v>150000</v>
      </c>
      <c r="AE1279" s="31">
        <v>0</v>
      </c>
      <c r="AF1279" s="34">
        <v>2022</v>
      </c>
      <c r="AG1279" s="34">
        <v>2022</v>
      </c>
      <c r="AH1279" s="35">
        <v>2022</v>
      </c>
      <c r="AT1279" s="20">
        <f t="shared" si="418"/>
        <v>1</v>
      </c>
      <c r="BZ1279" s="71"/>
    </row>
    <row r="1280" spans="1:224" s="249" customFormat="1" ht="189" customHeight="1" x14ac:dyDescent="0.3">
      <c r="B1280" s="294" t="s">
        <v>1674</v>
      </c>
      <c r="C1280" s="295"/>
      <c r="D1280" s="295"/>
      <c r="E1280" s="295"/>
      <c r="F1280" s="295"/>
      <c r="G1280" s="295"/>
      <c r="H1280" s="295"/>
      <c r="I1280" s="295"/>
      <c r="J1280" s="295"/>
      <c r="K1280" s="295"/>
      <c r="L1280" s="295"/>
      <c r="M1280" s="295"/>
      <c r="N1280" s="295"/>
      <c r="O1280" s="295"/>
      <c r="P1280" s="295"/>
      <c r="Q1280" s="295"/>
      <c r="R1280" s="295"/>
      <c r="S1280" s="295"/>
      <c r="T1280" s="295"/>
      <c r="U1280" s="295"/>
      <c r="V1280" s="295"/>
      <c r="W1280" s="295"/>
      <c r="X1280" s="295"/>
      <c r="Y1280" s="295"/>
      <c r="Z1280" s="295"/>
      <c r="AA1280" s="295"/>
      <c r="AB1280" s="295"/>
      <c r="AC1280" s="295"/>
      <c r="AD1280" s="295"/>
      <c r="AE1280" s="295"/>
      <c r="AF1280" s="295"/>
      <c r="AG1280" s="295"/>
      <c r="AH1280" s="296"/>
      <c r="AI1280" s="139"/>
      <c r="AJ1280" s="140"/>
      <c r="AK1280" s="139"/>
      <c r="AL1280" s="139"/>
      <c r="AM1280" s="139"/>
      <c r="BR1280" s="250"/>
      <c r="CH1280" s="250" t="e">
        <f>VLOOKUP(C1280,CJ:CK,2,FALSE)</f>
        <v>#N/A</v>
      </c>
      <c r="CK1280" s="250" t="e">
        <f>VLOOKUP(C1280,CM:CN,2,FALSE)</f>
        <v>#N/A</v>
      </c>
      <c r="EU1280" s="250" t="e">
        <f>VLOOKUP(C1280,EY:EZ,2,FALSE)</f>
        <v>#N/A</v>
      </c>
      <c r="HO1280" s="249" t="s">
        <v>1668</v>
      </c>
      <c r="HP1280" s="249">
        <v>50864.91</v>
      </c>
    </row>
    <row r="1281" spans="1:224" s="249" customFormat="1" ht="189" customHeight="1" x14ac:dyDescent="0.3">
      <c r="B1281" s="297" t="s">
        <v>1682</v>
      </c>
      <c r="C1281" s="298"/>
      <c r="D1281" s="298"/>
      <c r="E1281" s="298"/>
      <c r="F1281" s="298"/>
      <c r="G1281" s="298"/>
      <c r="H1281" s="298"/>
      <c r="I1281" s="298"/>
      <c r="J1281" s="298"/>
      <c r="K1281" s="298"/>
      <c r="L1281" s="298"/>
      <c r="M1281" s="298"/>
      <c r="N1281" s="298"/>
      <c r="O1281" s="298"/>
      <c r="P1281" s="298"/>
      <c r="Q1281" s="298"/>
      <c r="R1281" s="298"/>
      <c r="S1281" s="298"/>
      <c r="T1281" s="298"/>
      <c r="U1281" s="298"/>
      <c r="V1281" s="298"/>
      <c r="W1281" s="298"/>
      <c r="X1281" s="298"/>
      <c r="Y1281" s="298"/>
      <c r="Z1281" s="298"/>
      <c r="AA1281" s="298"/>
      <c r="AB1281" s="298"/>
      <c r="AC1281" s="298"/>
      <c r="AD1281" s="298"/>
      <c r="AE1281" s="298"/>
      <c r="AF1281" s="298"/>
      <c r="AG1281" s="298"/>
      <c r="AH1281" s="299"/>
      <c r="AI1281" s="141"/>
      <c r="AJ1281" s="142"/>
      <c r="AK1281" s="141"/>
      <c r="AL1281" s="141"/>
      <c r="AM1281" s="141"/>
      <c r="HO1281" s="249" t="s">
        <v>1669</v>
      </c>
      <c r="HP1281" s="249">
        <v>47587.5</v>
      </c>
    </row>
    <row r="1282" spans="1:224" s="249" customFormat="1" ht="76.5" x14ac:dyDescent="0.85">
      <c r="B1282" s="300" t="s">
        <v>1675</v>
      </c>
      <c r="C1282" s="301"/>
      <c r="D1282" s="31">
        <f>D1283+D1285+D1287</f>
        <v>7034201.7300000004</v>
      </c>
      <c r="E1282" s="143">
        <f t="shared" ref="E1282:AE1282" si="438">E1283+E1287+E1285</f>
        <v>0</v>
      </c>
      <c r="F1282" s="143">
        <f t="shared" si="438"/>
        <v>0</v>
      </c>
      <c r="G1282" s="143">
        <f t="shared" si="438"/>
        <v>0</v>
      </c>
      <c r="H1282" s="143">
        <f t="shared" si="438"/>
        <v>0</v>
      </c>
      <c r="I1282" s="143">
        <f t="shared" si="438"/>
        <v>0</v>
      </c>
      <c r="J1282" s="143">
        <f t="shared" si="438"/>
        <v>0</v>
      </c>
      <c r="K1282" s="144">
        <f t="shared" si="438"/>
        <v>0</v>
      </c>
      <c r="L1282" s="143">
        <f t="shared" si="438"/>
        <v>0</v>
      </c>
      <c r="M1282" s="143">
        <f t="shared" si="438"/>
        <v>1981.3</v>
      </c>
      <c r="N1282" s="143">
        <f t="shared" si="438"/>
        <v>6992437.3499999996</v>
      </c>
      <c r="O1282" s="143">
        <f t="shared" si="438"/>
        <v>0</v>
      </c>
      <c r="P1282" s="143">
        <f t="shared" si="438"/>
        <v>0</v>
      </c>
      <c r="Q1282" s="143">
        <f t="shared" si="438"/>
        <v>0</v>
      </c>
      <c r="R1282" s="143">
        <f t="shared" si="438"/>
        <v>0</v>
      </c>
      <c r="S1282" s="143">
        <f t="shared" si="438"/>
        <v>0</v>
      </c>
      <c r="T1282" s="143">
        <f t="shared" si="438"/>
        <v>0</v>
      </c>
      <c r="U1282" s="143">
        <f t="shared" si="438"/>
        <v>0</v>
      </c>
      <c r="V1282" s="143">
        <f t="shared" si="438"/>
        <v>0</v>
      </c>
      <c r="W1282" s="143">
        <f t="shared" si="438"/>
        <v>0</v>
      </c>
      <c r="X1282" s="143">
        <f t="shared" si="438"/>
        <v>0</v>
      </c>
      <c r="Y1282" s="143">
        <f t="shared" si="438"/>
        <v>0</v>
      </c>
      <c r="Z1282" s="143">
        <f t="shared" si="438"/>
        <v>0</v>
      </c>
      <c r="AA1282" s="143">
        <f t="shared" si="438"/>
        <v>0</v>
      </c>
      <c r="AB1282" s="143">
        <f t="shared" si="438"/>
        <v>0</v>
      </c>
      <c r="AC1282" s="143">
        <f t="shared" si="438"/>
        <v>41764.380000000005</v>
      </c>
      <c r="AD1282" s="143">
        <f t="shared" si="438"/>
        <v>0</v>
      </c>
      <c r="AE1282" s="143">
        <f t="shared" si="438"/>
        <v>0</v>
      </c>
      <c r="AF1282" s="145" t="s">
        <v>1670</v>
      </c>
      <c r="AG1282" s="145" t="s">
        <v>1670</v>
      </c>
      <c r="AH1282" s="145" t="s">
        <v>1670</v>
      </c>
      <c r="AI1282" s="146"/>
      <c r="AJ1282" s="140"/>
      <c r="AK1282" s="146"/>
      <c r="AL1282" s="146"/>
      <c r="AM1282" s="146"/>
      <c r="HO1282" s="249" t="s">
        <v>1671</v>
      </c>
      <c r="HP1282" s="249">
        <v>53254.36</v>
      </c>
    </row>
    <row r="1283" spans="1:224" s="249" customFormat="1" ht="76.5" x14ac:dyDescent="0.85">
      <c r="B1283" s="147" t="s">
        <v>868</v>
      </c>
      <c r="C1283" s="25"/>
      <c r="D1283" s="31">
        <f t="shared" ref="D1283:D1288" si="439">E1283+F1283+G1283+H1283+I1283+J1283+L1283+N1283+P1283+R1283+T1283+U1283+V1283+W1283+X1283+Y1283+Z1283+AA1283+AB1283+AC1283+AD1283+AE1283</f>
        <v>1836114.4000000001</v>
      </c>
      <c r="E1283" s="143">
        <f t="shared" ref="E1283:AE1285" si="440">SUM(E1284:E1284)</f>
        <v>0</v>
      </c>
      <c r="F1283" s="143">
        <f t="shared" si="440"/>
        <v>0</v>
      </c>
      <c r="G1283" s="143">
        <f t="shared" si="440"/>
        <v>0</v>
      </c>
      <c r="H1283" s="143">
        <f t="shared" si="440"/>
        <v>0</v>
      </c>
      <c r="I1283" s="143">
        <f t="shared" si="440"/>
        <v>0</v>
      </c>
      <c r="J1283" s="143">
        <f t="shared" si="440"/>
        <v>0</v>
      </c>
      <c r="K1283" s="144">
        <f t="shared" si="440"/>
        <v>0</v>
      </c>
      <c r="L1283" s="143">
        <f t="shared" si="440"/>
        <v>0</v>
      </c>
      <c r="M1283" s="143">
        <f t="shared" si="440"/>
        <v>454</v>
      </c>
      <c r="N1283" s="143">
        <f t="shared" si="440"/>
        <v>1810719.07</v>
      </c>
      <c r="O1283" s="143">
        <f t="shared" si="440"/>
        <v>0</v>
      </c>
      <c r="P1283" s="143">
        <f t="shared" si="440"/>
        <v>0</v>
      </c>
      <c r="Q1283" s="143">
        <f t="shared" si="440"/>
        <v>0</v>
      </c>
      <c r="R1283" s="143">
        <f t="shared" si="440"/>
        <v>0</v>
      </c>
      <c r="S1283" s="143">
        <f t="shared" si="440"/>
        <v>0</v>
      </c>
      <c r="T1283" s="143">
        <f t="shared" si="440"/>
        <v>0</v>
      </c>
      <c r="U1283" s="143">
        <f t="shared" si="440"/>
        <v>0</v>
      </c>
      <c r="V1283" s="143">
        <f t="shared" si="440"/>
        <v>0</v>
      </c>
      <c r="W1283" s="143">
        <f t="shared" si="440"/>
        <v>0</v>
      </c>
      <c r="X1283" s="143">
        <f t="shared" si="440"/>
        <v>0</v>
      </c>
      <c r="Y1283" s="143">
        <f t="shared" si="440"/>
        <v>0</v>
      </c>
      <c r="Z1283" s="143">
        <f t="shared" si="440"/>
        <v>0</v>
      </c>
      <c r="AA1283" s="143">
        <f t="shared" si="440"/>
        <v>0</v>
      </c>
      <c r="AB1283" s="143">
        <f t="shared" si="440"/>
        <v>0</v>
      </c>
      <c r="AC1283" s="143">
        <f t="shared" si="440"/>
        <v>25395.33</v>
      </c>
      <c r="AD1283" s="143">
        <f t="shared" si="440"/>
        <v>0</v>
      </c>
      <c r="AE1283" s="143">
        <f t="shared" si="440"/>
        <v>0</v>
      </c>
      <c r="AF1283" s="145" t="s">
        <v>1670</v>
      </c>
      <c r="AG1283" s="145" t="s">
        <v>1670</v>
      </c>
      <c r="AH1283" s="145" t="s">
        <v>1670</v>
      </c>
      <c r="AI1283" s="140"/>
      <c r="AJ1283" s="142"/>
      <c r="AK1283" s="148"/>
      <c r="AL1283" s="140"/>
      <c r="AM1283" s="140"/>
      <c r="AR1283" s="251"/>
      <c r="AS1283" s="201"/>
      <c r="BF1283" s="250"/>
      <c r="BR1283" s="250"/>
      <c r="BU1283" s="201"/>
      <c r="CH1283" s="250"/>
      <c r="CK1283" s="250"/>
      <c r="EJ1283" s="71"/>
      <c r="EL1283" s="201"/>
      <c r="EU1283" s="250"/>
      <c r="FI1283" s="71"/>
      <c r="FL1283" s="252"/>
      <c r="FM1283" s="201"/>
      <c r="FV1283" s="250"/>
      <c r="GN1283" s="253"/>
      <c r="GX1283" s="250"/>
      <c r="GZ1283" s="201"/>
      <c r="HB1283" s="250"/>
      <c r="HO1283" s="249" t="s">
        <v>1672</v>
      </c>
      <c r="HP1283" s="249">
        <v>44890.35</v>
      </c>
    </row>
    <row r="1284" spans="1:224" s="249" customFormat="1" ht="63" x14ac:dyDescent="0.85">
      <c r="A1284" s="250"/>
      <c r="B1284" s="149">
        <v>1</v>
      </c>
      <c r="C1284" s="25" t="s">
        <v>1676</v>
      </c>
      <c r="D1284" s="31">
        <f t="shared" si="439"/>
        <v>1836114.4000000001</v>
      </c>
      <c r="E1284" s="150">
        <v>0</v>
      </c>
      <c r="F1284" s="151">
        <v>0</v>
      </c>
      <c r="G1284" s="151">
        <v>0</v>
      </c>
      <c r="H1284" s="151">
        <v>0</v>
      </c>
      <c r="I1284" s="151">
        <v>0</v>
      </c>
      <c r="J1284" s="151">
        <v>0</v>
      </c>
      <c r="K1284" s="144">
        <v>0</v>
      </c>
      <c r="L1284" s="151">
        <v>0</v>
      </c>
      <c r="M1284" s="39">
        <v>454</v>
      </c>
      <c r="N1284" s="39">
        <v>1810719.07</v>
      </c>
      <c r="O1284" s="151">
        <v>0</v>
      </c>
      <c r="P1284" s="151">
        <v>0</v>
      </c>
      <c r="Q1284" s="151">
        <v>0</v>
      </c>
      <c r="R1284" s="151">
        <v>0</v>
      </c>
      <c r="S1284" s="151">
        <v>0</v>
      </c>
      <c r="T1284" s="151">
        <v>0</v>
      </c>
      <c r="U1284" s="151">
        <v>0</v>
      </c>
      <c r="V1284" s="151">
        <v>0</v>
      </c>
      <c r="W1284" s="151">
        <v>0</v>
      </c>
      <c r="X1284" s="151">
        <v>0</v>
      </c>
      <c r="Y1284" s="151">
        <v>0</v>
      </c>
      <c r="Z1284" s="151">
        <v>0</v>
      </c>
      <c r="AA1284" s="151">
        <v>0</v>
      </c>
      <c r="AB1284" s="151">
        <v>0</v>
      </c>
      <c r="AC1284" s="39">
        <v>25395.33</v>
      </c>
      <c r="AD1284" s="151">
        <v>0</v>
      </c>
      <c r="AE1284" s="151">
        <v>0</v>
      </c>
      <c r="AF1284" s="239" t="s">
        <v>270</v>
      </c>
      <c r="AG1284" s="239">
        <v>2020</v>
      </c>
      <c r="AH1284" s="239">
        <v>2020</v>
      </c>
      <c r="AI1284" s="140"/>
      <c r="AJ1284" s="140"/>
      <c r="AK1284" s="148"/>
      <c r="AL1284" s="140"/>
      <c r="AM1284" s="140"/>
      <c r="AR1284" s="251"/>
      <c r="AS1284" s="201"/>
      <c r="BF1284" s="250"/>
      <c r="BR1284" s="250"/>
      <c r="BU1284" s="201"/>
      <c r="CH1284" s="250"/>
      <c r="CK1284" s="250"/>
      <c r="EJ1284" s="71"/>
      <c r="EL1284" s="201"/>
      <c r="EU1284" s="250"/>
      <c r="FI1284" s="71"/>
      <c r="FL1284" s="201"/>
      <c r="FM1284" s="201"/>
      <c r="FV1284" s="250"/>
      <c r="GN1284" s="253"/>
      <c r="GX1284" s="250"/>
      <c r="GZ1284" s="201"/>
      <c r="HO1284" s="249" t="s">
        <v>1673</v>
      </c>
      <c r="HP1284" s="249">
        <v>52429.26</v>
      </c>
    </row>
    <row r="1285" spans="1:224" s="249" customFormat="1" ht="76.5" x14ac:dyDescent="0.85">
      <c r="B1285" s="147" t="s">
        <v>821</v>
      </c>
      <c r="C1285" s="25"/>
      <c r="D1285" s="31">
        <f t="shared" si="439"/>
        <v>2643881</v>
      </c>
      <c r="E1285" s="143">
        <f t="shared" si="440"/>
        <v>0</v>
      </c>
      <c r="F1285" s="143">
        <f t="shared" si="440"/>
        <v>0</v>
      </c>
      <c r="G1285" s="143">
        <f t="shared" si="440"/>
        <v>0</v>
      </c>
      <c r="H1285" s="143">
        <f t="shared" si="440"/>
        <v>0</v>
      </c>
      <c r="I1285" s="143">
        <f t="shared" si="440"/>
        <v>0</v>
      </c>
      <c r="J1285" s="143">
        <f t="shared" si="440"/>
        <v>0</v>
      </c>
      <c r="K1285" s="144">
        <f t="shared" si="440"/>
        <v>0</v>
      </c>
      <c r="L1285" s="143">
        <f t="shared" si="440"/>
        <v>0</v>
      </c>
      <c r="M1285" s="143">
        <f t="shared" si="440"/>
        <v>720</v>
      </c>
      <c r="N1285" s="143">
        <f t="shared" si="440"/>
        <v>2643881</v>
      </c>
      <c r="O1285" s="143">
        <f t="shared" si="440"/>
        <v>0</v>
      </c>
      <c r="P1285" s="143">
        <f t="shared" si="440"/>
        <v>0</v>
      </c>
      <c r="Q1285" s="143">
        <f t="shared" si="440"/>
        <v>0</v>
      </c>
      <c r="R1285" s="143">
        <f t="shared" si="440"/>
        <v>0</v>
      </c>
      <c r="S1285" s="143">
        <f t="shared" si="440"/>
        <v>0</v>
      </c>
      <c r="T1285" s="143">
        <f t="shared" si="440"/>
        <v>0</v>
      </c>
      <c r="U1285" s="143">
        <f t="shared" si="440"/>
        <v>0</v>
      </c>
      <c r="V1285" s="143">
        <f t="shared" si="440"/>
        <v>0</v>
      </c>
      <c r="W1285" s="143">
        <f t="shared" si="440"/>
        <v>0</v>
      </c>
      <c r="X1285" s="143">
        <f t="shared" si="440"/>
        <v>0</v>
      </c>
      <c r="Y1285" s="143">
        <f t="shared" si="440"/>
        <v>0</v>
      </c>
      <c r="Z1285" s="143">
        <f t="shared" si="440"/>
        <v>0</v>
      </c>
      <c r="AA1285" s="143">
        <f t="shared" si="440"/>
        <v>0</v>
      </c>
      <c r="AB1285" s="143">
        <f t="shared" si="440"/>
        <v>0</v>
      </c>
      <c r="AC1285" s="143">
        <f t="shared" si="440"/>
        <v>0</v>
      </c>
      <c r="AD1285" s="143">
        <f t="shared" si="440"/>
        <v>0</v>
      </c>
      <c r="AE1285" s="143">
        <f t="shared" si="440"/>
        <v>0</v>
      </c>
      <c r="AF1285" s="145" t="s">
        <v>1670</v>
      </c>
      <c r="AG1285" s="145" t="s">
        <v>1670</v>
      </c>
      <c r="AH1285" s="145" t="s">
        <v>1670</v>
      </c>
      <c r="AI1285" s="140"/>
      <c r="AJ1285" s="142"/>
      <c r="AK1285" s="148"/>
      <c r="AL1285" s="140"/>
      <c r="AM1285" s="140"/>
      <c r="AR1285" s="251"/>
      <c r="AS1285" s="201"/>
      <c r="BF1285" s="250"/>
      <c r="BR1285" s="250"/>
      <c r="BU1285" s="201"/>
      <c r="CH1285" s="250"/>
      <c r="CK1285" s="250"/>
      <c r="EJ1285" s="71"/>
      <c r="EL1285" s="201"/>
      <c r="EU1285" s="250"/>
      <c r="FI1285" s="71"/>
      <c r="FL1285" s="252"/>
      <c r="FM1285" s="201"/>
      <c r="FV1285" s="250"/>
      <c r="GN1285" s="253"/>
      <c r="GX1285" s="250"/>
      <c r="GZ1285" s="201"/>
      <c r="HB1285" s="250"/>
      <c r="HO1285" s="249" t="s">
        <v>1672</v>
      </c>
      <c r="HP1285" s="249">
        <v>44890.35</v>
      </c>
    </row>
    <row r="1286" spans="1:224" s="109" customFormat="1" ht="76.5" customHeight="1" x14ac:dyDescent="0.85">
      <c r="A1286" s="250"/>
      <c r="B1286" s="149">
        <v>2</v>
      </c>
      <c r="C1286" s="122" t="s">
        <v>1701</v>
      </c>
      <c r="D1286" s="31">
        <f t="shared" si="439"/>
        <v>2643881</v>
      </c>
      <c r="E1286" s="150">
        <v>0</v>
      </c>
      <c r="F1286" s="151">
        <v>0</v>
      </c>
      <c r="G1286" s="151">
        <v>0</v>
      </c>
      <c r="H1286" s="151">
        <v>0</v>
      </c>
      <c r="I1286" s="151">
        <v>0</v>
      </c>
      <c r="J1286" s="151">
        <v>0</v>
      </c>
      <c r="K1286" s="144">
        <v>0</v>
      </c>
      <c r="L1286" s="151">
        <v>0</v>
      </c>
      <c r="M1286" s="39">
        <v>720</v>
      </c>
      <c r="N1286" s="39">
        <v>2643881</v>
      </c>
      <c r="O1286" s="151">
        <v>0</v>
      </c>
      <c r="P1286" s="151">
        <v>0</v>
      </c>
      <c r="Q1286" s="151">
        <v>0</v>
      </c>
      <c r="R1286" s="151">
        <v>0</v>
      </c>
      <c r="S1286" s="151">
        <v>0</v>
      </c>
      <c r="T1286" s="151">
        <v>0</v>
      </c>
      <c r="U1286" s="151">
        <v>0</v>
      </c>
      <c r="V1286" s="151">
        <v>0</v>
      </c>
      <c r="W1286" s="151">
        <v>0</v>
      </c>
      <c r="X1286" s="151">
        <v>0</v>
      </c>
      <c r="Y1286" s="151">
        <v>0</v>
      </c>
      <c r="Z1286" s="151">
        <v>0</v>
      </c>
      <c r="AA1286" s="151">
        <v>0</v>
      </c>
      <c r="AB1286" s="151">
        <v>0</v>
      </c>
      <c r="AC1286" s="151">
        <v>0</v>
      </c>
      <c r="AD1286" s="151">
        <v>0</v>
      </c>
      <c r="AE1286" s="151">
        <v>0</v>
      </c>
      <c r="AF1286" s="239" t="s">
        <v>270</v>
      </c>
      <c r="AG1286" s="239">
        <v>2020</v>
      </c>
      <c r="AH1286" s="239" t="s">
        <v>270</v>
      </c>
      <c r="AI1286" s="140"/>
      <c r="AJ1286" s="140"/>
      <c r="AK1286" s="148"/>
      <c r="AL1286" s="140"/>
      <c r="AM1286" s="140"/>
      <c r="AR1286" s="151"/>
      <c r="AS1286" s="201"/>
      <c r="BF1286" s="250"/>
      <c r="BR1286" s="250"/>
      <c r="BU1286" s="201"/>
      <c r="CH1286" s="250"/>
      <c r="CK1286" s="250"/>
      <c r="EJ1286" s="71"/>
      <c r="EL1286" s="201"/>
      <c r="EU1286" s="250"/>
      <c r="FI1286" s="71"/>
      <c r="FL1286" s="201"/>
      <c r="FM1286" s="201"/>
      <c r="FV1286" s="250"/>
      <c r="GN1286" s="253"/>
      <c r="GX1286" s="250"/>
      <c r="GZ1286" s="201"/>
      <c r="HO1286" s="109" t="s">
        <v>1673</v>
      </c>
      <c r="HP1286" s="109">
        <v>52429.26</v>
      </c>
    </row>
    <row r="1287" spans="1:224" s="249" customFormat="1" ht="76.5" x14ac:dyDescent="0.85">
      <c r="B1287" s="147" t="s">
        <v>892</v>
      </c>
      <c r="C1287" s="25"/>
      <c r="D1287" s="31">
        <f t="shared" si="439"/>
        <v>2554206.3299999996</v>
      </c>
      <c r="E1287" s="143">
        <f t="shared" ref="E1287:AE1287" si="441">SUM(E1288:E1288)</f>
        <v>0</v>
      </c>
      <c r="F1287" s="143">
        <f t="shared" si="441"/>
        <v>0</v>
      </c>
      <c r="G1287" s="143">
        <f t="shared" si="441"/>
        <v>0</v>
      </c>
      <c r="H1287" s="143">
        <f t="shared" si="441"/>
        <v>0</v>
      </c>
      <c r="I1287" s="143">
        <f t="shared" si="441"/>
        <v>0</v>
      </c>
      <c r="J1287" s="143">
        <f t="shared" si="441"/>
        <v>0</v>
      </c>
      <c r="K1287" s="144">
        <f t="shared" si="441"/>
        <v>0</v>
      </c>
      <c r="L1287" s="143">
        <f t="shared" si="441"/>
        <v>0</v>
      </c>
      <c r="M1287" s="143">
        <f t="shared" si="441"/>
        <v>807.3</v>
      </c>
      <c r="N1287" s="143">
        <f t="shared" si="441"/>
        <v>2537837.2799999998</v>
      </c>
      <c r="O1287" s="143">
        <f t="shared" si="441"/>
        <v>0</v>
      </c>
      <c r="P1287" s="143">
        <f t="shared" si="441"/>
        <v>0</v>
      </c>
      <c r="Q1287" s="143">
        <f t="shared" si="441"/>
        <v>0</v>
      </c>
      <c r="R1287" s="143">
        <f t="shared" si="441"/>
        <v>0</v>
      </c>
      <c r="S1287" s="143">
        <f t="shared" si="441"/>
        <v>0</v>
      </c>
      <c r="T1287" s="143">
        <f t="shared" si="441"/>
        <v>0</v>
      </c>
      <c r="U1287" s="143">
        <f t="shared" si="441"/>
        <v>0</v>
      </c>
      <c r="V1287" s="143">
        <f t="shared" si="441"/>
        <v>0</v>
      </c>
      <c r="W1287" s="143">
        <f t="shared" si="441"/>
        <v>0</v>
      </c>
      <c r="X1287" s="143">
        <f t="shared" si="441"/>
        <v>0</v>
      </c>
      <c r="Y1287" s="143">
        <f t="shared" si="441"/>
        <v>0</v>
      </c>
      <c r="Z1287" s="143">
        <f t="shared" si="441"/>
        <v>0</v>
      </c>
      <c r="AA1287" s="143">
        <f t="shared" si="441"/>
        <v>0</v>
      </c>
      <c r="AB1287" s="143">
        <f t="shared" si="441"/>
        <v>0</v>
      </c>
      <c r="AC1287" s="151">
        <f t="shared" si="441"/>
        <v>16369.05</v>
      </c>
      <c r="AD1287" s="143">
        <f t="shared" si="441"/>
        <v>0</v>
      </c>
      <c r="AE1287" s="143">
        <f t="shared" si="441"/>
        <v>0</v>
      </c>
      <c r="AF1287" s="145" t="s">
        <v>1670</v>
      </c>
      <c r="AG1287" s="145" t="s">
        <v>1670</v>
      </c>
      <c r="AH1287" s="145" t="s">
        <v>1670</v>
      </c>
      <c r="AI1287" s="140"/>
      <c r="AJ1287" s="142"/>
      <c r="AK1287" s="148"/>
      <c r="AL1287" s="140"/>
      <c r="AM1287" s="140"/>
      <c r="AR1287" s="251"/>
      <c r="AS1287" s="201"/>
      <c r="BF1287" s="250"/>
      <c r="BR1287" s="250"/>
      <c r="BU1287" s="201"/>
      <c r="CH1287" s="250"/>
      <c r="CK1287" s="250"/>
      <c r="EJ1287" s="71"/>
      <c r="EL1287" s="201"/>
      <c r="EU1287" s="250"/>
      <c r="FI1287" s="71"/>
      <c r="FL1287" s="252"/>
      <c r="FM1287" s="201"/>
      <c r="FV1287" s="250"/>
      <c r="GN1287" s="253"/>
      <c r="GX1287" s="250"/>
      <c r="GZ1287" s="201"/>
      <c r="HB1287" s="250"/>
      <c r="HO1287" s="249" t="s">
        <v>1672</v>
      </c>
      <c r="HP1287" s="249">
        <v>44890.35</v>
      </c>
    </row>
    <row r="1288" spans="1:224" s="109" customFormat="1" ht="76.5" customHeight="1" x14ac:dyDescent="0.85">
      <c r="A1288" s="250"/>
      <c r="B1288" s="149">
        <v>3</v>
      </c>
      <c r="C1288" s="122" t="s">
        <v>3</v>
      </c>
      <c r="D1288" s="31">
        <f t="shared" si="439"/>
        <v>2554206.3299999996</v>
      </c>
      <c r="E1288" s="150">
        <v>0</v>
      </c>
      <c r="F1288" s="151">
        <v>0</v>
      </c>
      <c r="G1288" s="151">
        <v>0</v>
      </c>
      <c r="H1288" s="151">
        <v>0</v>
      </c>
      <c r="I1288" s="151">
        <v>0</v>
      </c>
      <c r="J1288" s="151">
        <v>0</v>
      </c>
      <c r="K1288" s="144">
        <v>0</v>
      </c>
      <c r="L1288" s="151">
        <v>0</v>
      </c>
      <c r="M1288" s="254">
        <v>807.3</v>
      </c>
      <c r="N1288" s="254">
        <v>2537837.2799999998</v>
      </c>
      <c r="O1288" s="151">
        <v>0</v>
      </c>
      <c r="P1288" s="151">
        <v>0</v>
      </c>
      <c r="Q1288" s="151">
        <v>0</v>
      </c>
      <c r="R1288" s="151">
        <v>0</v>
      </c>
      <c r="S1288" s="151">
        <v>0</v>
      </c>
      <c r="T1288" s="151">
        <v>0</v>
      </c>
      <c r="U1288" s="151">
        <v>0</v>
      </c>
      <c r="V1288" s="151">
        <v>0</v>
      </c>
      <c r="W1288" s="151">
        <v>0</v>
      </c>
      <c r="X1288" s="151">
        <v>0</v>
      </c>
      <c r="Y1288" s="151">
        <v>0</v>
      </c>
      <c r="Z1288" s="151">
        <v>0</v>
      </c>
      <c r="AA1288" s="151">
        <v>0</v>
      </c>
      <c r="AB1288" s="151">
        <v>0</v>
      </c>
      <c r="AC1288" s="151">
        <v>16369.05</v>
      </c>
      <c r="AD1288" s="151">
        <v>0</v>
      </c>
      <c r="AE1288" s="151">
        <v>0</v>
      </c>
      <c r="AF1288" s="239" t="s">
        <v>270</v>
      </c>
      <c r="AG1288" s="239">
        <v>2020</v>
      </c>
      <c r="AH1288" s="239">
        <v>2020</v>
      </c>
      <c r="AI1288" s="140"/>
      <c r="AJ1288" s="140"/>
      <c r="AK1288" s="148"/>
      <c r="AL1288" s="140"/>
      <c r="AM1288" s="140"/>
      <c r="AR1288" s="151"/>
      <c r="AS1288" s="201"/>
      <c r="BF1288" s="250"/>
      <c r="BR1288" s="250"/>
      <c r="BU1288" s="201"/>
      <c r="CH1288" s="250"/>
      <c r="CK1288" s="250"/>
      <c r="EJ1288" s="71"/>
      <c r="EL1288" s="201"/>
      <c r="EU1288" s="250"/>
      <c r="FI1288" s="71"/>
      <c r="FL1288" s="201"/>
      <c r="FM1288" s="201"/>
      <c r="FV1288" s="250"/>
      <c r="GN1288" s="253"/>
      <c r="GX1288" s="250"/>
      <c r="GZ1288" s="201"/>
      <c r="HO1288" s="109" t="s">
        <v>1673</v>
      </c>
      <c r="HP1288" s="109">
        <v>52429.26</v>
      </c>
    </row>
    <row r="1289" spans="1:224" s="249" customFormat="1" ht="189" customHeight="1" x14ac:dyDescent="0.3">
      <c r="B1289" s="297" t="s">
        <v>1926</v>
      </c>
      <c r="C1289" s="298"/>
      <c r="D1289" s="298"/>
      <c r="E1289" s="298"/>
      <c r="F1289" s="298"/>
      <c r="G1289" s="298"/>
      <c r="H1289" s="298"/>
      <c r="I1289" s="298"/>
      <c r="J1289" s="298"/>
      <c r="K1289" s="298"/>
      <c r="L1289" s="298"/>
      <c r="M1289" s="298"/>
      <c r="N1289" s="298"/>
      <c r="O1289" s="298"/>
      <c r="P1289" s="298"/>
      <c r="Q1289" s="298"/>
      <c r="R1289" s="298"/>
      <c r="S1289" s="298"/>
      <c r="T1289" s="298"/>
      <c r="U1289" s="298"/>
      <c r="V1289" s="298"/>
      <c r="W1289" s="298"/>
      <c r="X1289" s="298"/>
      <c r="Y1289" s="298"/>
      <c r="Z1289" s="298"/>
      <c r="AA1289" s="298"/>
      <c r="AB1289" s="298"/>
      <c r="AC1289" s="298"/>
      <c r="AD1289" s="298"/>
      <c r="AE1289" s="298"/>
      <c r="AF1289" s="298"/>
      <c r="AG1289" s="298"/>
      <c r="AH1289" s="299"/>
      <c r="AI1289" s="141"/>
      <c r="AJ1289" s="142"/>
      <c r="AK1289" s="141"/>
      <c r="AL1289" s="141"/>
      <c r="AM1289" s="141"/>
      <c r="HO1289" s="249" t="s">
        <v>1669</v>
      </c>
      <c r="HP1289" s="249">
        <v>47587.5</v>
      </c>
    </row>
    <row r="1290" spans="1:224" s="249" customFormat="1" ht="76.5" x14ac:dyDescent="0.3">
      <c r="B1290" s="300" t="s">
        <v>1675</v>
      </c>
      <c r="C1290" s="301"/>
      <c r="D1290" s="151">
        <f>D1291+D1297+D1295</f>
        <v>17442384.330000002</v>
      </c>
      <c r="E1290" s="143">
        <f t="shared" ref="E1290:AE1290" si="442">E1291+E1297+E1295</f>
        <v>0</v>
      </c>
      <c r="F1290" s="143">
        <f t="shared" si="442"/>
        <v>0</v>
      </c>
      <c r="G1290" s="143">
        <f t="shared" si="442"/>
        <v>994637</v>
      </c>
      <c r="H1290" s="143">
        <f t="shared" si="442"/>
        <v>0</v>
      </c>
      <c r="I1290" s="143">
        <f t="shared" si="442"/>
        <v>1224682</v>
      </c>
      <c r="J1290" s="143">
        <f t="shared" si="442"/>
        <v>0</v>
      </c>
      <c r="K1290" s="144">
        <f t="shared" si="442"/>
        <v>0</v>
      </c>
      <c r="L1290" s="143">
        <f t="shared" si="442"/>
        <v>0</v>
      </c>
      <c r="M1290" s="143">
        <f t="shared" si="442"/>
        <v>4580.72</v>
      </c>
      <c r="N1290" s="143">
        <f t="shared" si="442"/>
        <v>14965296.1</v>
      </c>
      <c r="O1290" s="143">
        <f t="shared" si="442"/>
        <v>0</v>
      </c>
      <c r="P1290" s="143">
        <f t="shared" si="442"/>
        <v>0</v>
      </c>
      <c r="Q1290" s="143">
        <f t="shared" si="442"/>
        <v>0</v>
      </c>
      <c r="R1290" s="143">
        <f t="shared" si="442"/>
        <v>0</v>
      </c>
      <c r="S1290" s="143">
        <f t="shared" si="442"/>
        <v>0</v>
      </c>
      <c r="T1290" s="143">
        <f t="shared" si="442"/>
        <v>0</v>
      </c>
      <c r="U1290" s="143">
        <f t="shared" si="442"/>
        <v>0</v>
      </c>
      <c r="V1290" s="143">
        <f t="shared" si="442"/>
        <v>0</v>
      </c>
      <c r="W1290" s="143">
        <f t="shared" si="442"/>
        <v>0</v>
      </c>
      <c r="X1290" s="143">
        <f t="shared" si="442"/>
        <v>0</v>
      </c>
      <c r="Y1290" s="143">
        <f t="shared" si="442"/>
        <v>0</v>
      </c>
      <c r="Z1290" s="143">
        <f t="shared" si="442"/>
        <v>0</v>
      </c>
      <c r="AA1290" s="143">
        <f t="shared" si="442"/>
        <v>0</v>
      </c>
      <c r="AB1290" s="143">
        <f t="shared" si="442"/>
        <v>0</v>
      </c>
      <c r="AC1290" s="151">
        <f t="shared" si="442"/>
        <v>257769.22999999998</v>
      </c>
      <c r="AD1290" s="143">
        <f t="shared" si="442"/>
        <v>0</v>
      </c>
      <c r="AE1290" s="143">
        <f t="shared" si="442"/>
        <v>0</v>
      </c>
      <c r="AF1290" s="145" t="s">
        <v>1670</v>
      </c>
      <c r="AG1290" s="145" t="s">
        <v>1670</v>
      </c>
      <c r="AH1290" s="145" t="s">
        <v>1670</v>
      </c>
      <c r="AI1290" s="146"/>
      <c r="AJ1290" s="140"/>
      <c r="AK1290" s="146"/>
      <c r="AL1290" s="146"/>
      <c r="AM1290" s="146"/>
      <c r="HO1290" s="249" t="s">
        <v>1671</v>
      </c>
      <c r="HP1290" s="249">
        <v>53254.36</v>
      </c>
    </row>
    <row r="1291" spans="1:224" s="249" customFormat="1" ht="76.5" x14ac:dyDescent="0.85">
      <c r="B1291" s="147" t="s">
        <v>844</v>
      </c>
      <c r="C1291" s="25"/>
      <c r="D1291" s="151">
        <f>SUM(D1292:D1294)</f>
        <v>13632983.67</v>
      </c>
      <c r="E1291" s="143">
        <f t="shared" ref="E1291:AE1291" si="443">SUM(E1292:E1294)</f>
        <v>0</v>
      </c>
      <c r="F1291" s="143">
        <f t="shared" si="443"/>
        <v>0</v>
      </c>
      <c r="G1291" s="143">
        <f t="shared" si="443"/>
        <v>994637</v>
      </c>
      <c r="H1291" s="143">
        <f t="shared" si="443"/>
        <v>0</v>
      </c>
      <c r="I1291" s="143">
        <f t="shared" si="443"/>
        <v>1224682</v>
      </c>
      <c r="J1291" s="143">
        <f t="shared" si="443"/>
        <v>0</v>
      </c>
      <c r="K1291" s="144">
        <f t="shared" si="443"/>
        <v>0</v>
      </c>
      <c r="L1291" s="143">
        <f t="shared" si="443"/>
        <v>0</v>
      </c>
      <c r="M1291" s="143">
        <f t="shared" si="443"/>
        <v>3519.62</v>
      </c>
      <c r="N1291" s="143">
        <f t="shared" si="443"/>
        <v>11212192</v>
      </c>
      <c r="O1291" s="143">
        <f t="shared" si="443"/>
        <v>0</v>
      </c>
      <c r="P1291" s="143">
        <f t="shared" si="443"/>
        <v>0</v>
      </c>
      <c r="Q1291" s="143">
        <f t="shared" si="443"/>
        <v>0</v>
      </c>
      <c r="R1291" s="143">
        <f t="shared" si="443"/>
        <v>0</v>
      </c>
      <c r="S1291" s="143">
        <f t="shared" si="443"/>
        <v>0</v>
      </c>
      <c r="T1291" s="143">
        <f t="shared" si="443"/>
        <v>0</v>
      </c>
      <c r="U1291" s="143">
        <f t="shared" si="443"/>
        <v>0</v>
      </c>
      <c r="V1291" s="143">
        <f t="shared" si="443"/>
        <v>0</v>
      </c>
      <c r="W1291" s="143">
        <f t="shared" si="443"/>
        <v>0</v>
      </c>
      <c r="X1291" s="143">
        <f t="shared" si="443"/>
        <v>0</v>
      </c>
      <c r="Y1291" s="143">
        <f t="shared" si="443"/>
        <v>0</v>
      </c>
      <c r="Z1291" s="143">
        <f t="shared" si="443"/>
        <v>0</v>
      </c>
      <c r="AA1291" s="143">
        <f t="shared" si="443"/>
        <v>0</v>
      </c>
      <c r="AB1291" s="143">
        <f t="shared" si="443"/>
        <v>0</v>
      </c>
      <c r="AC1291" s="151">
        <f t="shared" si="443"/>
        <v>201472.66999999998</v>
      </c>
      <c r="AD1291" s="143">
        <f t="shared" si="443"/>
        <v>0</v>
      </c>
      <c r="AE1291" s="143">
        <f t="shared" si="443"/>
        <v>0</v>
      </c>
      <c r="AF1291" s="145" t="s">
        <v>1670</v>
      </c>
      <c r="AG1291" s="145" t="s">
        <v>1670</v>
      </c>
      <c r="AH1291" s="145" t="s">
        <v>1670</v>
      </c>
      <c r="AI1291" s="140"/>
      <c r="AJ1291" s="142"/>
      <c r="AK1291" s="148"/>
      <c r="AL1291" s="140"/>
      <c r="AM1291" s="140"/>
      <c r="AR1291" s="251"/>
      <c r="AS1291" s="201"/>
      <c r="BF1291" s="250"/>
      <c r="BR1291" s="250"/>
      <c r="BU1291" s="201"/>
      <c r="CH1291" s="250"/>
      <c r="CK1291" s="250"/>
      <c r="EJ1291" s="71"/>
      <c r="EL1291" s="201"/>
      <c r="EU1291" s="250"/>
      <c r="FI1291" s="71"/>
      <c r="FL1291" s="252"/>
      <c r="FM1291" s="201"/>
      <c r="FV1291" s="250"/>
      <c r="GN1291" s="253"/>
      <c r="GX1291" s="250"/>
      <c r="GZ1291" s="201"/>
      <c r="HB1291" s="250"/>
      <c r="HO1291" s="249" t="s">
        <v>1672</v>
      </c>
      <c r="HP1291" s="249">
        <v>44890.35</v>
      </c>
    </row>
    <row r="1292" spans="1:224" s="249" customFormat="1" ht="63" x14ac:dyDescent="0.85">
      <c r="A1292" s="250"/>
      <c r="B1292" s="149">
        <v>1</v>
      </c>
      <c r="C1292" s="25" t="s">
        <v>1892</v>
      </c>
      <c r="D1292" s="151">
        <f>E1292+F1292+G1292+H1292+I1292+J1292+L1292+N1292+P1292+R1292+T1292+U1292+V1292+W1292+X1292+Y1292+Z1292+AA1292+AB1292+AC1292+AD1292+AE1292</f>
        <v>4228150.99</v>
      </c>
      <c r="E1292" s="150">
        <v>0</v>
      </c>
      <c r="F1292" s="151">
        <v>0</v>
      </c>
      <c r="G1292" s="151">
        <v>0</v>
      </c>
      <c r="H1292" s="151">
        <v>0</v>
      </c>
      <c r="I1292" s="151">
        <v>0</v>
      </c>
      <c r="J1292" s="151">
        <v>0</v>
      </c>
      <c r="K1292" s="144">
        <v>0</v>
      </c>
      <c r="L1292" s="151">
        <v>0</v>
      </c>
      <c r="M1292" s="151">
        <v>1122.67</v>
      </c>
      <c r="N1292" s="151">
        <v>4165666</v>
      </c>
      <c r="O1292" s="151">
        <v>0</v>
      </c>
      <c r="P1292" s="151">
        <v>0</v>
      </c>
      <c r="Q1292" s="151">
        <v>0</v>
      </c>
      <c r="R1292" s="151">
        <v>0</v>
      </c>
      <c r="S1292" s="151">
        <v>0</v>
      </c>
      <c r="T1292" s="151">
        <v>0</v>
      </c>
      <c r="U1292" s="151">
        <v>0</v>
      </c>
      <c r="V1292" s="151">
        <v>0</v>
      </c>
      <c r="W1292" s="151">
        <v>0</v>
      </c>
      <c r="X1292" s="151">
        <v>0</v>
      </c>
      <c r="Y1292" s="151">
        <v>0</v>
      </c>
      <c r="Z1292" s="151">
        <v>0</v>
      </c>
      <c r="AA1292" s="151">
        <v>0</v>
      </c>
      <c r="AB1292" s="151">
        <v>0</v>
      </c>
      <c r="AC1292" s="151">
        <v>62484.99</v>
      </c>
      <c r="AD1292" s="151">
        <v>0</v>
      </c>
      <c r="AE1292" s="151">
        <v>0</v>
      </c>
      <c r="AF1292" s="239" t="s">
        <v>270</v>
      </c>
      <c r="AG1292" s="239">
        <v>2020</v>
      </c>
      <c r="AH1292" s="239">
        <v>2020</v>
      </c>
      <c r="AI1292" s="140"/>
      <c r="AJ1292" s="140"/>
      <c r="AK1292" s="148"/>
      <c r="AL1292" s="140"/>
      <c r="AM1292" s="140"/>
      <c r="AR1292" s="251"/>
      <c r="AS1292" s="201"/>
      <c r="BF1292" s="250"/>
      <c r="BR1292" s="250"/>
      <c r="BU1292" s="201"/>
      <c r="CH1292" s="250"/>
      <c r="CK1292" s="250"/>
      <c r="EJ1292" s="71"/>
      <c r="EL1292" s="201"/>
      <c r="EU1292" s="250"/>
      <c r="FI1292" s="71"/>
      <c r="FL1292" s="201"/>
      <c r="FM1292" s="201"/>
      <c r="FV1292" s="250"/>
      <c r="GN1292" s="253"/>
      <c r="GX1292" s="250"/>
      <c r="GZ1292" s="201"/>
      <c r="HO1292" s="249" t="s">
        <v>1673</v>
      </c>
      <c r="HP1292" s="249">
        <v>52429.26</v>
      </c>
    </row>
    <row r="1293" spans="1:224" s="249" customFormat="1" ht="63" x14ac:dyDescent="0.85">
      <c r="A1293" s="250"/>
      <c r="B1293" s="149">
        <v>2</v>
      </c>
      <c r="C1293" s="25" t="s">
        <v>1895</v>
      </c>
      <c r="D1293" s="151">
        <f>E1293+F1293+G1293+H1293+I1293+J1293+L1293+N1293+P1293+R1293+T1293+U1293+V1293+W1293+X1293+Y1293+Z1293+AA1293+AB1293+AC1293+AD1293+AE1293</f>
        <v>2791765.62</v>
      </c>
      <c r="E1293" s="150">
        <v>0</v>
      </c>
      <c r="F1293" s="151">
        <v>0</v>
      </c>
      <c r="G1293" s="151">
        <v>0</v>
      </c>
      <c r="H1293" s="151">
        <v>0</v>
      </c>
      <c r="I1293" s="151">
        <v>0</v>
      </c>
      <c r="J1293" s="151">
        <v>0</v>
      </c>
      <c r="K1293" s="144">
        <v>0</v>
      </c>
      <c r="L1293" s="151">
        <v>0</v>
      </c>
      <c r="M1293" s="151">
        <v>847.2</v>
      </c>
      <c r="N1293" s="151">
        <v>2750508</v>
      </c>
      <c r="O1293" s="151">
        <v>0</v>
      </c>
      <c r="P1293" s="151">
        <v>0</v>
      </c>
      <c r="Q1293" s="151">
        <v>0</v>
      </c>
      <c r="R1293" s="151">
        <v>0</v>
      </c>
      <c r="S1293" s="151">
        <v>0</v>
      </c>
      <c r="T1293" s="151">
        <v>0</v>
      </c>
      <c r="U1293" s="151">
        <v>0</v>
      </c>
      <c r="V1293" s="151">
        <v>0</v>
      </c>
      <c r="W1293" s="151">
        <v>0</v>
      </c>
      <c r="X1293" s="151">
        <v>0</v>
      </c>
      <c r="Y1293" s="151">
        <v>0</v>
      </c>
      <c r="Z1293" s="151">
        <v>0</v>
      </c>
      <c r="AA1293" s="151">
        <v>0</v>
      </c>
      <c r="AB1293" s="151">
        <v>0</v>
      </c>
      <c r="AC1293" s="151">
        <v>41257.620000000003</v>
      </c>
      <c r="AD1293" s="151">
        <v>0</v>
      </c>
      <c r="AE1293" s="151">
        <v>0</v>
      </c>
      <c r="AF1293" s="239" t="s">
        <v>270</v>
      </c>
      <c r="AG1293" s="239">
        <v>2020</v>
      </c>
      <c r="AH1293" s="239">
        <v>2020</v>
      </c>
      <c r="AI1293" s="140"/>
      <c r="AJ1293" s="140"/>
      <c r="AK1293" s="148"/>
      <c r="AL1293" s="140"/>
      <c r="AM1293" s="140"/>
      <c r="AR1293" s="251"/>
      <c r="AS1293" s="201"/>
      <c r="BF1293" s="250"/>
      <c r="BR1293" s="250"/>
      <c r="BU1293" s="201"/>
      <c r="CH1293" s="250"/>
      <c r="CK1293" s="250"/>
      <c r="EJ1293" s="71"/>
      <c r="EL1293" s="201"/>
      <c r="EU1293" s="250"/>
      <c r="FI1293" s="71"/>
      <c r="FL1293" s="201"/>
      <c r="FM1293" s="201"/>
      <c r="FV1293" s="250"/>
      <c r="GN1293" s="253"/>
      <c r="GX1293" s="250"/>
      <c r="GZ1293" s="201"/>
      <c r="HO1293" s="249" t="s">
        <v>1673</v>
      </c>
      <c r="HP1293" s="249">
        <v>52429.26</v>
      </c>
    </row>
    <row r="1294" spans="1:224" s="249" customFormat="1" ht="63" x14ac:dyDescent="0.85">
      <c r="A1294" s="250"/>
      <c r="B1294" s="149">
        <v>3</v>
      </c>
      <c r="C1294" s="25" t="s">
        <v>1896</v>
      </c>
      <c r="D1294" s="151">
        <f>E1294+F1294+G1294+H1294+I1294+J1294+L1294+N1294+P1294+R1294+T1294+U1294+V1294+W1294+X1294+Y1294+Z1294+AA1294+AB1294+AC1294+AD1294+AE1294</f>
        <v>6613067.0599999996</v>
      </c>
      <c r="E1294" s="150">
        <v>0</v>
      </c>
      <c r="F1294" s="151">
        <v>0</v>
      </c>
      <c r="G1294" s="151">
        <v>994637</v>
      </c>
      <c r="H1294" s="151">
        <v>0</v>
      </c>
      <c r="I1294" s="151">
        <v>1224682</v>
      </c>
      <c r="J1294" s="151">
        <v>0</v>
      </c>
      <c r="K1294" s="144">
        <v>0</v>
      </c>
      <c r="L1294" s="151">
        <v>0</v>
      </c>
      <c r="M1294" s="151">
        <v>1549.75</v>
      </c>
      <c r="N1294" s="151">
        <v>4296018</v>
      </c>
      <c r="O1294" s="151">
        <v>0</v>
      </c>
      <c r="P1294" s="151">
        <v>0</v>
      </c>
      <c r="Q1294" s="151">
        <v>0</v>
      </c>
      <c r="R1294" s="151">
        <v>0</v>
      </c>
      <c r="S1294" s="151">
        <v>0</v>
      </c>
      <c r="T1294" s="151">
        <v>0</v>
      </c>
      <c r="U1294" s="151">
        <v>0</v>
      </c>
      <c r="V1294" s="151">
        <v>0</v>
      </c>
      <c r="W1294" s="151">
        <v>0</v>
      </c>
      <c r="X1294" s="151">
        <v>0</v>
      </c>
      <c r="Y1294" s="151">
        <v>0</v>
      </c>
      <c r="Z1294" s="151">
        <v>0</v>
      </c>
      <c r="AA1294" s="151">
        <v>0</v>
      </c>
      <c r="AB1294" s="151">
        <v>0</v>
      </c>
      <c r="AC1294" s="151">
        <f>ROUND((N1294+R1294+I1294+G1294)*1.5%,2)</f>
        <v>97730.06</v>
      </c>
      <c r="AD1294" s="151">
        <v>0</v>
      </c>
      <c r="AE1294" s="151">
        <v>0</v>
      </c>
      <c r="AF1294" s="239" t="s">
        <v>270</v>
      </c>
      <c r="AG1294" s="239">
        <v>2020</v>
      </c>
      <c r="AH1294" s="239">
        <v>2020</v>
      </c>
      <c r="AI1294" s="140"/>
      <c r="AJ1294" s="140"/>
      <c r="AK1294" s="148"/>
      <c r="AL1294" s="140"/>
      <c r="AM1294" s="140"/>
      <c r="AR1294" s="251"/>
      <c r="AS1294" s="201"/>
      <c r="BF1294" s="250"/>
      <c r="BR1294" s="250"/>
      <c r="BU1294" s="201"/>
      <c r="CH1294" s="250"/>
      <c r="CK1294" s="250"/>
      <c r="EJ1294" s="71"/>
      <c r="EL1294" s="201"/>
      <c r="EU1294" s="250"/>
      <c r="FI1294" s="71"/>
      <c r="FL1294" s="201"/>
      <c r="FM1294" s="201"/>
      <c r="FV1294" s="250"/>
      <c r="GN1294" s="253"/>
      <c r="GX1294" s="250"/>
      <c r="GZ1294" s="201"/>
      <c r="HO1294" s="249" t="s">
        <v>1673</v>
      </c>
      <c r="HP1294" s="249">
        <v>52429.26</v>
      </c>
    </row>
    <row r="1295" spans="1:224" s="249" customFormat="1" ht="76.5" x14ac:dyDescent="0.85">
      <c r="B1295" s="147" t="s">
        <v>843</v>
      </c>
      <c r="C1295" s="25"/>
      <c r="D1295" s="151">
        <f t="shared" ref="D1295:AE1297" si="444">SUM(D1296:D1296)</f>
        <v>1833103.6099999999</v>
      </c>
      <c r="E1295" s="143">
        <f t="shared" si="444"/>
        <v>0</v>
      </c>
      <c r="F1295" s="143">
        <f t="shared" si="444"/>
        <v>0</v>
      </c>
      <c r="G1295" s="143">
        <f t="shared" si="444"/>
        <v>0</v>
      </c>
      <c r="H1295" s="143">
        <f t="shared" si="444"/>
        <v>0</v>
      </c>
      <c r="I1295" s="143">
        <f t="shared" si="444"/>
        <v>0</v>
      </c>
      <c r="J1295" s="143">
        <f t="shared" si="444"/>
        <v>0</v>
      </c>
      <c r="K1295" s="144">
        <f t="shared" si="444"/>
        <v>0</v>
      </c>
      <c r="L1295" s="143">
        <f t="shared" si="444"/>
        <v>0</v>
      </c>
      <c r="M1295" s="143">
        <f t="shared" si="444"/>
        <v>691.1</v>
      </c>
      <c r="N1295" s="143">
        <f t="shared" si="444"/>
        <v>1806013.41</v>
      </c>
      <c r="O1295" s="143">
        <f t="shared" si="444"/>
        <v>0</v>
      </c>
      <c r="P1295" s="143">
        <f t="shared" si="444"/>
        <v>0</v>
      </c>
      <c r="Q1295" s="143">
        <f t="shared" si="444"/>
        <v>0</v>
      </c>
      <c r="R1295" s="143">
        <f t="shared" si="444"/>
        <v>0</v>
      </c>
      <c r="S1295" s="143">
        <f t="shared" si="444"/>
        <v>0</v>
      </c>
      <c r="T1295" s="143">
        <f t="shared" si="444"/>
        <v>0</v>
      </c>
      <c r="U1295" s="143">
        <f t="shared" si="444"/>
        <v>0</v>
      </c>
      <c r="V1295" s="143">
        <f t="shared" si="444"/>
        <v>0</v>
      </c>
      <c r="W1295" s="143">
        <f t="shared" si="444"/>
        <v>0</v>
      </c>
      <c r="X1295" s="143">
        <f t="shared" si="444"/>
        <v>0</v>
      </c>
      <c r="Y1295" s="143">
        <f t="shared" si="444"/>
        <v>0</v>
      </c>
      <c r="Z1295" s="143">
        <f t="shared" si="444"/>
        <v>0</v>
      </c>
      <c r="AA1295" s="143">
        <f t="shared" si="444"/>
        <v>0</v>
      </c>
      <c r="AB1295" s="143">
        <f t="shared" si="444"/>
        <v>0</v>
      </c>
      <c r="AC1295" s="151">
        <f t="shared" si="444"/>
        <v>27090.2</v>
      </c>
      <c r="AD1295" s="143">
        <f t="shared" si="444"/>
        <v>0</v>
      </c>
      <c r="AE1295" s="143">
        <f t="shared" si="444"/>
        <v>0</v>
      </c>
      <c r="AF1295" s="145" t="s">
        <v>1670</v>
      </c>
      <c r="AG1295" s="145" t="s">
        <v>1670</v>
      </c>
      <c r="AH1295" s="145" t="s">
        <v>1670</v>
      </c>
      <c r="AI1295" s="140"/>
      <c r="AJ1295" s="142"/>
      <c r="AK1295" s="148"/>
      <c r="AL1295" s="140"/>
      <c r="AM1295" s="140"/>
      <c r="AR1295" s="251"/>
      <c r="AS1295" s="201"/>
      <c r="BF1295" s="250"/>
      <c r="BR1295" s="250"/>
      <c r="BU1295" s="201"/>
      <c r="CH1295" s="250"/>
      <c r="CK1295" s="250"/>
      <c r="EJ1295" s="71"/>
      <c r="EL1295" s="201"/>
      <c r="EU1295" s="250"/>
      <c r="FI1295" s="71"/>
      <c r="FL1295" s="252"/>
      <c r="FM1295" s="201"/>
      <c r="FV1295" s="250"/>
      <c r="GN1295" s="253"/>
      <c r="GX1295" s="250"/>
      <c r="GZ1295" s="201"/>
      <c r="HB1295" s="250"/>
      <c r="HO1295" s="249" t="s">
        <v>1672</v>
      </c>
      <c r="HP1295" s="249">
        <v>44890.35</v>
      </c>
    </row>
    <row r="1296" spans="1:224" s="109" customFormat="1" ht="76.5" customHeight="1" x14ac:dyDescent="0.85">
      <c r="A1296" s="250"/>
      <c r="B1296" s="149">
        <v>4</v>
      </c>
      <c r="C1296" s="122" t="s">
        <v>1894</v>
      </c>
      <c r="D1296" s="151">
        <f>E1296+F1296+G1296+H1296+I1296+J1296+L1296+N1296+P1296+R1296+T1296+U1296+V1296+W1296+X1296+Y1296+Z1296+AA1296+AB1296+AC1296+AD1296+AE1296</f>
        <v>1833103.6099999999</v>
      </c>
      <c r="E1296" s="150">
        <v>0</v>
      </c>
      <c r="F1296" s="151">
        <v>0</v>
      </c>
      <c r="G1296" s="151">
        <v>0</v>
      </c>
      <c r="H1296" s="151">
        <v>0</v>
      </c>
      <c r="I1296" s="151">
        <v>0</v>
      </c>
      <c r="J1296" s="151">
        <v>0</v>
      </c>
      <c r="K1296" s="144">
        <v>0</v>
      </c>
      <c r="L1296" s="151">
        <v>0</v>
      </c>
      <c r="M1296" s="151">
        <v>691.1</v>
      </c>
      <c r="N1296" s="151">
        <v>1806013.41</v>
      </c>
      <c r="O1296" s="151">
        <v>0</v>
      </c>
      <c r="P1296" s="151">
        <v>0</v>
      </c>
      <c r="Q1296" s="151">
        <v>0</v>
      </c>
      <c r="R1296" s="151">
        <v>0</v>
      </c>
      <c r="S1296" s="151">
        <v>0</v>
      </c>
      <c r="T1296" s="151">
        <v>0</v>
      </c>
      <c r="U1296" s="151">
        <v>0</v>
      </c>
      <c r="V1296" s="151">
        <v>0</v>
      </c>
      <c r="W1296" s="151">
        <v>0</v>
      </c>
      <c r="X1296" s="151">
        <v>0</v>
      </c>
      <c r="Y1296" s="151">
        <v>0</v>
      </c>
      <c r="Z1296" s="151">
        <v>0</v>
      </c>
      <c r="AA1296" s="151">
        <v>0</v>
      </c>
      <c r="AB1296" s="151">
        <v>0</v>
      </c>
      <c r="AC1296" s="151">
        <f>ROUND((N1296+R1296)*1.5%,2)</f>
        <v>27090.2</v>
      </c>
      <c r="AD1296" s="151">
        <v>0</v>
      </c>
      <c r="AE1296" s="151">
        <v>0</v>
      </c>
      <c r="AF1296" s="239" t="s">
        <v>270</v>
      </c>
      <c r="AG1296" s="239">
        <v>2020</v>
      </c>
      <c r="AH1296" s="239">
        <v>2020</v>
      </c>
      <c r="AI1296" s="140"/>
      <c r="AJ1296" s="140"/>
      <c r="AK1296" s="148"/>
      <c r="AL1296" s="140"/>
      <c r="AM1296" s="140"/>
      <c r="AR1296" s="151"/>
      <c r="AS1296" s="201"/>
      <c r="BF1296" s="250"/>
      <c r="BR1296" s="250"/>
      <c r="BU1296" s="201"/>
      <c r="CH1296" s="250"/>
      <c r="CK1296" s="250"/>
      <c r="EJ1296" s="71"/>
      <c r="EL1296" s="201"/>
      <c r="EU1296" s="250"/>
      <c r="FI1296" s="71"/>
      <c r="FL1296" s="201"/>
      <c r="FM1296" s="201"/>
      <c r="FV1296" s="250"/>
      <c r="GN1296" s="253"/>
      <c r="GX1296" s="250"/>
      <c r="GZ1296" s="201"/>
      <c r="HO1296" s="109" t="s">
        <v>1673</v>
      </c>
      <c r="HP1296" s="109">
        <v>52429.26</v>
      </c>
    </row>
    <row r="1297" spans="1:224" s="249" customFormat="1" ht="76.5" x14ac:dyDescent="0.85">
      <c r="B1297" s="147" t="s">
        <v>897</v>
      </c>
      <c r="C1297" s="25"/>
      <c r="D1297" s="151">
        <f t="shared" si="444"/>
        <v>1976297.05</v>
      </c>
      <c r="E1297" s="143">
        <f t="shared" si="444"/>
        <v>0</v>
      </c>
      <c r="F1297" s="143">
        <f t="shared" si="444"/>
        <v>0</v>
      </c>
      <c r="G1297" s="143">
        <f t="shared" si="444"/>
        <v>0</v>
      </c>
      <c r="H1297" s="143">
        <f t="shared" si="444"/>
        <v>0</v>
      </c>
      <c r="I1297" s="143">
        <f t="shared" si="444"/>
        <v>0</v>
      </c>
      <c r="J1297" s="143">
        <f t="shared" si="444"/>
        <v>0</v>
      </c>
      <c r="K1297" s="144">
        <f t="shared" si="444"/>
        <v>0</v>
      </c>
      <c r="L1297" s="143">
        <f t="shared" si="444"/>
        <v>0</v>
      </c>
      <c r="M1297" s="143">
        <f t="shared" si="444"/>
        <v>370</v>
      </c>
      <c r="N1297" s="143">
        <f t="shared" si="444"/>
        <v>1947090.69</v>
      </c>
      <c r="O1297" s="143">
        <f t="shared" si="444"/>
        <v>0</v>
      </c>
      <c r="P1297" s="143">
        <f t="shared" si="444"/>
        <v>0</v>
      </c>
      <c r="Q1297" s="143">
        <f t="shared" si="444"/>
        <v>0</v>
      </c>
      <c r="R1297" s="143">
        <f t="shared" si="444"/>
        <v>0</v>
      </c>
      <c r="S1297" s="143">
        <f t="shared" si="444"/>
        <v>0</v>
      </c>
      <c r="T1297" s="143">
        <f t="shared" si="444"/>
        <v>0</v>
      </c>
      <c r="U1297" s="143">
        <f t="shared" si="444"/>
        <v>0</v>
      </c>
      <c r="V1297" s="143">
        <f t="shared" si="444"/>
        <v>0</v>
      </c>
      <c r="W1297" s="143">
        <f t="shared" si="444"/>
        <v>0</v>
      </c>
      <c r="X1297" s="143">
        <f t="shared" si="444"/>
        <v>0</v>
      </c>
      <c r="Y1297" s="143">
        <f t="shared" si="444"/>
        <v>0</v>
      </c>
      <c r="Z1297" s="143">
        <f t="shared" si="444"/>
        <v>0</v>
      </c>
      <c r="AA1297" s="143">
        <f t="shared" si="444"/>
        <v>0</v>
      </c>
      <c r="AB1297" s="143">
        <f t="shared" si="444"/>
        <v>0</v>
      </c>
      <c r="AC1297" s="151">
        <f t="shared" si="444"/>
        <v>29206.36</v>
      </c>
      <c r="AD1297" s="143">
        <f t="shared" si="444"/>
        <v>0</v>
      </c>
      <c r="AE1297" s="143">
        <f t="shared" si="444"/>
        <v>0</v>
      </c>
      <c r="AF1297" s="145" t="s">
        <v>1670</v>
      </c>
      <c r="AG1297" s="145" t="s">
        <v>1670</v>
      </c>
      <c r="AH1297" s="145" t="s">
        <v>1670</v>
      </c>
      <c r="AI1297" s="140"/>
      <c r="AJ1297" s="142"/>
      <c r="AK1297" s="148"/>
      <c r="AL1297" s="140"/>
      <c r="AM1297" s="140"/>
      <c r="AR1297" s="251"/>
      <c r="AS1297" s="201"/>
      <c r="BF1297" s="250"/>
      <c r="BR1297" s="250"/>
      <c r="BU1297" s="201"/>
      <c r="CH1297" s="250"/>
      <c r="CK1297" s="250"/>
      <c r="EJ1297" s="71"/>
      <c r="EL1297" s="201"/>
      <c r="EU1297" s="250"/>
      <c r="FI1297" s="71"/>
      <c r="FL1297" s="252"/>
      <c r="FM1297" s="201"/>
      <c r="FV1297" s="250"/>
      <c r="GN1297" s="253"/>
      <c r="GX1297" s="250"/>
      <c r="GZ1297" s="201"/>
      <c r="HB1297" s="250"/>
      <c r="HO1297" s="249" t="s">
        <v>1672</v>
      </c>
      <c r="HP1297" s="249">
        <v>44890.35</v>
      </c>
    </row>
    <row r="1298" spans="1:224" s="109" customFormat="1" ht="76.5" customHeight="1" x14ac:dyDescent="0.85">
      <c r="A1298" s="250"/>
      <c r="B1298" s="149">
        <v>5</v>
      </c>
      <c r="C1298" s="122" t="s">
        <v>1944</v>
      </c>
      <c r="D1298" s="151">
        <f>E1298+F1298+G1298+H1298+I1298+J1298+L1298+N1298+P1298+R1298+T1298+U1298+V1298+W1298+X1298+Y1298+Z1298+AA1298+AB1298+AC1298+AD1298+AE1298</f>
        <v>1976297.05</v>
      </c>
      <c r="E1298" s="150">
        <v>0</v>
      </c>
      <c r="F1298" s="151">
        <v>0</v>
      </c>
      <c r="G1298" s="151">
        <v>0</v>
      </c>
      <c r="H1298" s="151">
        <v>0</v>
      </c>
      <c r="I1298" s="151">
        <v>0</v>
      </c>
      <c r="J1298" s="151">
        <v>0</v>
      </c>
      <c r="K1298" s="144">
        <v>0</v>
      </c>
      <c r="L1298" s="151">
        <v>0</v>
      </c>
      <c r="M1298" s="151">
        <v>370</v>
      </c>
      <c r="N1298" s="151">
        <v>1947090.69</v>
      </c>
      <c r="O1298" s="151">
        <v>0</v>
      </c>
      <c r="P1298" s="151">
        <v>0</v>
      </c>
      <c r="Q1298" s="151">
        <v>0</v>
      </c>
      <c r="R1298" s="151">
        <v>0</v>
      </c>
      <c r="S1298" s="151">
        <v>0</v>
      </c>
      <c r="T1298" s="151">
        <v>0</v>
      </c>
      <c r="U1298" s="151">
        <v>0</v>
      </c>
      <c r="V1298" s="151">
        <v>0</v>
      </c>
      <c r="W1298" s="151">
        <v>0</v>
      </c>
      <c r="X1298" s="151">
        <v>0</v>
      </c>
      <c r="Y1298" s="151">
        <v>0</v>
      </c>
      <c r="Z1298" s="151">
        <v>0</v>
      </c>
      <c r="AA1298" s="151">
        <v>0</v>
      </c>
      <c r="AB1298" s="151">
        <v>0</v>
      </c>
      <c r="AC1298" s="151">
        <f>ROUND(N1298*1.5%,2)</f>
        <v>29206.36</v>
      </c>
      <c r="AD1298" s="151">
        <v>0</v>
      </c>
      <c r="AE1298" s="151">
        <v>0</v>
      </c>
      <c r="AF1298" s="239" t="s">
        <v>270</v>
      </c>
      <c r="AG1298" s="239">
        <v>2020</v>
      </c>
      <c r="AH1298" s="239">
        <v>2020</v>
      </c>
      <c r="AI1298" s="140"/>
      <c r="AJ1298" s="140"/>
      <c r="AK1298" s="148"/>
      <c r="AL1298" s="140"/>
      <c r="AM1298" s="140"/>
      <c r="AR1298" s="151"/>
      <c r="AS1298" s="201"/>
      <c r="BF1298" s="250"/>
      <c r="BR1298" s="250"/>
      <c r="BU1298" s="201"/>
      <c r="CH1298" s="250"/>
      <c r="CK1298" s="250"/>
      <c r="EJ1298" s="71"/>
      <c r="EL1298" s="201"/>
      <c r="EU1298" s="250"/>
      <c r="FI1298" s="71"/>
      <c r="FL1298" s="201"/>
      <c r="FM1298" s="201"/>
      <c r="FV1298" s="250"/>
      <c r="GN1298" s="253"/>
      <c r="GX1298" s="250"/>
      <c r="GZ1298" s="201"/>
      <c r="HO1298" s="109" t="s">
        <v>1673</v>
      </c>
      <c r="HP1298" s="109">
        <v>52429.26</v>
      </c>
    </row>
  </sheetData>
  <autoFilter ref="A18:HP1298" xr:uid="{78BB056B-5F1F-467F-BA4B-52E489D182EE}"/>
  <mergeCells count="45">
    <mergeCell ref="B1289:AH1289"/>
    <mergeCell ref="B1290:C1290"/>
    <mergeCell ref="D11:D16"/>
    <mergeCell ref="B11:B17"/>
    <mergeCell ref="C11:C17"/>
    <mergeCell ref="AG11:AG17"/>
    <mergeCell ref="AH11:AH17"/>
    <mergeCell ref="E12:J12"/>
    <mergeCell ref="K12:L16"/>
    <mergeCell ref="M12:N16"/>
    <mergeCell ref="O12:P16"/>
    <mergeCell ref="Q12:R16"/>
    <mergeCell ref="AD12:AD16"/>
    <mergeCell ref="AE12:AE16"/>
    <mergeCell ref="S12:T16"/>
    <mergeCell ref="E11:T11"/>
    <mergeCell ref="C9:AH9"/>
    <mergeCell ref="AB12:AB16"/>
    <mergeCell ref="AC12:AC16"/>
    <mergeCell ref="E13:E16"/>
    <mergeCell ref="F13:F16"/>
    <mergeCell ref="U11:AE11"/>
    <mergeCell ref="AF11:AF17"/>
    <mergeCell ref="G13:G16"/>
    <mergeCell ref="H13:H16"/>
    <mergeCell ref="I13:I16"/>
    <mergeCell ref="X12:X16"/>
    <mergeCell ref="Y12:Y16"/>
    <mergeCell ref="J13:J16"/>
    <mergeCell ref="U12:U16"/>
    <mergeCell ref="V12:V16"/>
    <mergeCell ref="W12:W16"/>
    <mergeCell ref="B7:B8"/>
    <mergeCell ref="W1:AH1"/>
    <mergeCell ref="V2:AH2"/>
    <mergeCell ref="V3:AH3"/>
    <mergeCell ref="B4:AH4"/>
    <mergeCell ref="B5:AH5"/>
    <mergeCell ref="B6:AH6"/>
    <mergeCell ref="C7:AH8"/>
    <mergeCell ref="B1280:AH1280"/>
    <mergeCell ref="B1281:AH1281"/>
    <mergeCell ref="B1282:C1282"/>
    <mergeCell ref="Z12:Z16"/>
    <mergeCell ref="AA12:AA16"/>
  </mergeCells>
  <phoneticPr fontId="44" type="noConversion"/>
  <printOptions horizontalCentered="1"/>
  <pageMargins left="0.25" right="0.25" top="0.75" bottom="0.75" header="0.3" footer="0.3"/>
  <pageSetup paperSize="8" scale="10" fitToHeight="0" orientation="landscape" r:id="rId1"/>
  <headerFooter differentFirst="1">
    <oddHeader>&amp;C&amp;48&amp;P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I1488"/>
  <sheetViews>
    <sheetView view="pageBreakPreview" topLeftCell="B7" zoomScale="30" zoomScaleNormal="40" zoomScaleSheetLayoutView="30" workbookViewId="0">
      <pane xSplit="2" ySplit="6" topLeftCell="D1232" activePane="bottomRight" state="frozen"/>
      <selection activeCell="B7" sqref="B7"/>
      <selection pane="topRight" activeCell="D7" sqref="D7"/>
      <selection pane="bottomLeft" activeCell="B13" sqref="B13"/>
      <selection pane="bottomRight" activeCell="B7" sqref="A1:XFD1048576"/>
    </sheetView>
  </sheetViews>
  <sheetFormatPr defaultRowHeight="27.75" x14ac:dyDescent="0.4"/>
  <cols>
    <col min="1" max="1" width="9.140625" style="6" hidden="1" customWidth="1"/>
    <col min="2" max="2" width="19.42578125" style="14" customWidth="1"/>
    <col min="3" max="3" width="168.7109375" style="6" bestFit="1" customWidth="1"/>
    <col min="4" max="4" width="35.140625" style="6" customWidth="1"/>
    <col min="5" max="5" width="29.28515625" style="14" customWidth="1"/>
    <col min="6" max="6" width="52.140625" style="6" customWidth="1"/>
    <col min="7" max="7" width="16.85546875" style="6" customWidth="1"/>
    <col min="8" max="8" width="17" style="6" customWidth="1"/>
    <col min="9" max="9" width="35.7109375" style="6" customWidth="1"/>
    <col min="10" max="10" width="34.7109375" style="6" customWidth="1"/>
    <col min="11" max="11" width="34.28515625" style="6" customWidth="1"/>
    <col min="12" max="12" width="22" style="15" customWidth="1"/>
    <col min="13" max="13" width="32.7109375" style="14" customWidth="1"/>
    <col min="14" max="14" width="43.28515625" style="14" customWidth="1"/>
    <col min="15" max="15" width="136.85546875" style="29" customWidth="1"/>
    <col min="16" max="16" width="46.7109375" style="16" customWidth="1"/>
    <col min="17" max="18" width="30.5703125" style="16" customWidth="1"/>
    <col min="19" max="19" width="41.42578125" style="16" customWidth="1"/>
    <col min="20" max="20" width="30.85546875" style="16" customWidth="1"/>
    <col min="21" max="21" width="32.28515625" style="16" customWidth="1"/>
    <col min="22" max="23" width="32.28515625" style="16" hidden="1" customWidth="1"/>
    <col min="24" max="24" width="32.28515625" style="191" hidden="1" customWidth="1"/>
    <col min="25" max="25" width="28.140625" style="190" hidden="1" customWidth="1"/>
    <col min="26" max="26" width="34.85546875" style="190" hidden="1" customWidth="1"/>
    <col min="27" max="28" width="23" style="190" hidden="1" customWidth="1"/>
    <col min="29" max="29" width="23.85546875" style="190" hidden="1" customWidth="1"/>
    <col min="30" max="30" width="39.28515625" style="191" hidden="1" customWidth="1"/>
    <col min="31" max="31" width="16" style="190" hidden="1" customWidth="1"/>
    <col min="32" max="32" width="30" style="191" hidden="1" customWidth="1"/>
    <col min="33" max="33" width="27.42578125" style="190" hidden="1" customWidth="1"/>
    <col min="34" max="34" width="28.85546875" style="191" hidden="1" customWidth="1"/>
    <col min="35" max="35" width="23.7109375" style="190" hidden="1" customWidth="1"/>
    <col min="36" max="36" width="47.7109375" style="191" hidden="1" customWidth="1"/>
    <col min="37" max="37" width="36.7109375" style="190" hidden="1" customWidth="1"/>
    <col min="38" max="38" width="28.85546875" style="190" hidden="1" customWidth="1"/>
    <col min="39" max="40" width="31.7109375" style="190" hidden="1" customWidth="1"/>
    <col min="41" max="41" width="37.7109375" style="190" hidden="1" customWidth="1"/>
    <col min="42" max="42" width="36" style="6" hidden="1" customWidth="1"/>
    <col min="43" max="74" width="9.140625" style="6" hidden="1" customWidth="1"/>
    <col min="75" max="76" width="9.140625" style="6" customWidth="1"/>
    <col min="77" max="77" width="38.28515625" style="6" bestFit="1" customWidth="1"/>
    <col min="78" max="128" width="9.140625" style="6" customWidth="1"/>
    <col min="129" max="147" width="9.140625" style="6"/>
    <col min="148" max="148" width="13" style="6" bestFit="1" customWidth="1"/>
    <col min="149" max="220" width="9.140625" style="6"/>
    <col min="221" max="221" width="20.5703125" style="6" bestFit="1" customWidth="1"/>
    <col min="222" max="16384" width="9.140625" style="6"/>
  </cols>
  <sheetData>
    <row r="1" spans="1:41" ht="36" x14ac:dyDescent="0.55000000000000004">
      <c r="B1" s="20"/>
      <c r="C1" s="22"/>
      <c r="D1" s="20"/>
      <c r="E1" s="75"/>
      <c r="F1" s="20"/>
      <c r="G1" s="20"/>
      <c r="H1" s="20"/>
      <c r="I1" s="20"/>
      <c r="J1" s="20"/>
      <c r="K1" s="40"/>
      <c r="L1" s="23"/>
      <c r="M1" s="21"/>
      <c r="N1" s="75"/>
      <c r="O1" s="43"/>
      <c r="P1" s="43"/>
      <c r="Q1" s="43"/>
      <c r="R1" s="43"/>
      <c r="S1" s="326" t="s">
        <v>979</v>
      </c>
      <c r="T1" s="326"/>
      <c r="U1" s="326"/>
      <c r="V1" s="234"/>
      <c r="W1" s="234"/>
      <c r="X1" s="180"/>
    </row>
    <row r="2" spans="1:41" ht="112.5" customHeight="1" x14ac:dyDescent="0.4">
      <c r="B2" s="20"/>
      <c r="C2" s="22"/>
      <c r="D2" s="20"/>
      <c r="E2" s="75"/>
      <c r="F2" s="20"/>
      <c r="G2" s="20"/>
      <c r="H2" s="20"/>
      <c r="I2" s="20"/>
      <c r="J2" s="20"/>
      <c r="K2" s="40"/>
      <c r="L2" s="23"/>
      <c r="M2" s="21"/>
      <c r="N2" s="75"/>
      <c r="O2" s="327" t="s">
        <v>980</v>
      </c>
      <c r="P2" s="327"/>
      <c r="Q2" s="327"/>
      <c r="R2" s="327"/>
      <c r="S2" s="327"/>
      <c r="T2" s="327"/>
      <c r="U2" s="327"/>
      <c r="V2" s="235"/>
      <c r="W2" s="235"/>
      <c r="X2" s="181"/>
    </row>
    <row r="3" spans="1:41" ht="15" customHeight="1" x14ac:dyDescent="0.4">
      <c r="B3" s="20"/>
      <c r="C3" s="22"/>
      <c r="D3" s="20"/>
      <c r="E3" s="75"/>
      <c r="F3" s="20"/>
      <c r="G3" s="20"/>
      <c r="H3" s="20"/>
      <c r="I3" s="20"/>
      <c r="J3" s="20"/>
      <c r="K3" s="40"/>
      <c r="L3" s="23"/>
      <c r="M3" s="21"/>
      <c r="N3" s="75"/>
      <c r="O3" s="327"/>
      <c r="P3" s="327"/>
      <c r="Q3" s="327"/>
      <c r="R3" s="327"/>
      <c r="S3" s="327"/>
      <c r="T3" s="327"/>
      <c r="U3" s="327"/>
      <c r="V3" s="235"/>
      <c r="W3" s="235"/>
      <c r="X3" s="181"/>
    </row>
    <row r="4" spans="1:41" ht="15" customHeight="1" x14ac:dyDescent="0.4">
      <c r="B4" s="324" t="s">
        <v>981</v>
      </c>
      <c r="C4" s="324"/>
      <c r="D4" s="324"/>
      <c r="E4" s="324"/>
      <c r="F4" s="324"/>
      <c r="G4" s="324"/>
      <c r="H4" s="324"/>
      <c r="I4" s="324"/>
      <c r="J4" s="324"/>
      <c r="K4" s="324"/>
      <c r="L4" s="325"/>
      <c r="M4" s="324"/>
      <c r="N4" s="324"/>
      <c r="O4" s="324"/>
      <c r="P4" s="324"/>
      <c r="Q4" s="324"/>
      <c r="R4" s="324"/>
      <c r="S4" s="324"/>
      <c r="T4" s="324"/>
      <c r="U4" s="324"/>
      <c r="V4" s="233"/>
      <c r="W4" s="233"/>
      <c r="X4" s="182"/>
    </row>
    <row r="5" spans="1:41" ht="15" customHeight="1" x14ac:dyDescent="0.4"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5"/>
      <c r="M5" s="324"/>
      <c r="N5" s="324"/>
      <c r="O5" s="324"/>
      <c r="P5" s="324"/>
      <c r="Q5" s="324"/>
      <c r="R5" s="324"/>
      <c r="S5" s="324"/>
      <c r="T5" s="324"/>
      <c r="U5" s="324"/>
      <c r="V5" s="233"/>
      <c r="W5" s="233"/>
      <c r="X5" s="182"/>
    </row>
    <row r="6" spans="1:41" ht="159" customHeight="1" x14ac:dyDescent="0.4">
      <c r="B6" s="324"/>
      <c r="C6" s="324"/>
      <c r="D6" s="324"/>
      <c r="E6" s="324"/>
      <c r="F6" s="324"/>
      <c r="G6" s="324"/>
      <c r="H6" s="324"/>
      <c r="I6" s="324"/>
      <c r="J6" s="324"/>
      <c r="K6" s="324"/>
      <c r="L6" s="325"/>
      <c r="M6" s="324"/>
      <c r="N6" s="324"/>
      <c r="O6" s="324"/>
      <c r="P6" s="324"/>
      <c r="Q6" s="324"/>
      <c r="R6" s="324"/>
      <c r="S6" s="324"/>
      <c r="T6" s="324"/>
      <c r="U6" s="324"/>
      <c r="V6" s="233"/>
      <c r="W6" s="233"/>
      <c r="X6" s="182"/>
    </row>
    <row r="8" spans="1:41" s="13" customFormat="1" ht="96.75" customHeight="1" x14ac:dyDescent="0.4">
      <c r="B8" s="321" t="s">
        <v>6</v>
      </c>
      <c r="C8" s="321" t="s">
        <v>249</v>
      </c>
      <c r="D8" s="321" t="s">
        <v>250</v>
      </c>
      <c r="E8" s="321"/>
      <c r="F8" s="320" t="s">
        <v>251</v>
      </c>
      <c r="G8" s="320" t="s">
        <v>252</v>
      </c>
      <c r="H8" s="320" t="s">
        <v>253</v>
      </c>
      <c r="I8" s="320" t="s">
        <v>254</v>
      </c>
      <c r="J8" s="321" t="s">
        <v>255</v>
      </c>
      <c r="K8" s="321"/>
      <c r="L8" s="328" t="s">
        <v>1007</v>
      </c>
      <c r="M8" s="323" t="s">
        <v>1009</v>
      </c>
      <c r="N8" s="323" t="s">
        <v>1010</v>
      </c>
      <c r="O8" s="321" t="s">
        <v>256</v>
      </c>
      <c r="P8" s="319" t="s">
        <v>257</v>
      </c>
      <c r="Q8" s="319"/>
      <c r="R8" s="319"/>
      <c r="S8" s="319"/>
      <c r="T8" s="318" t="s">
        <v>258</v>
      </c>
      <c r="U8" s="318" t="s">
        <v>259</v>
      </c>
      <c r="V8" s="110"/>
      <c r="W8" s="110"/>
      <c r="X8" s="183"/>
      <c r="Y8" s="190"/>
      <c r="Z8" s="190"/>
      <c r="AA8" s="190"/>
      <c r="AB8" s="190"/>
      <c r="AC8" s="190"/>
      <c r="AD8" s="191"/>
      <c r="AE8" s="190"/>
      <c r="AF8" s="191"/>
      <c r="AG8" s="190"/>
      <c r="AH8" s="191"/>
      <c r="AI8" s="190"/>
      <c r="AJ8" s="191"/>
      <c r="AK8" s="190"/>
      <c r="AL8" s="190"/>
      <c r="AM8" s="190"/>
      <c r="AN8" s="190"/>
      <c r="AO8" s="190"/>
    </row>
    <row r="9" spans="1:41" s="13" customFormat="1" ht="339.75" customHeight="1" x14ac:dyDescent="0.4">
      <c r="B9" s="321"/>
      <c r="C9" s="321"/>
      <c r="D9" s="320" t="s">
        <v>260</v>
      </c>
      <c r="E9" s="320" t="s">
        <v>261</v>
      </c>
      <c r="F9" s="321"/>
      <c r="G9" s="321"/>
      <c r="H9" s="321"/>
      <c r="I9" s="321"/>
      <c r="J9" s="320" t="s">
        <v>262</v>
      </c>
      <c r="K9" s="320" t="s">
        <v>1008</v>
      </c>
      <c r="L9" s="329"/>
      <c r="M9" s="323"/>
      <c r="N9" s="323"/>
      <c r="O9" s="321"/>
      <c r="P9" s="318" t="s">
        <v>262</v>
      </c>
      <c r="Q9" s="318" t="s">
        <v>263</v>
      </c>
      <c r="R9" s="318" t="s">
        <v>264</v>
      </c>
      <c r="S9" s="318" t="s">
        <v>1011</v>
      </c>
      <c r="T9" s="319"/>
      <c r="U9" s="319"/>
      <c r="V9" s="111"/>
      <c r="W9" s="111"/>
      <c r="X9" s="184"/>
      <c r="Y9" s="190"/>
      <c r="Z9" s="190"/>
      <c r="AA9" s="190"/>
      <c r="AB9" s="190"/>
      <c r="AC9" s="190"/>
      <c r="AD9" s="191"/>
      <c r="AE9" s="190"/>
      <c r="AF9" s="191"/>
      <c r="AG9" s="190"/>
      <c r="AH9" s="191"/>
      <c r="AI9" s="190"/>
      <c r="AJ9" s="191"/>
      <c r="AK9" s="190"/>
      <c r="AL9" s="190"/>
      <c r="AM9" s="190"/>
      <c r="AN9" s="190"/>
      <c r="AO9" s="190"/>
    </row>
    <row r="10" spans="1:41" s="13" customFormat="1" ht="45" customHeight="1" x14ac:dyDescent="0.4"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9"/>
      <c r="M10" s="323"/>
      <c r="N10" s="323"/>
      <c r="O10" s="321"/>
      <c r="P10" s="319"/>
      <c r="Q10" s="318"/>
      <c r="R10" s="318"/>
      <c r="S10" s="318"/>
      <c r="T10" s="319"/>
      <c r="U10" s="319"/>
      <c r="V10" s="111"/>
      <c r="W10" s="111"/>
      <c r="X10" s="184"/>
      <c r="Y10" s="190"/>
      <c r="Z10" s="190"/>
      <c r="AA10" s="190"/>
      <c r="AB10" s="190"/>
      <c r="AC10" s="190"/>
      <c r="AD10" s="191"/>
      <c r="AE10" s="190"/>
      <c r="AF10" s="191"/>
      <c r="AG10" s="190"/>
      <c r="AH10" s="191"/>
      <c r="AI10" s="190"/>
      <c r="AJ10" s="191"/>
      <c r="AK10" s="190"/>
      <c r="AL10" s="190"/>
      <c r="AM10" s="190"/>
      <c r="AN10" s="190"/>
      <c r="AO10" s="190"/>
    </row>
    <row r="11" spans="1:41" s="13" customFormat="1" ht="48" customHeight="1" x14ac:dyDescent="0.4">
      <c r="B11" s="322"/>
      <c r="C11" s="322"/>
      <c r="D11" s="322"/>
      <c r="E11" s="322"/>
      <c r="F11" s="321"/>
      <c r="G11" s="322"/>
      <c r="H11" s="322"/>
      <c r="I11" s="237" t="s">
        <v>38</v>
      </c>
      <c r="J11" s="237" t="s">
        <v>38</v>
      </c>
      <c r="K11" s="237" t="s">
        <v>38</v>
      </c>
      <c r="L11" s="44" t="s">
        <v>265</v>
      </c>
      <c r="M11" s="323"/>
      <c r="N11" s="323"/>
      <c r="O11" s="321"/>
      <c r="P11" s="45" t="s">
        <v>36</v>
      </c>
      <c r="Q11" s="45" t="s">
        <v>36</v>
      </c>
      <c r="R11" s="45" t="s">
        <v>36</v>
      </c>
      <c r="S11" s="45" t="s">
        <v>36</v>
      </c>
      <c r="T11" s="45" t="s">
        <v>266</v>
      </c>
      <c r="U11" s="45" t="s">
        <v>266</v>
      </c>
      <c r="V11" s="112"/>
      <c r="W11" s="112"/>
      <c r="X11" s="185" t="s">
        <v>1931</v>
      </c>
      <c r="Y11" s="190" t="s">
        <v>1932</v>
      </c>
      <c r="Z11" s="190" t="s">
        <v>1933</v>
      </c>
      <c r="AA11" s="190" t="s">
        <v>1934</v>
      </c>
      <c r="AB11" s="190" t="s">
        <v>1935</v>
      </c>
      <c r="AC11" s="190"/>
      <c r="AD11" s="191" t="s">
        <v>1936</v>
      </c>
      <c r="AE11" s="190"/>
      <c r="AF11" s="191" t="s">
        <v>1937</v>
      </c>
      <c r="AG11" s="190"/>
      <c r="AH11" s="191" t="s">
        <v>1938</v>
      </c>
      <c r="AI11" s="190"/>
      <c r="AJ11" s="191" t="s">
        <v>1939</v>
      </c>
      <c r="AK11" s="190"/>
      <c r="AL11" s="190" t="s">
        <v>1940</v>
      </c>
      <c r="AM11" s="190" t="s">
        <v>1941</v>
      </c>
      <c r="AN11" s="190"/>
      <c r="AO11" s="190" t="s">
        <v>1942</v>
      </c>
    </row>
    <row r="12" spans="1:41" s="13" customFormat="1" ht="40.5" customHeight="1" x14ac:dyDescent="0.4">
      <c r="B12" s="237">
        <v>1</v>
      </c>
      <c r="C12" s="237">
        <v>2</v>
      </c>
      <c r="D12" s="237">
        <v>3</v>
      </c>
      <c r="E12" s="237">
        <v>4</v>
      </c>
      <c r="F12" s="237">
        <v>5</v>
      </c>
      <c r="G12" s="237">
        <v>6</v>
      </c>
      <c r="H12" s="237">
        <v>7</v>
      </c>
      <c r="I12" s="237">
        <v>8</v>
      </c>
      <c r="J12" s="237">
        <v>9</v>
      </c>
      <c r="K12" s="237">
        <v>10</v>
      </c>
      <c r="L12" s="44">
        <v>11</v>
      </c>
      <c r="M12" s="237">
        <v>12</v>
      </c>
      <c r="N12" s="237">
        <v>13</v>
      </c>
      <c r="O12" s="236">
        <v>14</v>
      </c>
      <c r="P12" s="237">
        <v>15</v>
      </c>
      <c r="Q12" s="237">
        <v>16</v>
      </c>
      <c r="R12" s="237">
        <v>17</v>
      </c>
      <c r="S12" s="237">
        <v>18</v>
      </c>
      <c r="T12" s="237">
        <v>19</v>
      </c>
      <c r="U12" s="237">
        <v>20</v>
      </c>
      <c r="V12" s="113"/>
      <c r="W12" s="113"/>
      <c r="X12" s="186"/>
      <c r="Y12" s="190"/>
      <c r="Z12" s="190"/>
      <c r="AA12" s="190"/>
      <c r="AB12" s="190"/>
      <c r="AC12" s="190"/>
      <c r="AD12" s="191"/>
      <c r="AE12" s="190"/>
      <c r="AF12" s="191"/>
      <c r="AG12" s="190"/>
      <c r="AH12" s="191"/>
      <c r="AI12" s="190"/>
      <c r="AJ12" s="191"/>
      <c r="AK12" s="190"/>
      <c r="AL12" s="190"/>
      <c r="AM12" s="190"/>
      <c r="AN12" s="190"/>
      <c r="AO12" s="190"/>
    </row>
    <row r="13" spans="1:41" s="259" customFormat="1" ht="36" customHeight="1" x14ac:dyDescent="0.25">
      <c r="A13" s="255"/>
      <c r="B13" s="94" t="s">
        <v>758</v>
      </c>
      <c r="C13" s="256"/>
      <c r="D13" s="124" t="s">
        <v>896</v>
      </c>
      <c r="E13" s="124" t="s">
        <v>896</v>
      </c>
      <c r="F13" s="124" t="s">
        <v>896</v>
      </c>
      <c r="G13" s="124" t="s">
        <v>896</v>
      </c>
      <c r="H13" s="124" t="s">
        <v>896</v>
      </c>
      <c r="I13" s="125">
        <f>I14+I550+I998</f>
        <v>2650998.37</v>
      </c>
      <c r="J13" s="125">
        <f>J14+J550+J998</f>
        <v>2205702.46</v>
      </c>
      <c r="K13" s="125">
        <f>K14+K550+K998</f>
        <v>2043450.46</v>
      </c>
      <c r="L13" s="126">
        <f>L14+L550+L998</f>
        <v>101914</v>
      </c>
      <c r="M13" s="124" t="s">
        <v>896</v>
      </c>
      <c r="N13" s="124" t="s">
        <v>896</v>
      </c>
      <c r="O13" s="127" t="s">
        <v>896</v>
      </c>
      <c r="P13" s="125">
        <f>P14+P550+P998</f>
        <v>3290609973.6500006</v>
      </c>
      <c r="Q13" s="125">
        <f>Q14+Q550+Q998</f>
        <v>0</v>
      </c>
      <c r="R13" s="125">
        <f>R14+R550+R998</f>
        <v>7775487.959999999</v>
      </c>
      <c r="S13" s="125">
        <f>S14+S550+S998</f>
        <v>3282834485.6899996</v>
      </c>
      <c r="T13" s="128">
        <f t="shared" ref="T13:T76" si="0">P13/I13</f>
        <v>1241.271971679862</v>
      </c>
      <c r="U13" s="128">
        <f>MAX(U14:U1272)</f>
        <v>24013.858784215474</v>
      </c>
      <c r="V13" s="257"/>
      <c r="W13" s="257"/>
      <c r="X13" s="257"/>
      <c r="Y13" s="258"/>
      <c r="Z13" s="258"/>
      <c r="AA13" s="258"/>
      <c r="AB13" s="258"/>
      <c r="AC13" s="258"/>
      <c r="AD13" s="258"/>
      <c r="AE13" s="258"/>
      <c r="AF13" s="258"/>
      <c r="AG13" s="258"/>
      <c r="AH13" s="258"/>
      <c r="AI13" s="258"/>
      <c r="AJ13" s="258"/>
      <c r="AK13" s="258"/>
      <c r="AL13" s="258"/>
      <c r="AM13" s="258"/>
      <c r="AN13" s="258"/>
      <c r="AO13" s="258"/>
    </row>
    <row r="14" spans="1:41" s="259" customFormat="1" ht="36" customHeight="1" x14ac:dyDescent="0.25">
      <c r="B14" s="94" t="s">
        <v>759</v>
      </c>
      <c r="C14" s="256"/>
      <c r="D14" s="124" t="s">
        <v>896</v>
      </c>
      <c r="E14" s="124" t="s">
        <v>896</v>
      </c>
      <c r="F14" s="124" t="s">
        <v>896</v>
      </c>
      <c r="G14" s="124" t="s">
        <v>896</v>
      </c>
      <c r="H14" s="124" t="s">
        <v>896</v>
      </c>
      <c r="I14" s="125">
        <f>I15+I120+I151+I197+I235+I241+I268+I274+I281+I286+I288+I291+I297+I303+I305+I321+I338+I344+I347+I350+I354+I357+I359+I374+I377+I379+I381+I386+I389+I391+I396+I398+I406+I408+I412+I416+I418+I422+I429+I435+I438+I451+I453+I455+I457+I459+I461+I467+I479+I488+I490+I497+I503+I505+I508+I511+I513+I516+I522+I524+I527+I529+I539+I544+I547+I449+I492</f>
        <v>1283189.7000000002</v>
      </c>
      <c r="J14" s="125">
        <f>J15+J120+J151+J197+J235+J241+J268+J274+J281+J286+J288+J291+J297+J303+J305+J321+J338+J344+J347+J350+J354+J357+J359+J374+J377+J379+J381+J386+J389+J391+J396+J398+J406+J408+J412+J416+J418+J422+J429+J435+J438+J451+J453+J455+J457+J459+J461+J467+J479+J488+J490+J497+J503+J505+J508+J511+J513+J516+J522+J524+J527+J529+J539+J544+J547+J449+J492</f>
        <v>1075826.05</v>
      </c>
      <c r="K14" s="125">
        <f>K15+K120+K151+K197+K235+K241+K268+K274+K281+K286+K288+K291+K297+K303+K305+K321+K338+K344+K347+K350+K354+K357+K359+K374+K377+K379+K381+K386+K389+K391+K396+K398+K406+K408+K412+K416+K418+K422+K429+K435+K438+K451+K453+K455+K457+K459+K461+K467+K479+K488+K490+K497+K503+K505+K508+K511+K513+K516+K522+K524+K527+K529+K539+K544+K547+K449+K492</f>
        <v>1031357.3800000002</v>
      </c>
      <c r="L14" s="126">
        <f>L15+L120+L151+L197+L235+L241+L268+L274+L281+L286+L288+L291+L297+L303+L305+L321+L338+L344+L347+L350+L354+L357+L359+L374+L377+L379+L381+L386+L389+L391+L396+L398+L406+L408+L412+L416+L418+L422+L429+L435+L438+L451+L453+L455+L457+L459+L461+L467+L479+L488+L490+L497+L503+L505+L508+L511+L513+L516+L522+L524+L527+L529+L539+L544+L547+L449+L492</f>
        <v>49251</v>
      </c>
      <c r="M14" s="124" t="s">
        <v>896</v>
      </c>
      <c r="N14" s="124" t="s">
        <v>896</v>
      </c>
      <c r="O14" s="127" t="s">
        <v>896</v>
      </c>
      <c r="P14" s="125">
        <v>1112243634.7800002</v>
      </c>
      <c r="Q14" s="125">
        <f>Q15+Q120+Q151+Q197+Q235+Q241+Q268+Q274+Q281+Q286+Q288+Q291+Q297+Q303+Q305+Q321+Q338+Q344+Q347+Q350+Q354+Q357+Q359+Q374+Q377+Q379+Q381+Q386+Q389+Q391+Q396+Q398+Q406+Q408+Q412+Q416+Q418+Q422+Q429+Q435+Q438+Q451+Q453+Q455+Q457+Q459+Q461+Q467+Q479+Q488+Q490+Q497+Q503+Q505+Q508+Q511+Q513+Q516+Q522+Q524+Q527+Q529+Q539+Q544+Q547+Q449+Q492</f>
        <v>0</v>
      </c>
      <c r="R14" s="125">
        <f>R15+R120+R151+R197+R235+R241+R268+R274+R281+R286+R288+R291+R297+R303+R305+R321+R338+R344+R347+R350+R354+R357+R359+R374+R377+R379+R381+R386+R389+R391+R396+R398+R406+R408+R412+R416+R418+R422+R429+R435+R438+R451+R453+R455+R457+R459+R461+R467+R479+R488+R490+R497+R503+R505+R508+R511+R513+R516+R522+R524+R527+R529+R539+R544+R547+R449+R492</f>
        <v>2908349.77</v>
      </c>
      <c r="S14" s="125">
        <f>S15+S120+S151+S197+S235+S241+S268+S274+S281+S286+S288+S291+S297+S303+S305+S321+S338+S344+S347+S350+S354+S357+S359+S374+S377+S379+S381+S386+S389+S391+S396+S398+S406+S408+S412+S416+S418+S422+S429+S435+S438+S451+S453+S455+S457+S459+S461+S467+S479+S488+S490+S497+S503+S505+S508+S511+S513+S516+S522+S524+S527+S529+S539+S544+S547+S449+S492</f>
        <v>1109335285.01</v>
      </c>
      <c r="T14" s="128">
        <f t="shared" si="0"/>
        <v>866.78036363602359</v>
      </c>
      <c r="U14" s="128">
        <f>MAX(U15:U547)</f>
        <v>14055.200019244649</v>
      </c>
      <c r="V14" s="257"/>
      <c r="W14" s="257"/>
      <c r="X14" s="257"/>
      <c r="Y14" s="258"/>
      <c r="Z14" s="258"/>
      <c r="AA14" s="258"/>
      <c r="AB14" s="258"/>
      <c r="AC14" s="258"/>
      <c r="AD14" s="258"/>
      <c r="AE14" s="258"/>
      <c r="AF14" s="258"/>
      <c r="AG14" s="258"/>
      <c r="AH14" s="258"/>
      <c r="AI14" s="258"/>
      <c r="AJ14" s="258"/>
      <c r="AK14" s="258"/>
      <c r="AL14" s="258"/>
      <c r="AM14" s="258"/>
      <c r="AN14" s="258"/>
      <c r="AO14" s="258"/>
    </row>
    <row r="15" spans="1:41" s="259" customFormat="1" ht="36" customHeight="1" x14ac:dyDescent="0.25">
      <c r="B15" s="94" t="s">
        <v>1094</v>
      </c>
      <c r="C15" s="260"/>
      <c r="D15" s="124" t="s">
        <v>896</v>
      </c>
      <c r="E15" s="124" t="s">
        <v>896</v>
      </c>
      <c r="F15" s="124" t="s">
        <v>896</v>
      </c>
      <c r="G15" s="124" t="s">
        <v>896</v>
      </c>
      <c r="H15" s="124" t="s">
        <v>896</v>
      </c>
      <c r="I15" s="125">
        <f>SUM(I16:I119)</f>
        <v>362242.11000000022</v>
      </c>
      <c r="J15" s="125">
        <f>SUM(J16:J119)</f>
        <v>302352.3</v>
      </c>
      <c r="K15" s="125">
        <f>SUM(K16:K119)</f>
        <v>281560.7</v>
      </c>
      <c r="L15" s="126">
        <f>SUM(L16:L119)</f>
        <v>13536</v>
      </c>
      <c r="M15" s="124" t="s">
        <v>896</v>
      </c>
      <c r="N15" s="124" t="s">
        <v>896</v>
      </c>
      <c r="O15" s="127" t="s">
        <v>896</v>
      </c>
      <c r="P15" s="125">
        <v>278633187.87000012</v>
      </c>
      <c r="Q15" s="125">
        <f>SUM(Q16:Q119)</f>
        <v>0</v>
      </c>
      <c r="R15" s="125">
        <f>SUM(R16:R119)</f>
        <v>0</v>
      </c>
      <c r="S15" s="125">
        <f>SUM(S16:S119)</f>
        <v>278633187.87000012</v>
      </c>
      <c r="T15" s="128">
        <f t="shared" si="0"/>
        <v>769.19049491512726</v>
      </c>
      <c r="U15" s="128">
        <f>MAX(U16:U119)</f>
        <v>9762.5037575757578</v>
      </c>
      <c r="V15" s="257"/>
      <c r="W15" s="257"/>
      <c r="X15" s="257"/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</row>
    <row r="16" spans="1:41" s="259" customFormat="1" ht="36" customHeight="1" x14ac:dyDescent="0.25">
      <c r="A16" s="259">
        <v>1</v>
      </c>
      <c r="B16" s="135">
        <f>SUBTOTAL(103,$A16:A$16)</f>
        <v>1</v>
      </c>
      <c r="C16" s="94" t="s">
        <v>481</v>
      </c>
      <c r="D16" s="124">
        <v>1994</v>
      </c>
      <c r="E16" s="124"/>
      <c r="F16" s="129" t="s">
        <v>269</v>
      </c>
      <c r="G16" s="124">
        <v>5</v>
      </c>
      <c r="H16" s="124" t="s">
        <v>306</v>
      </c>
      <c r="I16" s="128">
        <v>1202.5999999999999</v>
      </c>
      <c r="J16" s="128">
        <v>620.9</v>
      </c>
      <c r="K16" s="128">
        <v>620.9</v>
      </c>
      <c r="L16" s="126">
        <v>52</v>
      </c>
      <c r="M16" s="124" t="s">
        <v>267</v>
      </c>
      <c r="N16" s="124" t="s">
        <v>271</v>
      </c>
      <c r="O16" s="127" t="s">
        <v>2292</v>
      </c>
      <c r="P16" s="128">
        <v>2167261.7599999998</v>
      </c>
      <c r="Q16" s="128">
        <v>0</v>
      </c>
      <c r="R16" s="128">
        <v>0</v>
      </c>
      <c r="S16" s="128">
        <f t="shared" ref="S16:S79" si="1">P16-Q16-R16</f>
        <v>2167261.7599999998</v>
      </c>
      <c r="T16" s="128">
        <f t="shared" si="0"/>
        <v>1802.1468152336604</v>
      </c>
      <c r="U16" s="128">
        <v>2256.6563835855645</v>
      </c>
      <c r="V16" s="257">
        <f>U16-T16</f>
        <v>454.50956835190414</v>
      </c>
      <c r="W16" s="257">
        <f>X16+Y16+Z16+AA16+AB16+AD16+AF16+AH16+AJ16+AL16+AN16+AO16</f>
        <v>2248.9854266589055</v>
      </c>
      <c r="X16" s="257">
        <v>0</v>
      </c>
      <c r="Y16" s="258">
        <v>0</v>
      </c>
      <c r="Z16" s="258">
        <v>0</v>
      </c>
      <c r="AA16" s="258">
        <v>0</v>
      </c>
      <c r="AB16" s="258">
        <v>0</v>
      </c>
      <c r="AC16" s="258">
        <v>0</v>
      </c>
      <c r="AD16" s="258">
        <v>0</v>
      </c>
      <c r="AE16" s="258">
        <v>433.51</v>
      </c>
      <c r="AF16" s="257">
        <f>6238.91*AE16/I16</f>
        <v>2248.9854266589055</v>
      </c>
      <c r="AG16" s="258">
        <v>0</v>
      </c>
      <c r="AH16" s="257">
        <v>0</v>
      </c>
      <c r="AI16" s="258">
        <v>0</v>
      </c>
      <c r="AJ16" s="257">
        <v>0</v>
      </c>
      <c r="AK16" s="258">
        <v>0</v>
      </c>
      <c r="AL16" s="258">
        <v>0</v>
      </c>
      <c r="AM16" s="258">
        <v>0</v>
      </c>
      <c r="AN16" s="258"/>
      <c r="AO16" s="258">
        <v>0</v>
      </c>
    </row>
    <row r="17" spans="1:41" s="259" customFormat="1" ht="36" customHeight="1" x14ac:dyDescent="0.25">
      <c r="A17" s="259">
        <v>1</v>
      </c>
      <c r="B17" s="135">
        <f>SUBTOTAL(103,$A$16:A17)</f>
        <v>2</v>
      </c>
      <c r="C17" s="94" t="s">
        <v>1070</v>
      </c>
      <c r="D17" s="124">
        <v>1959</v>
      </c>
      <c r="E17" s="124"/>
      <c r="F17" s="129" t="s">
        <v>269</v>
      </c>
      <c r="G17" s="124">
        <v>2</v>
      </c>
      <c r="H17" s="124" t="s">
        <v>305</v>
      </c>
      <c r="I17" s="128">
        <v>918.1</v>
      </c>
      <c r="J17" s="128">
        <v>907</v>
      </c>
      <c r="K17" s="128">
        <v>907</v>
      </c>
      <c r="L17" s="126">
        <v>40</v>
      </c>
      <c r="M17" s="124" t="s">
        <v>267</v>
      </c>
      <c r="N17" s="124" t="s">
        <v>271</v>
      </c>
      <c r="O17" s="127" t="s">
        <v>1078</v>
      </c>
      <c r="P17" s="128">
        <v>69778.55</v>
      </c>
      <c r="Q17" s="128">
        <v>0</v>
      </c>
      <c r="R17" s="128">
        <v>0</v>
      </c>
      <c r="S17" s="128">
        <f t="shared" si="1"/>
        <v>69778.55</v>
      </c>
      <c r="T17" s="128">
        <f t="shared" si="0"/>
        <v>76.003213157608101</v>
      </c>
      <c r="U17" s="128">
        <v>76.003213157608101</v>
      </c>
      <c r="V17" s="257">
        <f t="shared" ref="V17:V80" si="2">U17-T17</f>
        <v>0</v>
      </c>
      <c r="W17" s="257">
        <f t="shared" ref="W17:W80" si="3">X17+Y17+Z17+AA17+AB17+AD17+AF17+AH17+AJ17+AL17+AN17+AO17</f>
        <v>3397.7290055549502</v>
      </c>
      <c r="X17" s="257">
        <v>0</v>
      </c>
      <c r="Y17" s="258">
        <v>0</v>
      </c>
      <c r="Z17" s="258">
        <v>0</v>
      </c>
      <c r="AA17" s="258">
        <v>0</v>
      </c>
      <c r="AB17" s="258">
        <v>0</v>
      </c>
      <c r="AC17" s="258">
        <v>0</v>
      </c>
      <c r="AD17" s="258">
        <v>0</v>
      </c>
      <c r="AE17" s="258">
        <v>500</v>
      </c>
      <c r="AF17" s="257">
        <f>6238.91*AE17/I17</f>
        <v>3397.7290055549502</v>
      </c>
      <c r="AG17" s="258">
        <v>0</v>
      </c>
      <c r="AH17" s="257">
        <v>0</v>
      </c>
      <c r="AI17" s="258">
        <v>0</v>
      </c>
      <c r="AJ17" s="257">
        <v>0</v>
      </c>
      <c r="AK17" s="258">
        <v>0</v>
      </c>
      <c r="AL17" s="258">
        <v>0</v>
      </c>
      <c r="AM17" s="258">
        <v>0</v>
      </c>
      <c r="AN17" s="258"/>
      <c r="AO17" s="258">
        <v>0</v>
      </c>
    </row>
    <row r="18" spans="1:41" s="259" customFormat="1" ht="36" customHeight="1" x14ac:dyDescent="0.25">
      <c r="A18" s="259">
        <v>1</v>
      </c>
      <c r="B18" s="135">
        <f>SUBTOTAL(103,$A$16:A18)</f>
        <v>3</v>
      </c>
      <c r="C18" s="94" t="s">
        <v>482</v>
      </c>
      <c r="D18" s="124">
        <v>1992</v>
      </c>
      <c r="E18" s="124"/>
      <c r="F18" s="129" t="s">
        <v>269</v>
      </c>
      <c r="G18" s="124">
        <v>9</v>
      </c>
      <c r="H18" s="124" t="s">
        <v>306</v>
      </c>
      <c r="I18" s="128">
        <v>4744.5</v>
      </c>
      <c r="J18" s="128">
        <v>4743.3999999999996</v>
      </c>
      <c r="K18" s="128">
        <v>4654.5</v>
      </c>
      <c r="L18" s="126">
        <v>252</v>
      </c>
      <c r="M18" s="124" t="s">
        <v>267</v>
      </c>
      <c r="N18" s="124" t="s">
        <v>271</v>
      </c>
      <c r="O18" s="127" t="s">
        <v>350</v>
      </c>
      <c r="P18" s="128">
        <v>1775379.67</v>
      </c>
      <c r="Q18" s="128">
        <v>0</v>
      </c>
      <c r="R18" s="128">
        <v>0</v>
      </c>
      <c r="S18" s="128">
        <f t="shared" si="1"/>
        <v>1775379.67</v>
      </c>
      <c r="T18" s="128">
        <f t="shared" si="0"/>
        <v>374.19742227842761</v>
      </c>
      <c r="U18" s="128">
        <v>518.03140478448734</v>
      </c>
      <c r="V18" s="257">
        <f t="shared" si="2"/>
        <v>143.83398250605973</v>
      </c>
      <c r="W18" s="257">
        <f t="shared" si="3"/>
        <v>518.03140478448734</v>
      </c>
      <c r="X18" s="257">
        <v>0</v>
      </c>
      <c r="Y18" s="258">
        <v>0</v>
      </c>
      <c r="Z18" s="258">
        <v>0</v>
      </c>
      <c r="AA18" s="258">
        <v>0</v>
      </c>
      <c r="AB18" s="258">
        <v>0</v>
      </c>
      <c r="AC18" s="258">
        <v>1</v>
      </c>
      <c r="AD18" s="257">
        <f>2457800*AC18/I18</f>
        <v>518.03140478448734</v>
      </c>
      <c r="AE18" s="258">
        <v>0</v>
      </c>
      <c r="AF18" s="257">
        <v>0</v>
      </c>
      <c r="AG18" s="258">
        <v>0</v>
      </c>
      <c r="AH18" s="257">
        <v>0</v>
      </c>
      <c r="AI18" s="258">
        <v>0</v>
      </c>
      <c r="AJ18" s="257">
        <v>0</v>
      </c>
      <c r="AK18" s="258">
        <v>0</v>
      </c>
      <c r="AL18" s="258">
        <v>0</v>
      </c>
      <c r="AM18" s="258">
        <v>0</v>
      </c>
      <c r="AN18" s="258"/>
      <c r="AO18" s="258">
        <v>0</v>
      </c>
    </row>
    <row r="19" spans="1:41" s="259" customFormat="1" ht="36" customHeight="1" x14ac:dyDescent="0.25">
      <c r="A19" s="259">
        <v>1</v>
      </c>
      <c r="B19" s="135">
        <f>SUBTOTAL(103,$A$16:A19)</f>
        <v>4</v>
      </c>
      <c r="C19" s="94" t="s">
        <v>484</v>
      </c>
      <c r="D19" s="124">
        <v>1978</v>
      </c>
      <c r="E19" s="124"/>
      <c r="F19" s="129" t="s">
        <v>313</v>
      </c>
      <c r="G19" s="124">
        <v>9</v>
      </c>
      <c r="H19" s="124" t="s">
        <v>305</v>
      </c>
      <c r="I19" s="128">
        <v>4430.5</v>
      </c>
      <c r="J19" s="128">
        <v>3929.6</v>
      </c>
      <c r="K19" s="128">
        <v>3929.6</v>
      </c>
      <c r="L19" s="126">
        <v>188</v>
      </c>
      <c r="M19" s="124" t="s">
        <v>267</v>
      </c>
      <c r="N19" s="124" t="s">
        <v>271</v>
      </c>
      <c r="O19" s="127" t="s">
        <v>1078</v>
      </c>
      <c r="P19" s="128">
        <v>2444609.75</v>
      </c>
      <c r="Q19" s="128">
        <v>0</v>
      </c>
      <c r="R19" s="128">
        <v>0</v>
      </c>
      <c r="S19" s="128">
        <f t="shared" si="1"/>
        <v>2444609.75</v>
      </c>
      <c r="T19" s="128">
        <f t="shared" si="0"/>
        <v>551.76836700146714</v>
      </c>
      <c r="U19" s="128">
        <v>893.24101394876413</v>
      </c>
      <c r="V19" s="257">
        <f t="shared" si="2"/>
        <v>341.47264694729699</v>
      </c>
      <c r="W19" s="257">
        <f t="shared" si="3"/>
        <v>890.20465742015563</v>
      </c>
      <c r="X19" s="257">
        <v>0</v>
      </c>
      <c r="Y19" s="258">
        <v>0</v>
      </c>
      <c r="Z19" s="258">
        <v>0</v>
      </c>
      <c r="AA19" s="258">
        <v>0</v>
      </c>
      <c r="AB19" s="258">
        <v>0</v>
      </c>
      <c r="AC19" s="258">
        <v>0</v>
      </c>
      <c r="AD19" s="258">
        <v>0</v>
      </c>
      <c r="AE19" s="258">
        <v>632.16999999999996</v>
      </c>
      <c r="AF19" s="257">
        <f>6238.91*AE19/I19</f>
        <v>890.20465742015563</v>
      </c>
      <c r="AG19" s="258">
        <v>0</v>
      </c>
      <c r="AH19" s="257">
        <v>0</v>
      </c>
      <c r="AI19" s="258">
        <v>0</v>
      </c>
      <c r="AJ19" s="257">
        <v>0</v>
      </c>
      <c r="AK19" s="258">
        <v>0</v>
      </c>
      <c r="AL19" s="258">
        <v>0</v>
      </c>
      <c r="AM19" s="258">
        <v>0</v>
      </c>
      <c r="AN19" s="258"/>
      <c r="AO19" s="258">
        <v>0</v>
      </c>
    </row>
    <row r="20" spans="1:41" s="259" customFormat="1" ht="36" customHeight="1" x14ac:dyDescent="0.25">
      <c r="A20" s="259">
        <v>1</v>
      </c>
      <c r="B20" s="135">
        <f>SUBTOTAL(103,$A$16:A20)</f>
        <v>5</v>
      </c>
      <c r="C20" s="94" t="s">
        <v>485</v>
      </c>
      <c r="D20" s="124">
        <v>1957</v>
      </c>
      <c r="E20" s="124"/>
      <c r="F20" s="129" t="s">
        <v>269</v>
      </c>
      <c r="G20" s="124">
        <v>2</v>
      </c>
      <c r="H20" s="124" t="s">
        <v>306</v>
      </c>
      <c r="I20" s="128">
        <v>731.7</v>
      </c>
      <c r="J20" s="128">
        <v>435.3</v>
      </c>
      <c r="K20" s="128">
        <v>435.3</v>
      </c>
      <c r="L20" s="126">
        <v>18</v>
      </c>
      <c r="M20" s="124" t="s">
        <v>267</v>
      </c>
      <c r="N20" s="124" t="s">
        <v>271</v>
      </c>
      <c r="O20" s="127" t="s">
        <v>1326</v>
      </c>
      <c r="P20" s="128">
        <v>1178315.53</v>
      </c>
      <c r="Q20" s="128">
        <v>0</v>
      </c>
      <c r="R20" s="128">
        <v>0</v>
      </c>
      <c r="S20" s="128">
        <f t="shared" si="1"/>
        <v>1178315.53</v>
      </c>
      <c r="T20" s="128">
        <f t="shared" si="0"/>
        <v>1610.3806614732814</v>
      </c>
      <c r="U20" s="128">
        <v>5081.4024600246003</v>
      </c>
      <c r="V20" s="257">
        <f t="shared" si="2"/>
        <v>3471.0217985513191</v>
      </c>
      <c r="W20" s="257">
        <f t="shared" si="3"/>
        <v>5081.4024600246003</v>
      </c>
      <c r="X20" s="257">
        <v>0</v>
      </c>
      <c r="Y20" s="258">
        <v>0</v>
      </c>
      <c r="Z20" s="258">
        <v>0</v>
      </c>
      <c r="AA20" s="258">
        <v>0</v>
      </c>
      <c r="AB20" s="258">
        <v>0</v>
      </c>
      <c r="AC20" s="258">
        <v>0</v>
      </c>
      <c r="AD20" s="258">
        <v>0</v>
      </c>
      <c r="AE20" s="258">
        <v>0</v>
      </c>
      <c r="AF20" s="257">
        <v>0</v>
      </c>
      <c r="AG20" s="258">
        <v>0</v>
      </c>
      <c r="AH20" s="257">
        <v>0</v>
      </c>
      <c r="AI20" s="258">
        <v>499.8</v>
      </c>
      <c r="AJ20" s="257">
        <f>7439.1*AI20/I20</f>
        <v>5081.4024600246003</v>
      </c>
      <c r="AK20" s="258">
        <v>0</v>
      </c>
      <c r="AL20" s="258">
        <v>0</v>
      </c>
      <c r="AM20" s="258">
        <v>0</v>
      </c>
      <c r="AN20" s="258"/>
      <c r="AO20" s="258">
        <v>0</v>
      </c>
    </row>
    <row r="21" spans="1:41" s="259" customFormat="1" ht="36" customHeight="1" x14ac:dyDescent="0.25">
      <c r="A21" s="259">
        <v>1</v>
      </c>
      <c r="B21" s="135">
        <f>SUBTOTAL(103,$A$16:A21)</f>
        <v>6</v>
      </c>
      <c r="C21" s="94" t="s">
        <v>486</v>
      </c>
      <c r="D21" s="124">
        <v>1986</v>
      </c>
      <c r="E21" s="124"/>
      <c r="F21" s="129" t="s">
        <v>313</v>
      </c>
      <c r="G21" s="124">
        <v>9</v>
      </c>
      <c r="H21" s="124" t="s">
        <v>305</v>
      </c>
      <c r="I21" s="128">
        <v>4300.7</v>
      </c>
      <c r="J21" s="128">
        <v>3861.7</v>
      </c>
      <c r="K21" s="128">
        <v>3861.7</v>
      </c>
      <c r="L21" s="126">
        <v>213</v>
      </c>
      <c r="M21" s="124" t="s">
        <v>267</v>
      </c>
      <c r="N21" s="124" t="s">
        <v>271</v>
      </c>
      <c r="O21" s="127" t="s">
        <v>1093</v>
      </c>
      <c r="P21" s="128">
        <v>1996366.9600000002</v>
      </c>
      <c r="Q21" s="128">
        <v>0</v>
      </c>
      <c r="R21" s="128">
        <v>0</v>
      </c>
      <c r="S21" s="128">
        <f t="shared" si="1"/>
        <v>1996366.9600000002</v>
      </c>
      <c r="T21" s="128">
        <f t="shared" si="0"/>
        <v>464.19581928523269</v>
      </c>
      <c r="U21" s="128">
        <v>890.84016090403884</v>
      </c>
      <c r="V21" s="257">
        <f t="shared" si="2"/>
        <v>426.64434161880615</v>
      </c>
      <c r="W21" s="257">
        <f t="shared" si="3"/>
        <v>934.23350617341373</v>
      </c>
      <c r="X21" s="257">
        <v>0</v>
      </c>
      <c r="Y21" s="258">
        <v>0</v>
      </c>
      <c r="Z21" s="258">
        <v>0</v>
      </c>
      <c r="AA21" s="258">
        <v>0</v>
      </c>
      <c r="AB21" s="258">
        <v>0</v>
      </c>
      <c r="AC21" s="258">
        <v>0</v>
      </c>
      <c r="AD21" s="258">
        <v>0</v>
      </c>
      <c r="AE21" s="258">
        <v>644</v>
      </c>
      <c r="AF21" s="257">
        <f t="shared" ref="AF21:AF28" si="4">6238.91*AE21/I21</f>
        <v>934.23350617341373</v>
      </c>
      <c r="AG21" s="258">
        <v>0</v>
      </c>
      <c r="AH21" s="257">
        <v>0</v>
      </c>
      <c r="AI21" s="258">
        <v>0</v>
      </c>
      <c r="AJ21" s="257">
        <v>0</v>
      </c>
      <c r="AK21" s="258">
        <v>0</v>
      </c>
      <c r="AL21" s="258">
        <v>0</v>
      </c>
      <c r="AM21" s="258">
        <v>0</v>
      </c>
      <c r="AN21" s="258"/>
      <c r="AO21" s="258">
        <v>0</v>
      </c>
    </row>
    <row r="22" spans="1:41" s="259" customFormat="1" ht="36" customHeight="1" x14ac:dyDescent="0.25">
      <c r="A22" s="259">
        <v>1</v>
      </c>
      <c r="B22" s="135">
        <f>SUBTOTAL(103,$A$16:A22)</f>
        <v>7</v>
      </c>
      <c r="C22" s="94" t="s">
        <v>488</v>
      </c>
      <c r="D22" s="124">
        <v>1955</v>
      </c>
      <c r="E22" s="124"/>
      <c r="F22" s="129" t="s">
        <v>269</v>
      </c>
      <c r="G22" s="124">
        <v>3</v>
      </c>
      <c r="H22" s="124" t="s">
        <v>305</v>
      </c>
      <c r="I22" s="128">
        <v>1722.8</v>
      </c>
      <c r="J22" s="128">
        <v>1242.5</v>
      </c>
      <c r="K22" s="128">
        <v>1242.5</v>
      </c>
      <c r="L22" s="126">
        <v>48</v>
      </c>
      <c r="M22" s="124" t="s">
        <v>267</v>
      </c>
      <c r="N22" s="124" t="s">
        <v>271</v>
      </c>
      <c r="O22" s="127" t="s">
        <v>1402</v>
      </c>
      <c r="P22" s="128">
        <v>3053881.53</v>
      </c>
      <c r="Q22" s="128">
        <v>0</v>
      </c>
      <c r="R22" s="128">
        <v>0</v>
      </c>
      <c r="S22" s="128">
        <f t="shared" si="1"/>
        <v>3053881.53</v>
      </c>
      <c r="T22" s="128">
        <f t="shared" si="0"/>
        <v>1772.6268458323659</v>
      </c>
      <c r="U22" s="128">
        <v>2593.2840708729973</v>
      </c>
      <c r="V22" s="257">
        <f t="shared" si="2"/>
        <v>820.65722504063137</v>
      </c>
      <c r="W22" s="257">
        <f t="shared" si="3"/>
        <v>2187.3123055491064</v>
      </c>
      <c r="X22" s="257">
        <v>0</v>
      </c>
      <c r="Y22" s="258">
        <v>0</v>
      </c>
      <c r="Z22" s="258">
        <v>0</v>
      </c>
      <c r="AA22" s="258">
        <v>0</v>
      </c>
      <c r="AB22" s="258">
        <v>0</v>
      </c>
      <c r="AC22" s="258">
        <v>0</v>
      </c>
      <c r="AD22" s="258">
        <v>0</v>
      </c>
      <c r="AE22" s="258">
        <v>604</v>
      </c>
      <c r="AF22" s="257">
        <f t="shared" si="4"/>
        <v>2187.3123055491064</v>
      </c>
      <c r="AG22" s="258">
        <v>0</v>
      </c>
      <c r="AH22" s="257">
        <v>0</v>
      </c>
      <c r="AI22" s="258">
        <v>0</v>
      </c>
      <c r="AJ22" s="257">
        <v>0</v>
      </c>
      <c r="AK22" s="258">
        <v>0</v>
      </c>
      <c r="AL22" s="258">
        <v>0</v>
      </c>
      <c r="AM22" s="258">
        <v>0</v>
      </c>
      <c r="AN22" s="258"/>
      <c r="AO22" s="258">
        <v>0</v>
      </c>
    </row>
    <row r="23" spans="1:41" s="259" customFormat="1" ht="36" customHeight="1" x14ac:dyDescent="0.25">
      <c r="A23" s="259">
        <v>1</v>
      </c>
      <c r="B23" s="135">
        <f>SUBTOTAL(103,$A$16:A23)</f>
        <v>8</v>
      </c>
      <c r="C23" s="94" t="s">
        <v>489</v>
      </c>
      <c r="D23" s="124">
        <v>1990</v>
      </c>
      <c r="E23" s="124"/>
      <c r="F23" s="129" t="s">
        <v>269</v>
      </c>
      <c r="G23" s="124">
        <v>3</v>
      </c>
      <c r="H23" s="124" t="s">
        <v>306</v>
      </c>
      <c r="I23" s="128">
        <v>620.29999999999995</v>
      </c>
      <c r="J23" s="128">
        <v>538.5</v>
      </c>
      <c r="K23" s="128">
        <v>538.5</v>
      </c>
      <c r="L23" s="126">
        <v>18</v>
      </c>
      <c r="M23" s="124" t="s">
        <v>267</v>
      </c>
      <c r="N23" s="124" t="s">
        <v>271</v>
      </c>
      <c r="O23" s="127" t="s">
        <v>351</v>
      </c>
      <c r="P23" s="128">
        <v>2008550.03</v>
      </c>
      <c r="Q23" s="128">
        <v>0</v>
      </c>
      <c r="R23" s="128">
        <v>0</v>
      </c>
      <c r="S23" s="128">
        <f t="shared" si="1"/>
        <v>2008550.03</v>
      </c>
      <c r="T23" s="128">
        <f t="shared" si="0"/>
        <v>3238.0300338545867</v>
      </c>
      <c r="U23" s="128">
        <v>5964.4886184104462</v>
      </c>
      <c r="V23" s="257">
        <f t="shared" si="2"/>
        <v>2726.4585845558595</v>
      </c>
      <c r="W23" s="257">
        <f t="shared" si="3"/>
        <v>5944.2137836530719</v>
      </c>
      <c r="X23" s="257">
        <v>0</v>
      </c>
      <c r="Y23" s="258">
        <v>0</v>
      </c>
      <c r="Z23" s="258">
        <v>0</v>
      </c>
      <c r="AA23" s="258">
        <v>0</v>
      </c>
      <c r="AB23" s="258">
        <v>0</v>
      </c>
      <c r="AC23" s="258">
        <v>0</v>
      </c>
      <c r="AD23" s="258">
        <v>0</v>
      </c>
      <c r="AE23" s="258">
        <v>591</v>
      </c>
      <c r="AF23" s="257">
        <f t="shared" si="4"/>
        <v>5944.2137836530719</v>
      </c>
      <c r="AG23" s="258">
        <v>0</v>
      </c>
      <c r="AH23" s="257">
        <v>0</v>
      </c>
      <c r="AI23" s="258">
        <v>0</v>
      </c>
      <c r="AJ23" s="257">
        <v>0</v>
      </c>
      <c r="AK23" s="258">
        <v>0</v>
      </c>
      <c r="AL23" s="258">
        <v>0</v>
      </c>
      <c r="AM23" s="258">
        <v>0</v>
      </c>
      <c r="AN23" s="258"/>
      <c r="AO23" s="258">
        <v>0</v>
      </c>
    </row>
    <row r="24" spans="1:41" s="259" customFormat="1" ht="36" customHeight="1" x14ac:dyDescent="0.25">
      <c r="A24" s="259">
        <v>1</v>
      </c>
      <c r="B24" s="135">
        <f>SUBTOTAL(103,$A$16:A24)</f>
        <v>9</v>
      </c>
      <c r="C24" s="94" t="s">
        <v>490</v>
      </c>
      <c r="D24" s="124">
        <v>1989</v>
      </c>
      <c r="E24" s="124"/>
      <c r="F24" s="129" t="s">
        <v>269</v>
      </c>
      <c r="G24" s="124">
        <v>5</v>
      </c>
      <c r="H24" s="124" t="s">
        <v>314</v>
      </c>
      <c r="I24" s="128">
        <v>2454.8000000000002</v>
      </c>
      <c r="J24" s="128">
        <v>1816.2</v>
      </c>
      <c r="K24" s="128">
        <v>1749.1</v>
      </c>
      <c r="L24" s="126">
        <v>71</v>
      </c>
      <c r="M24" s="124" t="s">
        <v>267</v>
      </c>
      <c r="N24" s="124" t="s">
        <v>271</v>
      </c>
      <c r="O24" s="127" t="s">
        <v>1387</v>
      </c>
      <c r="P24" s="128">
        <v>98784.97</v>
      </c>
      <c r="Q24" s="128">
        <v>0</v>
      </c>
      <c r="R24" s="128">
        <v>0</v>
      </c>
      <c r="S24" s="128">
        <f t="shared" si="1"/>
        <v>98784.97</v>
      </c>
      <c r="T24" s="128">
        <f t="shared" si="0"/>
        <v>40.241555320189015</v>
      </c>
      <c r="U24" s="128">
        <v>40.241555320189015</v>
      </c>
      <c r="V24" s="257">
        <f t="shared" si="2"/>
        <v>0</v>
      </c>
      <c r="W24" s="257">
        <f t="shared" si="3"/>
        <v>1761.2696064852532</v>
      </c>
      <c r="X24" s="257">
        <v>0</v>
      </c>
      <c r="Y24" s="258">
        <v>0</v>
      </c>
      <c r="Z24" s="258">
        <v>0</v>
      </c>
      <c r="AA24" s="258">
        <v>0</v>
      </c>
      <c r="AB24" s="258">
        <v>0</v>
      </c>
      <c r="AC24" s="258">
        <v>0</v>
      </c>
      <c r="AD24" s="258">
        <v>0</v>
      </c>
      <c r="AE24" s="258">
        <v>693</v>
      </c>
      <c r="AF24" s="257">
        <f t="shared" si="4"/>
        <v>1761.2696064852532</v>
      </c>
      <c r="AG24" s="258">
        <v>0</v>
      </c>
      <c r="AH24" s="257">
        <v>0</v>
      </c>
      <c r="AI24" s="258">
        <v>0</v>
      </c>
      <c r="AJ24" s="257">
        <v>0</v>
      </c>
      <c r="AK24" s="258">
        <v>0</v>
      </c>
      <c r="AL24" s="258">
        <v>0</v>
      </c>
      <c r="AM24" s="258">
        <v>0</v>
      </c>
      <c r="AN24" s="258"/>
      <c r="AO24" s="258">
        <v>0</v>
      </c>
    </row>
    <row r="25" spans="1:41" s="259" customFormat="1" ht="36" customHeight="1" x14ac:dyDescent="0.25">
      <c r="A25" s="259">
        <v>1</v>
      </c>
      <c r="B25" s="135">
        <f>SUBTOTAL(103,$A$16:A25)</f>
        <v>10</v>
      </c>
      <c r="C25" s="94" t="s">
        <v>491</v>
      </c>
      <c r="D25" s="124">
        <v>1995</v>
      </c>
      <c r="E25" s="124"/>
      <c r="F25" s="129" t="s">
        <v>269</v>
      </c>
      <c r="G25" s="124">
        <v>9</v>
      </c>
      <c r="H25" s="124" t="s">
        <v>306</v>
      </c>
      <c r="I25" s="128">
        <v>5292.9</v>
      </c>
      <c r="J25" s="128">
        <v>2692.2</v>
      </c>
      <c r="K25" s="128">
        <v>2257.3000000000002</v>
      </c>
      <c r="L25" s="126">
        <v>203</v>
      </c>
      <c r="M25" s="124" t="s">
        <v>267</v>
      </c>
      <c r="N25" s="124" t="s">
        <v>271</v>
      </c>
      <c r="O25" s="127" t="s">
        <v>1400</v>
      </c>
      <c r="P25" s="128">
        <v>3124667</v>
      </c>
      <c r="Q25" s="128">
        <v>0</v>
      </c>
      <c r="R25" s="128">
        <v>0</v>
      </c>
      <c r="S25" s="128">
        <f t="shared" si="1"/>
        <v>3124667</v>
      </c>
      <c r="T25" s="128">
        <f t="shared" si="0"/>
        <v>590.35065842921654</v>
      </c>
      <c r="U25" s="128">
        <v>1288.9635288783086</v>
      </c>
      <c r="V25" s="257">
        <f t="shared" si="2"/>
        <v>698.61287044909204</v>
      </c>
      <c r="W25" s="257">
        <f t="shared" si="3"/>
        <v>1284.5820094844037</v>
      </c>
      <c r="X25" s="257">
        <v>0</v>
      </c>
      <c r="Y25" s="258">
        <v>0</v>
      </c>
      <c r="Z25" s="258">
        <v>0</v>
      </c>
      <c r="AA25" s="258">
        <v>0</v>
      </c>
      <c r="AB25" s="258">
        <v>0</v>
      </c>
      <c r="AC25" s="258">
        <v>0</v>
      </c>
      <c r="AD25" s="258">
        <v>0</v>
      </c>
      <c r="AE25" s="258">
        <v>1089.8</v>
      </c>
      <c r="AF25" s="257">
        <f t="shared" si="4"/>
        <v>1284.5820094844037</v>
      </c>
      <c r="AG25" s="258">
        <v>0</v>
      </c>
      <c r="AH25" s="257">
        <v>0</v>
      </c>
      <c r="AI25" s="258">
        <v>0</v>
      </c>
      <c r="AJ25" s="257">
        <v>0</v>
      </c>
      <c r="AK25" s="258">
        <v>0</v>
      </c>
      <c r="AL25" s="258">
        <v>0</v>
      </c>
      <c r="AM25" s="258">
        <v>0</v>
      </c>
      <c r="AN25" s="258"/>
      <c r="AO25" s="258">
        <v>0</v>
      </c>
    </row>
    <row r="26" spans="1:41" s="259" customFormat="1" ht="36" customHeight="1" x14ac:dyDescent="0.25">
      <c r="A26" s="259">
        <v>1</v>
      </c>
      <c r="B26" s="135">
        <f>SUBTOTAL(103,$A$16:A26)</f>
        <v>11</v>
      </c>
      <c r="C26" s="94" t="s">
        <v>492</v>
      </c>
      <c r="D26" s="124">
        <v>1962</v>
      </c>
      <c r="E26" s="124"/>
      <c r="F26" s="129" t="s">
        <v>269</v>
      </c>
      <c r="G26" s="124">
        <v>3</v>
      </c>
      <c r="H26" s="124" t="s">
        <v>314</v>
      </c>
      <c r="I26" s="128">
        <v>2721.6</v>
      </c>
      <c r="J26" s="128">
        <v>1752.6</v>
      </c>
      <c r="K26" s="128">
        <v>1752.6</v>
      </c>
      <c r="L26" s="126">
        <v>82</v>
      </c>
      <c r="M26" s="124" t="s">
        <v>267</v>
      </c>
      <c r="N26" s="124" t="s">
        <v>271</v>
      </c>
      <c r="O26" s="127" t="s">
        <v>1326</v>
      </c>
      <c r="P26" s="128">
        <v>89397.8</v>
      </c>
      <c r="Q26" s="128">
        <v>0</v>
      </c>
      <c r="R26" s="128">
        <v>0</v>
      </c>
      <c r="S26" s="128">
        <f t="shared" si="1"/>
        <v>89397.8</v>
      </c>
      <c r="T26" s="128">
        <f t="shared" si="0"/>
        <v>32.847516166960617</v>
      </c>
      <c r="U26" s="128">
        <v>32.847516166960617</v>
      </c>
      <c r="V26" s="257">
        <f t="shared" si="2"/>
        <v>0</v>
      </c>
      <c r="W26" s="257">
        <f t="shared" si="3"/>
        <v>2171.7898787477952</v>
      </c>
      <c r="X26" s="257">
        <v>0</v>
      </c>
      <c r="Y26" s="258">
        <v>0</v>
      </c>
      <c r="Z26" s="258">
        <v>0</v>
      </c>
      <c r="AA26" s="258">
        <v>0</v>
      </c>
      <c r="AB26" s="258">
        <v>0</v>
      </c>
      <c r="AC26" s="258">
        <v>0</v>
      </c>
      <c r="AD26" s="258">
        <v>0</v>
      </c>
      <c r="AE26" s="258">
        <v>947.4</v>
      </c>
      <c r="AF26" s="257">
        <f t="shared" si="4"/>
        <v>2171.7898787477952</v>
      </c>
      <c r="AG26" s="258">
        <v>0</v>
      </c>
      <c r="AH26" s="257">
        <v>0</v>
      </c>
      <c r="AI26" s="258">
        <v>0</v>
      </c>
      <c r="AJ26" s="257">
        <v>0</v>
      </c>
      <c r="AK26" s="258">
        <v>0</v>
      </c>
      <c r="AL26" s="258">
        <v>0</v>
      </c>
      <c r="AM26" s="258">
        <v>0</v>
      </c>
      <c r="AN26" s="258"/>
      <c r="AO26" s="258">
        <v>0</v>
      </c>
    </row>
    <row r="27" spans="1:41" s="259" customFormat="1" ht="36" customHeight="1" x14ac:dyDescent="0.25">
      <c r="A27" s="259">
        <v>1</v>
      </c>
      <c r="B27" s="135">
        <f>SUBTOTAL(103,$A$16:A27)</f>
        <v>12</v>
      </c>
      <c r="C27" s="94" t="s">
        <v>494</v>
      </c>
      <c r="D27" s="124">
        <v>1994</v>
      </c>
      <c r="E27" s="124"/>
      <c r="F27" s="129" t="s">
        <v>269</v>
      </c>
      <c r="G27" s="124">
        <v>6</v>
      </c>
      <c r="H27" s="124" t="s">
        <v>310</v>
      </c>
      <c r="I27" s="128">
        <v>3988.5</v>
      </c>
      <c r="J27" s="128">
        <v>2905.1</v>
      </c>
      <c r="K27" s="128">
        <v>2905.1</v>
      </c>
      <c r="L27" s="126">
        <v>142</v>
      </c>
      <c r="M27" s="124" t="s">
        <v>267</v>
      </c>
      <c r="N27" s="124" t="s">
        <v>271</v>
      </c>
      <c r="O27" s="127" t="s">
        <v>1093</v>
      </c>
      <c r="P27" s="128">
        <v>2353912.86</v>
      </c>
      <c r="Q27" s="128">
        <v>0</v>
      </c>
      <c r="R27" s="128">
        <v>0</v>
      </c>
      <c r="S27" s="128">
        <f t="shared" si="1"/>
        <v>2353912.86</v>
      </c>
      <c r="T27" s="128">
        <f t="shared" si="0"/>
        <v>590.17496803309507</v>
      </c>
      <c r="U27" s="128">
        <v>1162.2120820609252</v>
      </c>
      <c r="V27" s="257">
        <f t="shared" si="2"/>
        <v>572.03711402783017</v>
      </c>
      <c r="W27" s="257">
        <f t="shared" si="3"/>
        <v>1191.1570678199823</v>
      </c>
      <c r="X27" s="257">
        <v>0</v>
      </c>
      <c r="Y27" s="258">
        <v>0</v>
      </c>
      <c r="Z27" s="258">
        <v>0</v>
      </c>
      <c r="AA27" s="258">
        <v>0</v>
      </c>
      <c r="AB27" s="258">
        <v>0</v>
      </c>
      <c r="AC27" s="258">
        <v>0</v>
      </c>
      <c r="AD27" s="258">
        <v>0</v>
      </c>
      <c r="AE27" s="258">
        <v>761.5</v>
      </c>
      <c r="AF27" s="257">
        <f t="shared" si="4"/>
        <v>1191.1570678199823</v>
      </c>
      <c r="AG27" s="258">
        <v>0</v>
      </c>
      <c r="AH27" s="257">
        <v>0</v>
      </c>
      <c r="AI27" s="258">
        <v>0</v>
      </c>
      <c r="AJ27" s="257">
        <v>0</v>
      </c>
      <c r="AK27" s="258">
        <v>0</v>
      </c>
      <c r="AL27" s="258">
        <v>0</v>
      </c>
      <c r="AM27" s="258">
        <v>0</v>
      </c>
      <c r="AN27" s="258"/>
      <c r="AO27" s="258">
        <v>0</v>
      </c>
    </row>
    <row r="28" spans="1:41" s="259" customFormat="1" ht="36" customHeight="1" x14ac:dyDescent="0.25">
      <c r="A28" s="259">
        <v>1</v>
      </c>
      <c r="B28" s="135">
        <f>SUBTOTAL(103,$A$16:A28)</f>
        <v>13</v>
      </c>
      <c r="C28" s="94" t="s">
        <v>495</v>
      </c>
      <c r="D28" s="124">
        <v>1993</v>
      </c>
      <c r="E28" s="124"/>
      <c r="F28" s="129" t="s">
        <v>269</v>
      </c>
      <c r="G28" s="124">
        <v>9</v>
      </c>
      <c r="H28" s="124" t="s">
        <v>314</v>
      </c>
      <c r="I28" s="128">
        <v>6478</v>
      </c>
      <c r="J28" s="128">
        <v>6478</v>
      </c>
      <c r="K28" s="128">
        <v>6359.4</v>
      </c>
      <c r="L28" s="126">
        <v>358</v>
      </c>
      <c r="M28" s="124" t="s">
        <v>267</v>
      </c>
      <c r="N28" s="124" t="s">
        <v>271</v>
      </c>
      <c r="O28" s="127" t="s">
        <v>350</v>
      </c>
      <c r="P28" s="128">
        <v>2593330.65</v>
      </c>
      <c r="Q28" s="128">
        <v>0</v>
      </c>
      <c r="R28" s="128">
        <v>0</v>
      </c>
      <c r="S28" s="128">
        <f t="shared" si="1"/>
        <v>2593330.65</v>
      </c>
      <c r="T28" s="128">
        <f t="shared" si="0"/>
        <v>400.32890552639702</v>
      </c>
      <c r="U28" s="128">
        <v>908.39435010805801</v>
      </c>
      <c r="V28" s="257">
        <f t="shared" si="2"/>
        <v>508.06544458166098</v>
      </c>
      <c r="W28" s="257">
        <f t="shared" si="3"/>
        <v>905.30648348255625</v>
      </c>
      <c r="X28" s="257">
        <v>0</v>
      </c>
      <c r="Y28" s="258">
        <v>0</v>
      </c>
      <c r="Z28" s="258">
        <v>0</v>
      </c>
      <c r="AA28" s="258">
        <v>0</v>
      </c>
      <c r="AB28" s="258">
        <v>0</v>
      </c>
      <c r="AC28" s="258">
        <v>0</v>
      </c>
      <c r="AD28" s="258">
        <v>0</v>
      </c>
      <c r="AE28" s="258">
        <v>940</v>
      </c>
      <c r="AF28" s="257">
        <f t="shared" si="4"/>
        <v>905.30648348255625</v>
      </c>
      <c r="AG28" s="258">
        <v>0</v>
      </c>
      <c r="AH28" s="257">
        <v>0</v>
      </c>
      <c r="AI28" s="258">
        <v>0</v>
      </c>
      <c r="AJ28" s="257">
        <v>0</v>
      </c>
      <c r="AK28" s="258">
        <v>0</v>
      </c>
      <c r="AL28" s="258">
        <v>0</v>
      </c>
      <c r="AM28" s="258">
        <v>0</v>
      </c>
      <c r="AN28" s="258"/>
      <c r="AO28" s="258">
        <v>0</v>
      </c>
    </row>
    <row r="29" spans="1:41" s="259" customFormat="1" ht="36" customHeight="1" x14ac:dyDescent="0.25">
      <c r="A29" s="259">
        <v>1</v>
      </c>
      <c r="B29" s="135">
        <f>SUBTOTAL(103,$A$16:A29)</f>
        <v>14</v>
      </c>
      <c r="C29" s="94" t="s">
        <v>496</v>
      </c>
      <c r="D29" s="124">
        <v>1992</v>
      </c>
      <c r="E29" s="124"/>
      <c r="F29" s="129" t="s">
        <v>313</v>
      </c>
      <c r="G29" s="124">
        <v>9</v>
      </c>
      <c r="H29" s="124" t="s">
        <v>2293</v>
      </c>
      <c r="I29" s="128">
        <v>14455.8</v>
      </c>
      <c r="J29" s="128">
        <v>14455.7</v>
      </c>
      <c r="K29" s="128">
        <v>14455.7</v>
      </c>
      <c r="L29" s="126">
        <v>689</v>
      </c>
      <c r="M29" s="124" t="s">
        <v>267</v>
      </c>
      <c r="N29" s="124" t="s">
        <v>271</v>
      </c>
      <c r="O29" s="127" t="s">
        <v>350</v>
      </c>
      <c r="P29" s="128">
        <v>14343008.560000001</v>
      </c>
      <c r="Q29" s="128">
        <v>0</v>
      </c>
      <c r="R29" s="128">
        <v>0</v>
      </c>
      <c r="S29" s="128">
        <f t="shared" si="1"/>
        <v>14343008.560000001</v>
      </c>
      <c r="T29" s="128">
        <f t="shared" si="0"/>
        <v>992.1974958148287</v>
      </c>
      <c r="U29" s="128">
        <v>1360.1737710815037</v>
      </c>
      <c r="V29" s="257">
        <f t="shared" si="2"/>
        <v>367.97627526667497</v>
      </c>
      <c r="W29" s="257">
        <f t="shared" si="3"/>
        <v>1360.1737710815037</v>
      </c>
      <c r="X29" s="257">
        <v>0</v>
      </c>
      <c r="Y29" s="258">
        <v>0</v>
      </c>
      <c r="Z29" s="258">
        <v>0</v>
      </c>
      <c r="AA29" s="258">
        <v>0</v>
      </c>
      <c r="AB29" s="258">
        <v>0</v>
      </c>
      <c r="AC29" s="258">
        <v>8</v>
      </c>
      <c r="AD29" s="257">
        <f>2457800*AC29/I29</f>
        <v>1360.1737710815037</v>
      </c>
      <c r="AE29" s="258">
        <v>0</v>
      </c>
      <c r="AF29" s="257">
        <v>0</v>
      </c>
      <c r="AG29" s="258">
        <v>0</v>
      </c>
      <c r="AH29" s="257">
        <v>0</v>
      </c>
      <c r="AI29" s="258">
        <v>0</v>
      </c>
      <c r="AJ29" s="257">
        <v>0</v>
      </c>
      <c r="AK29" s="258">
        <v>0</v>
      </c>
      <c r="AL29" s="258">
        <v>0</v>
      </c>
      <c r="AM29" s="258">
        <v>0</v>
      </c>
      <c r="AN29" s="258"/>
      <c r="AO29" s="258">
        <v>0</v>
      </c>
    </row>
    <row r="30" spans="1:41" s="259" customFormat="1" ht="36" customHeight="1" x14ac:dyDescent="0.25">
      <c r="A30" s="259">
        <v>1</v>
      </c>
      <c r="B30" s="135">
        <f>SUBTOTAL(103,$A$16:A30)</f>
        <v>15</v>
      </c>
      <c r="C30" s="94" t="s">
        <v>497</v>
      </c>
      <c r="D30" s="124">
        <v>1978</v>
      </c>
      <c r="E30" s="124"/>
      <c r="F30" s="129" t="s">
        <v>269</v>
      </c>
      <c r="G30" s="124">
        <v>5</v>
      </c>
      <c r="H30" s="124" t="s">
        <v>306</v>
      </c>
      <c r="I30" s="128">
        <v>1058.5</v>
      </c>
      <c r="J30" s="128">
        <v>777.2</v>
      </c>
      <c r="K30" s="128">
        <v>583.20000000000005</v>
      </c>
      <c r="L30" s="126">
        <v>37</v>
      </c>
      <c r="M30" s="124" t="s">
        <v>267</v>
      </c>
      <c r="N30" s="124" t="s">
        <v>271</v>
      </c>
      <c r="O30" s="127" t="s">
        <v>350</v>
      </c>
      <c r="P30" s="128">
        <v>721831.31</v>
      </c>
      <c r="Q30" s="128">
        <v>0</v>
      </c>
      <c r="R30" s="128">
        <v>0</v>
      </c>
      <c r="S30" s="128">
        <f t="shared" si="1"/>
        <v>721831.31</v>
      </c>
      <c r="T30" s="128">
        <f t="shared" si="0"/>
        <v>681.93794048181394</v>
      </c>
      <c r="U30" s="128">
        <v>1478.5521965044875</v>
      </c>
      <c r="V30" s="257">
        <f t="shared" si="2"/>
        <v>796.61425602267354</v>
      </c>
      <c r="W30" s="257">
        <f t="shared" si="3"/>
        <v>1856.996678885215</v>
      </c>
      <c r="X30" s="257">
        <v>0</v>
      </c>
      <c r="Y30" s="258">
        <v>0</v>
      </c>
      <c r="Z30" s="258">
        <v>0</v>
      </c>
      <c r="AA30" s="258">
        <v>0</v>
      </c>
      <c r="AB30" s="258">
        <v>0</v>
      </c>
      <c r="AC30" s="258">
        <v>0</v>
      </c>
      <c r="AD30" s="258">
        <v>0</v>
      </c>
      <c r="AE30" s="258">
        <v>315.06</v>
      </c>
      <c r="AF30" s="257">
        <f>6238.91*AE30/I30</f>
        <v>1856.996678885215</v>
      </c>
      <c r="AG30" s="258">
        <v>0</v>
      </c>
      <c r="AH30" s="257">
        <v>0</v>
      </c>
      <c r="AI30" s="258">
        <v>0</v>
      </c>
      <c r="AJ30" s="257">
        <v>0</v>
      </c>
      <c r="AK30" s="258">
        <v>0</v>
      </c>
      <c r="AL30" s="258">
        <v>0</v>
      </c>
      <c r="AM30" s="258">
        <v>0</v>
      </c>
      <c r="AN30" s="258"/>
      <c r="AO30" s="258">
        <v>0</v>
      </c>
    </row>
    <row r="31" spans="1:41" s="259" customFormat="1" ht="36" customHeight="1" x14ac:dyDescent="0.25">
      <c r="A31" s="259">
        <v>1</v>
      </c>
      <c r="B31" s="135">
        <f>SUBTOTAL(103,$A$16:A31)</f>
        <v>16</v>
      </c>
      <c r="C31" s="94" t="s">
        <v>502</v>
      </c>
      <c r="D31" s="124">
        <v>1968</v>
      </c>
      <c r="E31" s="124"/>
      <c r="F31" s="129" t="s">
        <v>269</v>
      </c>
      <c r="G31" s="124">
        <v>5</v>
      </c>
      <c r="H31" s="124" t="s">
        <v>353</v>
      </c>
      <c r="I31" s="128">
        <v>6224.9</v>
      </c>
      <c r="J31" s="128">
        <v>4706.8</v>
      </c>
      <c r="K31" s="128">
        <v>3495.5</v>
      </c>
      <c r="L31" s="126">
        <v>225</v>
      </c>
      <c r="M31" s="124" t="s">
        <v>267</v>
      </c>
      <c r="N31" s="124" t="s">
        <v>271</v>
      </c>
      <c r="O31" s="127" t="s">
        <v>1388</v>
      </c>
      <c r="P31" s="128">
        <v>4205685.74</v>
      </c>
      <c r="Q31" s="128">
        <v>0</v>
      </c>
      <c r="R31" s="128">
        <v>0</v>
      </c>
      <c r="S31" s="128">
        <f t="shared" si="1"/>
        <v>4205685.74</v>
      </c>
      <c r="T31" s="128">
        <f t="shared" si="0"/>
        <v>675.6230204501278</v>
      </c>
      <c r="U31" s="128">
        <v>1106.2360841138011</v>
      </c>
      <c r="V31" s="257">
        <f t="shared" si="2"/>
        <v>430.6130636636733</v>
      </c>
      <c r="W31" s="257">
        <f t="shared" si="3"/>
        <v>801.80051085158004</v>
      </c>
      <c r="X31" s="257">
        <v>0</v>
      </c>
      <c r="Y31" s="258">
        <v>0</v>
      </c>
      <c r="Z31" s="258">
        <v>0</v>
      </c>
      <c r="AA31" s="258">
        <v>0</v>
      </c>
      <c r="AB31" s="258">
        <v>0</v>
      </c>
      <c r="AC31" s="258">
        <v>0</v>
      </c>
      <c r="AD31" s="258">
        <v>0</v>
      </c>
      <c r="AE31" s="258">
        <v>800</v>
      </c>
      <c r="AF31" s="257">
        <f>6238.91*AE31/I31</f>
        <v>801.80051085158004</v>
      </c>
      <c r="AG31" s="258">
        <v>0</v>
      </c>
      <c r="AH31" s="257">
        <v>0</v>
      </c>
      <c r="AI31" s="258">
        <v>0</v>
      </c>
      <c r="AJ31" s="257">
        <v>0</v>
      </c>
      <c r="AK31" s="258">
        <v>0</v>
      </c>
      <c r="AL31" s="258">
        <v>0</v>
      </c>
      <c r="AM31" s="258">
        <v>0</v>
      </c>
      <c r="AN31" s="258"/>
      <c r="AO31" s="258">
        <v>0</v>
      </c>
    </row>
    <row r="32" spans="1:41" s="259" customFormat="1" ht="36" customHeight="1" x14ac:dyDescent="0.25">
      <c r="A32" s="259">
        <v>1</v>
      </c>
      <c r="B32" s="135">
        <f>SUBTOTAL(103,$A$16:A32)</f>
        <v>17</v>
      </c>
      <c r="C32" s="94" t="s">
        <v>1639</v>
      </c>
      <c r="D32" s="124">
        <v>1988</v>
      </c>
      <c r="E32" s="124"/>
      <c r="F32" s="129" t="s">
        <v>313</v>
      </c>
      <c r="G32" s="124">
        <v>5</v>
      </c>
      <c r="H32" s="124" t="s">
        <v>314</v>
      </c>
      <c r="I32" s="128">
        <v>2989.1</v>
      </c>
      <c r="J32" s="128">
        <v>2076.5</v>
      </c>
      <c r="K32" s="128">
        <v>2076.5</v>
      </c>
      <c r="L32" s="126">
        <v>97</v>
      </c>
      <c r="M32" s="124" t="s">
        <v>267</v>
      </c>
      <c r="N32" s="124" t="s">
        <v>271</v>
      </c>
      <c r="O32" s="127" t="s">
        <v>1388</v>
      </c>
      <c r="P32" s="128">
        <v>2349201.9300000002</v>
      </c>
      <c r="Q32" s="128">
        <v>0</v>
      </c>
      <c r="R32" s="128">
        <v>0</v>
      </c>
      <c r="S32" s="128">
        <f t="shared" si="1"/>
        <v>2349201.9300000002</v>
      </c>
      <c r="T32" s="128">
        <f t="shared" si="0"/>
        <v>785.9228296142652</v>
      </c>
      <c r="U32" s="128">
        <v>1312.3968624669633</v>
      </c>
      <c r="V32" s="257">
        <f t="shared" si="2"/>
        <v>526.47403285269809</v>
      </c>
      <c r="W32" s="257">
        <f t="shared" si="3"/>
        <v>2295.9422568666155</v>
      </c>
      <c r="X32" s="257">
        <v>0</v>
      </c>
      <c r="Y32" s="258">
        <v>0</v>
      </c>
      <c r="Z32" s="258">
        <v>0</v>
      </c>
      <c r="AA32" s="258">
        <v>0</v>
      </c>
      <c r="AB32" s="258">
        <v>0</v>
      </c>
      <c r="AC32" s="258">
        <v>0</v>
      </c>
      <c r="AD32" s="258">
        <v>0</v>
      </c>
      <c r="AE32" s="258">
        <v>1100</v>
      </c>
      <c r="AF32" s="257">
        <f>6238.91*AE32/I32</f>
        <v>2295.9422568666155</v>
      </c>
      <c r="AG32" s="258">
        <v>0</v>
      </c>
      <c r="AH32" s="257">
        <v>0</v>
      </c>
      <c r="AI32" s="258">
        <v>0</v>
      </c>
      <c r="AJ32" s="257">
        <v>0</v>
      </c>
      <c r="AK32" s="258">
        <v>0</v>
      </c>
      <c r="AL32" s="258">
        <v>0</v>
      </c>
      <c r="AM32" s="258">
        <v>0</v>
      </c>
      <c r="AN32" s="258"/>
      <c r="AO32" s="258">
        <v>0</v>
      </c>
    </row>
    <row r="33" spans="1:41" s="259" customFormat="1" ht="36" customHeight="1" x14ac:dyDescent="0.25">
      <c r="A33" s="259">
        <v>1</v>
      </c>
      <c r="B33" s="135">
        <f>SUBTOTAL(103,$A$16:A33)</f>
        <v>18</v>
      </c>
      <c r="C33" s="94" t="s">
        <v>503</v>
      </c>
      <c r="D33" s="124">
        <v>1988</v>
      </c>
      <c r="E33" s="124"/>
      <c r="F33" s="129" t="s">
        <v>269</v>
      </c>
      <c r="G33" s="124">
        <v>5</v>
      </c>
      <c r="H33" s="124" t="s">
        <v>314</v>
      </c>
      <c r="I33" s="128">
        <v>4166.5</v>
      </c>
      <c r="J33" s="128">
        <v>3487.5</v>
      </c>
      <c r="K33" s="128">
        <v>3487.5</v>
      </c>
      <c r="L33" s="126">
        <v>156</v>
      </c>
      <c r="M33" s="124" t="s">
        <v>267</v>
      </c>
      <c r="N33" s="124" t="s">
        <v>271</v>
      </c>
      <c r="O33" s="127" t="s">
        <v>1403</v>
      </c>
      <c r="P33" s="128">
        <v>2988276</v>
      </c>
      <c r="Q33" s="128">
        <v>0</v>
      </c>
      <c r="R33" s="128">
        <v>0</v>
      </c>
      <c r="S33" s="128">
        <f t="shared" si="1"/>
        <v>2988276</v>
      </c>
      <c r="T33" s="128">
        <f t="shared" si="0"/>
        <v>717.21492859714385</v>
      </c>
      <c r="U33" s="128">
        <v>1472.4555862234488</v>
      </c>
      <c r="V33" s="257">
        <f t="shared" si="2"/>
        <v>755.24065762630494</v>
      </c>
      <c r="W33" s="257">
        <f t="shared" si="3"/>
        <v>938.32966816272642</v>
      </c>
      <c r="X33" s="257">
        <v>0</v>
      </c>
      <c r="Y33" s="258">
        <v>0</v>
      </c>
      <c r="Z33" s="258">
        <v>0</v>
      </c>
      <c r="AA33" s="258">
        <v>0</v>
      </c>
      <c r="AB33" s="258">
        <v>0</v>
      </c>
      <c r="AC33" s="258">
        <v>0</v>
      </c>
      <c r="AD33" s="258">
        <v>0</v>
      </c>
      <c r="AE33" s="258">
        <v>626.64</v>
      </c>
      <c r="AF33" s="257">
        <f>6238.91*AE33/I33</f>
        <v>938.32966816272642</v>
      </c>
      <c r="AG33" s="258">
        <v>0</v>
      </c>
      <c r="AH33" s="257">
        <v>0</v>
      </c>
      <c r="AI33" s="258">
        <v>0</v>
      </c>
      <c r="AJ33" s="257">
        <v>0</v>
      </c>
      <c r="AK33" s="258">
        <v>0</v>
      </c>
      <c r="AL33" s="258">
        <v>0</v>
      </c>
      <c r="AM33" s="258">
        <v>0</v>
      </c>
      <c r="AN33" s="258"/>
      <c r="AO33" s="258">
        <v>0</v>
      </c>
    </row>
    <row r="34" spans="1:41" s="259" customFormat="1" ht="36" customHeight="1" x14ac:dyDescent="0.25">
      <c r="A34" s="259">
        <v>1</v>
      </c>
      <c r="B34" s="135">
        <f>SUBTOTAL(103,$A$16:A34)</f>
        <v>19</v>
      </c>
      <c r="C34" s="94" t="s">
        <v>505</v>
      </c>
      <c r="D34" s="124">
        <v>1985</v>
      </c>
      <c r="E34" s="124"/>
      <c r="F34" s="129" t="s">
        <v>313</v>
      </c>
      <c r="G34" s="124">
        <v>2</v>
      </c>
      <c r="H34" s="124" t="s">
        <v>305</v>
      </c>
      <c r="I34" s="128">
        <v>617.79999999999995</v>
      </c>
      <c r="J34" s="128">
        <v>560.5</v>
      </c>
      <c r="K34" s="128">
        <v>560.5</v>
      </c>
      <c r="L34" s="126">
        <v>38</v>
      </c>
      <c r="M34" s="124" t="s">
        <v>267</v>
      </c>
      <c r="N34" s="124" t="s">
        <v>271</v>
      </c>
      <c r="O34" s="127" t="s">
        <v>1387</v>
      </c>
      <c r="P34" s="128">
        <v>56688.3</v>
      </c>
      <c r="Q34" s="128">
        <v>0</v>
      </c>
      <c r="R34" s="128">
        <v>0</v>
      </c>
      <c r="S34" s="128">
        <f t="shared" si="1"/>
        <v>56688.3</v>
      </c>
      <c r="T34" s="128">
        <f t="shared" si="0"/>
        <v>91.758336031078031</v>
      </c>
      <c r="U34" s="128">
        <v>91.758336031078031</v>
      </c>
      <c r="V34" s="257">
        <f t="shared" si="2"/>
        <v>0</v>
      </c>
      <c r="W34" s="257">
        <f t="shared" si="3"/>
        <v>9219.0044334736158</v>
      </c>
      <c r="X34" s="257">
        <v>0</v>
      </c>
      <c r="Y34" s="258">
        <v>0</v>
      </c>
      <c r="Z34" s="258">
        <v>0</v>
      </c>
      <c r="AA34" s="258">
        <v>0</v>
      </c>
      <c r="AB34" s="258">
        <v>0</v>
      </c>
      <c r="AC34" s="258">
        <v>0</v>
      </c>
      <c r="AD34" s="258">
        <v>0</v>
      </c>
      <c r="AE34" s="258">
        <v>912.9</v>
      </c>
      <c r="AF34" s="257">
        <f>6238.91*AE34/I34</f>
        <v>9219.0044334736158</v>
      </c>
      <c r="AG34" s="258">
        <v>0</v>
      </c>
      <c r="AH34" s="257">
        <v>0</v>
      </c>
      <c r="AI34" s="258">
        <v>0</v>
      </c>
      <c r="AJ34" s="257">
        <v>0</v>
      </c>
      <c r="AK34" s="258">
        <v>0</v>
      </c>
      <c r="AL34" s="258">
        <v>0</v>
      </c>
      <c r="AM34" s="258">
        <v>0</v>
      </c>
      <c r="AN34" s="258"/>
      <c r="AO34" s="258">
        <v>0</v>
      </c>
    </row>
    <row r="35" spans="1:41" s="259" customFormat="1" ht="36" customHeight="1" x14ac:dyDescent="0.25">
      <c r="A35" s="259">
        <v>1</v>
      </c>
      <c r="B35" s="135">
        <f>SUBTOTAL(103,$A$16:A35)</f>
        <v>20</v>
      </c>
      <c r="C35" s="94" t="s">
        <v>506</v>
      </c>
      <c r="D35" s="124">
        <v>1967</v>
      </c>
      <c r="E35" s="124"/>
      <c r="F35" s="129" t="s">
        <v>269</v>
      </c>
      <c r="G35" s="124">
        <v>2</v>
      </c>
      <c r="H35" s="124" t="s">
        <v>305</v>
      </c>
      <c r="I35" s="128">
        <v>709.3</v>
      </c>
      <c r="J35" s="128">
        <v>653.29999999999995</v>
      </c>
      <c r="K35" s="128">
        <v>653.29999999999995</v>
      </c>
      <c r="L35" s="126">
        <v>36</v>
      </c>
      <c r="M35" s="124" t="s">
        <v>267</v>
      </c>
      <c r="N35" s="124" t="s">
        <v>271</v>
      </c>
      <c r="O35" s="127" t="s">
        <v>1387</v>
      </c>
      <c r="P35" s="128">
        <v>89064.28</v>
      </c>
      <c r="Q35" s="128">
        <v>0</v>
      </c>
      <c r="R35" s="128">
        <v>0</v>
      </c>
      <c r="S35" s="128">
        <f t="shared" si="1"/>
        <v>89064.28</v>
      </c>
      <c r="T35" s="128">
        <f t="shared" si="0"/>
        <v>125.56644579162555</v>
      </c>
      <c r="U35" s="128">
        <v>125.56644579162555</v>
      </c>
      <c r="V35" s="257">
        <f t="shared" si="2"/>
        <v>0</v>
      </c>
      <c r="W35" s="257">
        <f t="shared" si="3"/>
        <v>3259.66</v>
      </c>
      <c r="X35" s="257">
        <v>0</v>
      </c>
      <c r="Y35" s="258">
        <v>0</v>
      </c>
      <c r="Z35" s="258">
        <v>3259.66</v>
      </c>
      <c r="AA35" s="258">
        <v>0</v>
      </c>
      <c r="AB35" s="258">
        <v>0</v>
      </c>
      <c r="AC35" s="258">
        <v>0</v>
      </c>
      <c r="AD35" s="258">
        <v>0</v>
      </c>
      <c r="AE35" s="258">
        <v>0</v>
      </c>
      <c r="AF35" s="257">
        <v>0</v>
      </c>
      <c r="AG35" s="258">
        <v>0</v>
      </c>
      <c r="AH35" s="257">
        <v>0</v>
      </c>
      <c r="AI35" s="258">
        <v>0</v>
      </c>
      <c r="AJ35" s="257">
        <v>0</v>
      </c>
      <c r="AK35" s="258">
        <v>0</v>
      </c>
      <c r="AL35" s="258">
        <v>0</v>
      </c>
      <c r="AM35" s="258">
        <v>0</v>
      </c>
      <c r="AN35" s="258"/>
      <c r="AO35" s="258">
        <v>0</v>
      </c>
    </row>
    <row r="36" spans="1:41" s="259" customFormat="1" ht="36" customHeight="1" x14ac:dyDescent="0.25">
      <c r="A36" s="259">
        <v>1</v>
      </c>
      <c r="B36" s="135">
        <f>SUBTOTAL(103,$A$16:A36)</f>
        <v>21</v>
      </c>
      <c r="C36" s="94" t="s">
        <v>507</v>
      </c>
      <c r="D36" s="124">
        <v>1972</v>
      </c>
      <c r="E36" s="124"/>
      <c r="F36" s="129" t="s">
        <v>269</v>
      </c>
      <c r="G36" s="124">
        <v>2</v>
      </c>
      <c r="H36" s="124" t="s">
        <v>305</v>
      </c>
      <c r="I36" s="128">
        <v>790.6</v>
      </c>
      <c r="J36" s="128">
        <v>790.6</v>
      </c>
      <c r="K36" s="128">
        <v>790.6</v>
      </c>
      <c r="L36" s="126">
        <v>48</v>
      </c>
      <c r="M36" s="124" t="s">
        <v>267</v>
      </c>
      <c r="N36" s="124" t="s">
        <v>271</v>
      </c>
      <c r="O36" s="127" t="s">
        <v>1648</v>
      </c>
      <c r="P36" s="128">
        <v>2641217.09</v>
      </c>
      <c r="Q36" s="128">
        <v>0</v>
      </c>
      <c r="R36" s="128">
        <v>0</v>
      </c>
      <c r="S36" s="128">
        <f t="shared" si="1"/>
        <v>2641217.09</v>
      </c>
      <c r="T36" s="128">
        <f t="shared" si="0"/>
        <v>3340.7754743232986</v>
      </c>
      <c r="U36" s="128">
        <v>6176.2562610675423</v>
      </c>
      <c r="V36" s="257">
        <f t="shared" si="2"/>
        <v>2835.4807867442437</v>
      </c>
      <c r="W36" s="257">
        <f>T36</f>
        <v>3340.7754743232986</v>
      </c>
      <c r="X36" s="257">
        <v>0</v>
      </c>
      <c r="Y36" s="258">
        <v>0</v>
      </c>
      <c r="Z36" s="258">
        <v>0</v>
      </c>
      <c r="AA36" s="258">
        <v>0</v>
      </c>
      <c r="AB36" s="258">
        <v>0</v>
      </c>
      <c r="AC36" s="258">
        <v>0</v>
      </c>
      <c r="AD36" s="258">
        <v>0</v>
      </c>
      <c r="AE36" s="258">
        <v>0</v>
      </c>
      <c r="AF36" s="257">
        <v>0</v>
      </c>
      <c r="AG36" s="258">
        <v>0</v>
      </c>
      <c r="AH36" s="257">
        <v>0</v>
      </c>
      <c r="AI36" s="258">
        <v>0</v>
      </c>
      <c r="AJ36" s="257">
        <v>0</v>
      </c>
      <c r="AK36" s="258">
        <v>0</v>
      </c>
      <c r="AL36" s="258">
        <v>0</v>
      </c>
      <c r="AM36" s="258">
        <v>0</v>
      </c>
      <c r="AN36" s="258"/>
      <c r="AO36" s="258">
        <v>0</v>
      </c>
    </row>
    <row r="37" spans="1:41" s="259" customFormat="1" ht="36" customHeight="1" x14ac:dyDescent="0.25">
      <c r="A37" s="259">
        <v>1</v>
      </c>
      <c r="B37" s="135">
        <f>SUBTOTAL(103,$A$16:A37)</f>
        <v>22</v>
      </c>
      <c r="C37" s="94" t="s">
        <v>508</v>
      </c>
      <c r="D37" s="124">
        <v>1994</v>
      </c>
      <c r="E37" s="124"/>
      <c r="F37" s="129" t="s">
        <v>313</v>
      </c>
      <c r="G37" s="124">
        <v>9</v>
      </c>
      <c r="H37" s="124" t="s">
        <v>359</v>
      </c>
      <c r="I37" s="128">
        <v>14325</v>
      </c>
      <c r="J37" s="128">
        <v>14325</v>
      </c>
      <c r="K37" s="128">
        <v>14166</v>
      </c>
      <c r="L37" s="126">
        <v>585</v>
      </c>
      <c r="M37" s="124" t="s">
        <v>267</v>
      </c>
      <c r="N37" s="124" t="s">
        <v>271</v>
      </c>
      <c r="O37" s="127" t="s">
        <v>350</v>
      </c>
      <c r="P37" s="128">
        <v>12240735.73</v>
      </c>
      <c r="Q37" s="128">
        <v>0</v>
      </c>
      <c r="R37" s="128">
        <v>0</v>
      </c>
      <c r="S37" s="128">
        <f t="shared" si="1"/>
        <v>12240735.73</v>
      </c>
      <c r="T37" s="128">
        <f t="shared" si="0"/>
        <v>854.50162164048868</v>
      </c>
      <c r="U37" s="128">
        <v>1201.0191972076789</v>
      </c>
      <c r="V37" s="257">
        <f t="shared" si="2"/>
        <v>346.51757556719019</v>
      </c>
      <c r="W37" s="257">
        <f t="shared" si="3"/>
        <v>263.49323211169281</v>
      </c>
      <c r="X37" s="257">
        <v>0</v>
      </c>
      <c r="Y37" s="258">
        <v>0</v>
      </c>
      <c r="Z37" s="258">
        <v>0</v>
      </c>
      <c r="AA37" s="258">
        <v>0</v>
      </c>
      <c r="AB37" s="258">
        <v>0</v>
      </c>
      <c r="AC37" s="258">
        <v>0</v>
      </c>
      <c r="AD37" s="258">
        <v>0</v>
      </c>
      <c r="AE37" s="258">
        <v>605</v>
      </c>
      <c r="AF37" s="257">
        <f>6238.91*AE37/I37</f>
        <v>263.49323211169281</v>
      </c>
      <c r="AG37" s="258">
        <v>0</v>
      </c>
      <c r="AH37" s="257">
        <v>0</v>
      </c>
      <c r="AI37" s="258">
        <v>0</v>
      </c>
      <c r="AJ37" s="257">
        <v>0</v>
      </c>
      <c r="AK37" s="258">
        <v>0</v>
      </c>
      <c r="AL37" s="258">
        <v>0</v>
      </c>
      <c r="AM37" s="258">
        <v>0</v>
      </c>
      <c r="AN37" s="258"/>
      <c r="AO37" s="258">
        <v>0</v>
      </c>
    </row>
    <row r="38" spans="1:41" s="259" customFormat="1" ht="36" customHeight="1" x14ac:dyDescent="0.25">
      <c r="A38" s="259">
        <v>1</v>
      </c>
      <c r="B38" s="135">
        <f>SUBTOTAL(103,$A$16:A38)</f>
        <v>23</v>
      </c>
      <c r="C38" s="94" t="s">
        <v>509</v>
      </c>
      <c r="D38" s="124">
        <v>1994</v>
      </c>
      <c r="E38" s="124"/>
      <c r="F38" s="129" t="s">
        <v>313</v>
      </c>
      <c r="G38" s="124">
        <v>9</v>
      </c>
      <c r="H38" s="124" t="s">
        <v>314</v>
      </c>
      <c r="I38" s="128">
        <v>5491.1</v>
      </c>
      <c r="J38" s="128">
        <v>5491.1</v>
      </c>
      <c r="K38" s="128">
        <v>5444.9</v>
      </c>
      <c r="L38" s="126">
        <v>236</v>
      </c>
      <c r="M38" s="124" t="s">
        <v>267</v>
      </c>
      <c r="N38" s="124" t="s">
        <v>271</v>
      </c>
      <c r="O38" s="127" t="s">
        <v>350</v>
      </c>
      <c r="P38" s="128">
        <v>3433160.05</v>
      </c>
      <c r="Q38" s="128">
        <v>0</v>
      </c>
      <c r="R38" s="128">
        <v>0</v>
      </c>
      <c r="S38" s="128">
        <f t="shared" si="1"/>
        <v>3433160.05</v>
      </c>
      <c r="T38" s="128">
        <f t="shared" si="0"/>
        <v>625.22264209356956</v>
      </c>
      <c r="U38" s="128">
        <v>895.19404126677705</v>
      </c>
      <c r="V38" s="257">
        <f t="shared" si="2"/>
        <v>269.97139917320749</v>
      </c>
      <c r="W38" s="257">
        <f t="shared" si="3"/>
        <v>886.22494582142008</v>
      </c>
      <c r="X38" s="257">
        <v>0</v>
      </c>
      <c r="Y38" s="258">
        <v>0</v>
      </c>
      <c r="Z38" s="258">
        <v>0</v>
      </c>
      <c r="AA38" s="258">
        <v>0</v>
      </c>
      <c r="AB38" s="258">
        <v>0</v>
      </c>
      <c r="AC38" s="258">
        <v>0</v>
      </c>
      <c r="AD38" s="258">
        <v>0</v>
      </c>
      <c r="AE38" s="258">
        <v>780</v>
      </c>
      <c r="AF38" s="257">
        <f>6238.91*AE38/I38</f>
        <v>886.22494582142008</v>
      </c>
      <c r="AG38" s="258">
        <v>0</v>
      </c>
      <c r="AH38" s="257">
        <v>0</v>
      </c>
      <c r="AI38" s="258">
        <v>0</v>
      </c>
      <c r="AJ38" s="257">
        <v>0</v>
      </c>
      <c r="AK38" s="258">
        <v>0</v>
      </c>
      <c r="AL38" s="258">
        <v>0</v>
      </c>
      <c r="AM38" s="258">
        <v>0</v>
      </c>
      <c r="AN38" s="258"/>
      <c r="AO38" s="258">
        <v>0</v>
      </c>
    </row>
    <row r="39" spans="1:41" s="259" customFormat="1" ht="36" customHeight="1" x14ac:dyDescent="0.25">
      <c r="A39" s="259">
        <v>1</v>
      </c>
      <c r="B39" s="135">
        <f>SUBTOTAL(103,$A$16:A39)</f>
        <v>24</v>
      </c>
      <c r="C39" s="94" t="s">
        <v>510</v>
      </c>
      <c r="D39" s="124">
        <v>1993</v>
      </c>
      <c r="E39" s="124"/>
      <c r="F39" s="129" t="s">
        <v>313</v>
      </c>
      <c r="G39" s="124">
        <v>9</v>
      </c>
      <c r="H39" s="124" t="s">
        <v>306</v>
      </c>
      <c r="I39" s="128">
        <v>1614.7</v>
      </c>
      <c r="J39" s="128">
        <v>1614.7</v>
      </c>
      <c r="K39" s="128">
        <v>1585.9</v>
      </c>
      <c r="L39" s="126">
        <v>64</v>
      </c>
      <c r="M39" s="124" t="s">
        <v>267</v>
      </c>
      <c r="N39" s="124" t="s">
        <v>271</v>
      </c>
      <c r="O39" s="127" t="s">
        <v>350</v>
      </c>
      <c r="P39" s="128">
        <v>1772747.75</v>
      </c>
      <c r="Q39" s="128">
        <v>0</v>
      </c>
      <c r="R39" s="128">
        <v>0</v>
      </c>
      <c r="S39" s="128">
        <f t="shared" si="1"/>
        <v>1772747.75</v>
      </c>
      <c r="T39" s="128">
        <f t="shared" si="0"/>
        <v>1097.8805660494208</v>
      </c>
      <c r="U39" s="128">
        <v>1522.140335666068</v>
      </c>
      <c r="V39" s="257">
        <f t="shared" si="2"/>
        <v>424.25976961664719</v>
      </c>
      <c r="W39" s="257">
        <f t="shared" si="3"/>
        <v>10654.982349662476</v>
      </c>
      <c r="X39" s="257">
        <v>0</v>
      </c>
      <c r="Y39" s="258">
        <v>0</v>
      </c>
      <c r="Z39" s="258">
        <v>0</v>
      </c>
      <c r="AA39" s="258">
        <v>0</v>
      </c>
      <c r="AB39" s="258">
        <v>0</v>
      </c>
      <c r="AC39" s="258">
        <v>7</v>
      </c>
      <c r="AD39" s="257">
        <f>2457800*AC39/I39</f>
        <v>10654.982349662476</v>
      </c>
      <c r="AE39" s="258">
        <v>0</v>
      </c>
      <c r="AF39" s="257">
        <v>0</v>
      </c>
      <c r="AG39" s="258">
        <v>0</v>
      </c>
      <c r="AH39" s="257">
        <v>0</v>
      </c>
      <c r="AI39" s="258">
        <v>0</v>
      </c>
      <c r="AJ39" s="257">
        <v>0</v>
      </c>
      <c r="AK39" s="258">
        <v>0</v>
      </c>
      <c r="AL39" s="258">
        <v>0</v>
      </c>
      <c r="AM39" s="258">
        <v>0</v>
      </c>
      <c r="AN39" s="258"/>
      <c r="AO39" s="258">
        <v>0</v>
      </c>
    </row>
    <row r="40" spans="1:41" s="259" customFormat="1" ht="36" customHeight="1" x14ac:dyDescent="0.25">
      <c r="A40" s="259">
        <v>1</v>
      </c>
      <c r="B40" s="135">
        <f>SUBTOTAL(103,$A$16:A40)</f>
        <v>25</v>
      </c>
      <c r="C40" s="94" t="s">
        <v>511</v>
      </c>
      <c r="D40" s="124">
        <v>1993</v>
      </c>
      <c r="E40" s="124"/>
      <c r="F40" s="129" t="s">
        <v>313</v>
      </c>
      <c r="G40" s="124">
        <v>9</v>
      </c>
      <c r="H40" s="124" t="s">
        <v>305</v>
      </c>
      <c r="I40" s="128">
        <v>4490.3</v>
      </c>
      <c r="J40" s="128">
        <v>4490.3</v>
      </c>
      <c r="K40" s="128">
        <v>4474.6000000000004</v>
      </c>
      <c r="L40" s="126">
        <v>167</v>
      </c>
      <c r="M40" s="124" t="s">
        <v>267</v>
      </c>
      <c r="N40" s="124" t="s">
        <v>271</v>
      </c>
      <c r="O40" s="127" t="s">
        <v>350</v>
      </c>
      <c r="P40" s="128">
        <v>3542647.46</v>
      </c>
      <c r="Q40" s="128">
        <v>0</v>
      </c>
      <c r="R40" s="128">
        <v>0</v>
      </c>
      <c r="S40" s="128">
        <f t="shared" si="1"/>
        <v>3542647.46</v>
      </c>
      <c r="T40" s="128">
        <f t="shared" si="0"/>
        <v>788.95562879985744</v>
      </c>
      <c r="U40" s="128">
        <v>1094.7152751486537</v>
      </c>
      <c r="V40" s="257">
        <f t="shared" si="2"/>
        <v>305.75964634879631</v>
      </c>
      <c r="W40" s="257">
        <f t="shared" si="3"/>
        <v>1094.7152751486537</v>
      </c>
      <c r="X40" s="257">
        <v>0</v>
      </c>
      <c r="Y40" s="258">
        <v>0</v>
      </c>
      <c r="Z40" s="258">
        <v>0</v>
      </c>
      <c r="AA40" s="258">
        <v>0</v>
      </c>
      <c r="AB40" s="258">
        <v>0</v>
      </c>
      <c r="AC40" s="258">
        <v>2</v>
      </c>
      <c r="AD40" s="257">
        <f>2457800*AC40/I40</f>
        <v>1094.7152751486537</v>
      </c>
      <c r="AE40" s="258">
        <v>0</v>
      </c>
      <c r="AF40" s="257">
        <v>0</v>
      </c>
      <c r="AG40" s="258">
        <v>0</v>
      </c>
      <c r="AH40" s="257">
        <v>0</v>
      </c>
      <c r="AI40" s="258">
        <v>0</v>
      </c>
      <c r="AJ40" s="257">
        <v>0</v>
      </c>
      <c r="AK40" s="258">
        <v>0</v>
      </c>
      <c r="AL40" s="258">
        <v>0</v>
      </c>
      <c r="AM40" s="258">
        <v>0</v>
      </c>
      <c r="AN40" s="258"/>
      <c r="AO40" s="258">
        <v>0</v>
      </c>
    </row>
    <row r="41" spans="1:41" s="259" customFormat="1" ht="36" customHeight="1" x14ac:dyDescent="0.25">
      <c r="A41" s="259">
        <v>1</v>
      </c>
      <c r="B41" s="135">
        <f>SUBTOTAL(103,$A$16:A41)</f>
        <v>26</v>
      </c>
      <c r="C41" s="94" t="s">
        <v>512</v>
      </c>
      <c r="D41" s="124">
        <v>1987</v>
      </c>
      <c r="E41" s="124"/>
      <c r="F41" s="129" t="s">
        <v>269</v>
      </c>
      <c r="G41" s="124">
        <v>5</v>
      </c>
      <c r="H41" s="124" t="s">
        <v>305</v>
      </c>
      <c r="I41" s="128">
        <v>1670.9</v>
      </c>
      <c r="J41" s="128">
        <v>1146.4000000000001</v>
      </c>
      <c r="K41" s="128">
        <v>1146.4000000000001</v>
      </c>
      <c r="L41" s="126">
        <v>65</v>
      </c>
      <c r="M41" s="124" t="s">
        <v>267</v>
      </c>
      <c r="N41" s="124" t="s">
        <v>271</v>
      </c>
      <c r="O41" s="127" t="s">
        <v>1093</v>
      </c>
      <c r="P41" s="128">
        <v>1142069.99</v>
      </c>
      <c r="Q41" s="128">
        <v>0</v>
      </c>
      <c r="R41" s="128">
        <v>0</v>
      </c>
      <c r="S41" s="128">
        <f t="shared" si="1"/>
        <v>1142069.99</v>
      </c>
      <c r="T41" s="128">
        <f t="shared" si="0"/>
        <v>683.50588904183371</v>
      </c>
      <c r="U41" s="128">
        <v>1145.4098311089831</v>
      </c>
      <c r="V41" s="257">
        <f t="shared" si="2"/>
        <v>461.90394206714939</v>
      </c>
      <c r="W41" s="257">
        <f t="shared" si="3"/>
        <v>1470.9438027410376</v>
      </c>
      <c r="X41" s="257">
        <v>0</v>
      </c>
      <c r="Y41" s="258">
        <v>0</v>
      </c>
      <c r="Z41" s="258">
        <v>0</v>
      </c>
      <c r="AA41" s="258">
        <v>0</v>
      </c>
      <c r="AB41" s="258">
        <v>0</v>
      </c>
      <c r="AC41" s="258">
        <v>1</v>
      </c>
      <c r="AD41" s="257">
        <f>2457800*AC41/I41</f>
        <v>1470.9438027410376</v>
      </c>
      <c r="AE41" s="258">
        <v>0</v>
      </c>
      <c r="AF41" s="257">
        <v>0</v>
      </c>
      <c r="AG41" s="258">
        <v>0</v>
      </c>
      <c r="AH41" s="257">
        <v>0</v>
      </c>
      <c r="AI41" s="258">
        <v>0</v>
      </c>
      <c r="AJ41" s="257">
        <v>0</v>
      </c>
      <c r="AK41" s="258">
        <v>0</v>
      </c>
      <c r="AL41" s="258">
        <v>0</v>
      </c>
      <c r="AM41" s="258">
        <v>0</v>
      </c>
      <c r="AN41" s="258"/>
      <c r="AO41" s="258">
        <v>0</v>
      </c>
    </row>
    <row r="42" spans="1:41" s="259" customFormat="1" ht="36" customHeight="1" x14ac:dyDescent="0.25">
      <c r="A42" s="259">
        <v>1</v>
      </c>
      <c r="B42" s="135">
        <f>SUBTOTAL(103,$A$16:A42)</f>
        <v>27</v>
      </c>
      <c r="C42" s="94" t="s">
        <v>513</v>
      </c>
      <c r="D42" s="124">
        <v>1983</v>
      </c>
      <c r="E42" s="124"/>
      <c r="F42" s="129" t="s">
        <v>269</v>
      </c>
      <c r="G42" s="124">
        <v>5</v>
      </c>
      <c r="H42" s="124" t="s">
        <v>306</v>
      </c>
      <c r="I42" s="128">
        <v>628.5</v>
      </c>
      <c r="J42" s="128">
        <v>568.5</v>
      </c>
      <c r="K42" s="128">
        <v>568.5</v>
      </c>
      <c r="L42" s="126">
        <v>31</v>
      </c>
      <c r="M42" s="124" t="s">
        <v>267</v>
      </c>
      <c r="N42" s="124" t="s">
        <v>271</v>
      </c>
      <c r="O42" s="127" t="s">
        <v>1078</v>
      </c>
      <c r="P42" s="128">
        <v>947034.45</v>
      </c>
      <c r="Q42" s="128">
        <v>0</v>
      </c>
      <c r="R42" s="128">
        <v>0</v>
      </c>
      <c r="S42" s="128">
        <f t="shared" si="1"/>
        <v>947034.45</v>
      </c>
      <c r="T42" s="128">
        <f t="shared" si="0"/>
        <v>1506.8169451073984</v>
      </c>
      <c r="U42" s="128">
        <v>2061.828687350835</v>
      </c>
      <c r="V42" s="257">
        <f t="shared" si="2"/>
        <v>555.01174224343663</v>
      </c>
      <c r="W42" s="257">
        <f t="shared" si="3"/>
        <v>7821.161495624503</v>
      </c>
      <c r="X42" s="257">
        <v>0</v>
      </c>
      <c r="Y42" s="258">
        <v>0</v>
      </c>
      <c r="Z42" s="258">
        <v>0</v>
      </c>
      <c r="AA42" s="258">
        <v>0</v>
      </c>
      <c r="AB42" s="258">
        <v>0</v>
      </c>
      <c r="AC42" s="258">
        <v>2</v>
      </c>
      <c r="AD42" s="257">
        <f>2457800*AC42/I42</f>
        <v>7821.161495624503</v>
      </c>
      <c r="AE42" s="258">
        <v>0</v>
      </c>
      <c r="AF42" s="257">
        <v>0</v>
      </c>
      <c r="AG42" s="258">
        <v>0</v>
      </c>
      <c r="AH42" s="257">
        <v>0</v>
      </c>
      <c r="AI42" s="258">
        <v>0</v>
      </c>
      <c r="AJ42" s="257">
        <v>0</v>
      </c>
      <c r="AK42" s="258">
        <v>0</v>
      </c>
      <c r="AL42" s="258">
        <v>0</v>
      </c>
      <c r="AM42" s="258">
        <v>0</v>
      </c>
      <c r="AN42" s="258"/>
      <c r="AO42" s="258">
        <v>0</v>
      </c>
    </row>
    <row r="43" spans="1:41" s="259" customFormat="1" ht="36" customHeight="1" x14ac:dyDescent="0.25">
      <c r="A43" s="259">
        <v>1</v>
      </c>
      <c r="B43" s="135">
        <f>SUBTOTAL(103,$A$16:A43)</f>
        <v>28</v>
      </c>
      <c r="C43" s="94" t="s">
        <v>514</v>
      </c>
      <c r="D43" s="124">
        <v>1959</v>
      </c>
      <c r="E43" s="124"/>
      <c r="F43" s="129" t="s">
        <v>269</v>
      </c>
      <c r="G43" s="124">
        <v>2</v>
      </c>
      <c r="H43" s="124" t="s">
        <v>306</v>
      </c>
      <c r="I43" s="128">
        <v>313.3</v>
      </c>
      <c r="J43" s="128">
        <v>288.7</v>
      </c>
      <c r="K43" s="128">
        <v>288.7</v>
      </c>
      <c r="L43" s="126">
        <v>24</v>
      </c>
      <c r="M43" s="124" t="s">
        <v>267</v>
      </c>
      <c r="N43" s="124" t="s">
        <v>271</v>
      </c>
      <c r="O43" s="127" t="s">
        <v>1078</v>
      </c>
      <c r="P43" s="128">
        <v>1279163.03</v>
      </c>
      <c r="Q43" s="128">
        <v>0</v>
      </c>
      <c r="R43" s="128">
        <v>0</v>
      </c>
      <c r="S43" s="128">
        <f t="shared" si="1"/>
        <v>1279163.03</v>
      </c>
      <c r="T43" s="128">
        <f t="shared" si="0"/>
        <v>4082.8695499521227</v>
      </c>
      <c r="U43" s="128">
        <v>9307.7791254388776</v>
      </c>
      <c r="V43" s="257">
        <f t="shared" si="2"/>
        <v>5224.9095754867549</v>
      </c>
      <c r="W43" s="257">
        <f t="shared" si="3"/>
        <v>6087.9654171720395</v>
      </c>
      <c r="X43" s="257">
        <v>0</v>
      </c>
      <c r="Y43" s="258">
        <v>0</v>
      </c>
      <c r="Z43" s="258">
        <v>0</v>
      </c>
      <c r="AA43" s="258">
        <v>0</v>
      </c>
      <c r="AB43" s="258">
        <v>0</v>
      </c>
      <c r="AC43" s="258">
        <v>0</v>
      </c>
      <c r="AD43" s="258">
        <v>0</v>
      </c>
      <c r="AE43" s="258">
        <v>305.72000000000003</v>
      </c>
      <c r="AF43" s="257">
        <f>6238.91*AE43/I43</f>
        <v>6087.9654171720395</v>
      </c>
      <c r="AG43" s="258">
        <v>0</v>
      </c>
      <c r="AH43" s="257">
        <v>0</v>
      </c>
      <c r="AI43" s="258">
        <v>0</v>
      </c>
      <c r="AJ43" s="257">
        <v>0</v>
      </c>
      <c r="AK43" s="258">
        <v>0</v>
      </c>
      <c r="AL43" s="258">
        <v>0</v>
      </c>
      <c r="AM43" s="258">
        <v>0</v>
      </c>
      <c r="AN43" s="258"/>
      <c r="AO43" s="258">
        <v>0</v>
      </c>
    </row>
    <row r="44" spans="1:41" s="259" customFormat="1" ht="36" customHeight="1" x14ac:dyDescent="0.25">
      <c r="A44" s="259">
        <v>1</v>
      </c>
      <c r="B44" s="135">
        <f>SUBTOTAL(103,$A$16:A44)</f>
        <v>29</v>
      </c>
      <c r="C44" s="94" t="s">
        <v>515</v>
      </c>
      <c r="D44" s="124">
        <v>1969</v>
      </c>
      <c r="E44" s="124"/>
      <c r="F44" s="129" t="s">
        <v>269</v>
      </c>
      <c r="G44" s="124">
        <v>9</v>
      </c>
      <c r="H44" s="124" t="s">
        <v>306</v>
      </c>
      <c r="I44" s="128">
        <v>2575.6999999999998</v>
      </c>
      <c r="J44" s="128">
        <v>2278.3000000000002</v>
      </c>
      <c r="K44" s="128">
        <v>2278.3000000000002</v>
      </c>
      <c r="L44" s="126">
        <v>84</v>
      </c>
      <c r="M44" s="124" t="s">
        <v>267</v>
      </c>
      <c r="N44" s="124" t="s">
        <v>271</v>
      </c>
      <c r="O44" s="127" t="s">
        <v>1078</v>
      </c>
      <c r="P44" s="128">
        <v>1762086.42</v>
      </c>
      <c r="Q44" s="128">
        <v>0</v>
      </c>
      <c r="R44" s="128">
        <v>0</v>
      </c>
      <c r="S44" s="128">
        <f t="shared" si="1"/>
        <v>1762086.42</v>
      </c>
      <c r="T44" s="128">
        <f t="shared" si="0"/>
        <v>684.11943161082422</v>
      </c>
      <c r="U44" s="128">
        <v>954.22603564079679</v>
      </c>
      <c r="V44" s="257">
        <f t="shared" si="2"/>
        <v>270.10660402997257</v>
      </c>
      <c r="W44" s="257">
        <f t="shared" si="3"/>
        <v>501.39937492720424</v>
      </c>
      <c r="X44" s="257">
        <v>0</v>
      </c>
      <c r="Y44" s="258">
        <v>0</v>
      </c>
      <c r="Z44" s="258">
        <v>0</v>
      </c>
      <c r="AA44" s="258">
        <v>0</v>
      </c>
      <c r="AB44" s="258">
        <v>0</v>
      </c>
      <c r="AC44" s="258">
        <v>0</v>
      </c>
      <c r="AD44" s="258">
        <v>0</v>
      </c>
      <c r="AE44" s="258">
        <v>207</v>
      </c>
      <c r="AF44" s="257">
        <f>6238.91*AE44/I44</f>
        <v>501.39937492720424</v>
      </c>
      <c r="AG44" s="258">
        <v>0</v>
      </c>
      <c r="AH44" s="257">
        <v>0</v>
      </c>
      <c r="AI44" s="258">
        <v>0</v>
      </c>
      <c r="AJ44" s="257">
        <v>0</v>
      </c>
      <c r="AK44" s="258">
        <v>0</v>
      </c>
      <c r="AL44" s="258">
        <v>0</v>
      </c>
      <c r="AM44" s="258">
        <v>0</v>
      </c>
      <c r="AN44" s="258"/>
      <c r="AO44" s="258">
        <v>0</v>
      </c>
    </row>
    <row r="45" spans="1:41" s="259" customFormat="1" ht="36" customHeight="1" x14ac:dyDescent="0.25">
      <c r="A45" s="259">
        <v>1</v>
      </c>
      <c r="B45" s="135">
        <f>SUBTOTAL(103,$A$16:A45)</f>
        <v>30</v>
      </c>
      <c r="C45" s="94" t="s">
        <v>516</v>
      </c>
      <c r="D45" s="124">
        <v>1983</v>
      </c>
      <c r="E45" s="124"/>
      <c r="F45" s="129" t="s">
        <v>269</v>
      </c>
      <c r="G45" s="124">
        <v>5</v>
      </c>
      <c r="H45" s="124" t="s">
        <v>314</v>
      </c>
      <c r="I45" s="128">
        <v>2943.9</v>
      </c>
      <c r="J45" s="128">
        <v>2711.7</v>
      </c>
      <c r="K45" s="128">
        <v>2711.7</v>
      </c>
      <c r="L45" s="126">
        <v>99</v>
      </c>
      <c r="M45" s="124" t="s">
        <v>267</v>
      </c>
      <c r="N45" s="124" t="s">
        <v>271</v>
      </c>
      <c r="O45" s="127" t="s">
        <v>1078</v>
      </c>
      <c r="P45" s="128">
        <v>2417044.5900000003</v>
      </c>
      <c r="Q45" s="128">
        <v>0</v>
      </c>
      <c r="R45" s="128">
        <v>0</v>
      </c>
      <c r="S45" s="128">
        <f t="shared" si="1"/>
        <v>2417044.5900000003</v>
      </c>
      <c r="T45" s="128">
        <f t="shared" si="0"/>
        <v>821.03488229899119</v>
      </c>
      <c r="U45" s="128">
        <v>2024.4236828696626</v>
      </c>
      <c r="V45" s="257">
        <f t="shared" si="2"/>
        <v>1203.3888005706713</v>
      </c>
      <c r="W45" s="257">
        <f t="shared" si="3"/>
        <v>1072.4392948130032</v>
      </c>
      <c r="X45" s="257">
        <v>0</v>
      </c>
      <c r="Y45" s="258">
        <v>0</v>
      </c>
      <c r="Z45" s="258">
        <v>0</v>
      </c>
      <c r="AA45" s="258">
        <v>0</v>
      </c>
      <c r="AB45" s="258">
        <v>0</v>
      </c>
      <c r="AC45" s="258">
        <v>0</v>
      </c>
      <c r="AD45" s="258">
        <v>0</v>
      </c>
      <c r="AE45" s="258">
        <v>0</v>
      </c>
      <c r="AF45" s="257">
        <v>0</v>
      </c>
      <c r="AG45" s="258">
        <v>0</v>
      </c>
      <c r="AH45" s="257">
        <v>0</v>
      </c>
      <c r="AI45" s="258">
        <v>424.4</v>
      </c>
      <c r="AJ45" s="257">
        <f>7439.1*AI45/I45</f>
        <v>1072.4392948130032</v>
      </c>
      <c r="AK45" s="258">
        <v>0</v>
      </c>
      <c r="AL45" s="258">
        <v>0</v>
      </c>
      <c r="AM45" s="258">
        <v>0</v>
      </c>
      <c r="AN45" s="258"/>
      <c r="AO45" s="258">
        <v>0</v>
      </c>
    </row>
    <row r="46" spans="1:41" s="259" customFormat="1" ht="36" customHeight="1" x14ac:dyDescent="0.25">
      <c r="A46" s="259">
        <v>1</v>
      </c>
      <c r="B46" s="135">
        <f>SUBTOTAL(103,$A$16:A46)</f>
        <v>31</v>
      </c>
      <c r="C46" s="94" t="s">
        <v>517</v>
      </c>
      <c r="D46" s="124">
        <v>1989</v>
      </c>
      <c r="E46" s="124"/>
      <c r="F46" s="129" t="s">
        <v>269</v>
      </c>
      <c r="G46" s="124">
        <v>5</v>
      </c>
      <c r="H46" s="124" t="s">
        <v>310</v>
      </c>
      <c r="I46" s="128">
        <v>2894.3</v>
      </c>
      <c r="J46" s="128">
        <v>2645.3</v>
      </c>
      <c r="K46" s="128">
        <v>2645.3</v>
      </c>
      <c r="L46" s="126">
        <v>152</v>
      </c>
      <c r="M46" s="124" t="s">
        <v>267</v>
      </c>
      <c r="N46" s="124" t="s">
        <v>271</v>
      </c>
      <c r="O46" s="127" t="s">
        <v>1403</v>
      </c>
      <c r="P46" s="128">
        <v>2398202</v>
      </c>
      <c r="Q46" s="128">
        <v>0</v>
      </c>
      <c r="R46" s="128">
        <v>0</v>
      </c>
      <c r="S46" s="128">
        <f t="shared" si="1"/>
        <v>2398202</v>
      </c>
      <c r="T46" s="128">
        <f t="shared" si="0"/>
        <v>828.59482430985031</v>
      </c>
      <c r="U46" s="128">
        <v>1465.8227422865632</v>
      </c>
      <c r="V46" s="257">
        <f t="shared" si="2"/>
        <v>637.22791797671289</v>
      </c>
      <c r="W46" s="257">
        <f t="shared" si="3"/>
        <v>849.1863317555194</v>
      </c>
      <c r="X46" s="257">
        <v>0</v>
      </c>
      <c r="Y46" s="258">
        <v>0</v>
      </c>
      <c r="Z46" s="258">
        <v>0</v>
      </c>
      <c r="AA46" s="258">
        <v>0</v>
      </c>
      <c r="AB46" s="258">
        <v>0</v>
      </c>
      <c r="AC46" s="258">
        <v>1</v>
      </c>
      <c r="AD46" s="257">
        <f>2457800*AC46/I46</f>
        <v>849.1863317555194</v>
      </c>
      <c r="AE46" s="258">
        <v>0</v>
      </c>
      <c r="AF46" s="257">
        <v>0</v>
      </c>
      <c r="AG46" s="258">
        <v>0</v>
      </c>
      <c r="AH46" s="257">
        <v>0</v>
      </c>
      <c r="AI46" s="258">
        <v>0</v>
      </c>
      <c r="AJ46" s="257">
        <v>0</v>
      </c>
      <c r="AK46" s="258">
        <v>0</v>
      </c>
      <c r="AL46" s="258">
        <v>0</v>
      </c>
      <c r="AM46" s="258">
        <v>0</v>
      </c>
      <c r="AN46" s="258"/>
      <c r="AO46" s="258">
        <v>0</v>
      </c>
    </row>
    <row r="47" spans="1:41" s="259" customFormat="1" ht="36" customHeight="1" x14ac:dyDescent="0.25">
      <c r="A47" s="259">
        <v>1</v>
      </c>
      <c r="B47" s="135">
        <f>SUBTOTAL(103,$A$16:A47)</f>
        <v>32</v>
      </c>
      <c r="C47" s="94" t="s">
        <v>518</v>
      </c>
      <c r="D47" s="124">
        <v>1980</v>
      </c>
      <c r="E47" s="124"/>
      <c r="F47" s="129" t="s">
        <v>269</v>
      </c>
      <c r="G47" s="124">
        <v>5</v>
      </c>
      <c r="H47" s="124" t="s">
        <v>306</v>
      </c>
      <c r="I47" s="128">
        <v>1054.5999999999999</v>
      </c>
      <c r="J47" s="128">
        <v>994.1</v>
      </c>
      <c r="K47" s="128">
        <v>994.1</v>
      </c>
      <c r="L47" s="126">
        <v>39</v>
      </c>
      <c r="M47" s="124" t="s">
        <v>267</v>
      </c>
      <c r="N47" s="124" t="s">
        <v>271</v>
      </c>
      <c r="O47" s="127" t="s">
        <v>1403</v>
      </c>
      <c r="P47" s="128">
        <v>1104719.2799999998</v>
      </c>
      <c r="Q47" s="128">
        <v>0</v>
      </c>
      <c r="R47" s="128">
        <v>0</v>
      </c>
      <c r="S47" s="128">
        <f t="shared" si="1"/>
        <v>1104719.2799999998</v>
      </c>
      <c r="T47" s="128">
        <f t="shared" si="0"/>
        <v>1047.5244452873126</v>
      </c>
      <c r="U47" s="128">
        <v>1486.3944395979518</v>
      </c>
      <c r="V47" s="257">
        <f t="shared" si="2"/>
        <v>438.86999431063919</v>
      </c>
      <c r="W47" s="257">
        <f t="shared" si="3"/>
        <v>5631.9384790441882</v>
      </c>
      <c r="X47" s="257">
        <v>0</v>
      </c>
      <c r="Y47" s="258">
        <v>0</v>
      </c>
      <c r="Z47" s="258">
        <v>0</v>
      </c>
      <c r="AA47" s="258">
        <v>0</v>
      </c>
      <c r="AB47" s="258">
        <v>0</v>
      </c>
      <c r="AC47" s="258">
        <v>0</v>
      </c>
      <c r="AD47" s="258">
        <v>0</v>
      </c>
      <c r="AE47" s="258">
        <v>952</v>
      </c>
      <c r="AF47" s="257">
        <f t="shared" ref="AF47:AF62" si="5">6238.91*AE47/I47</f>
        <v>5631.9384790441882</v>
      </c>
      <c r="AG47" s="258">
        <v>0</v>
      </c>
      <c r="AH47" s="257">
        <v>0</v>
      </c>
      <c r="AI47" s="258">
        <v>0</v>
      </c>
      <c r="AJ47" s="257">
        <v>0</v>
      </c>
      <c r="AK47" s="258">
        <v>0</v>
      </c>
      <c r="AL47" s="258">
        <v>0</v>
      </c>
      <c r="AM47" s="258">
        <v>0</v>
      </c>
      <c r="AN47" s="258"/>
      <c r="AO47" s="258">
        <v>0</v>
      </c>
    </row>
    <row r="48" spans="1:41" s="259" customFormat="1" ht="36" customHeight="1" x14ac:dyDescent="0.25">
      <c r="A48" s="259">
        <v>1</v>
      </c>
      <c r="B48" s="135">
        <f>SUBTOTAL(103,$A$16:A48)</f>
        <v>33</v>
      </c>
      <c r="C48" s="94" t="s">
        <v>519</v>
      </c>
      <c r="D48" s="124">
        <v>1981</v>
      </c>
      <c r="E48" s="124"/>
      <c r="F48" s="129" t="s">
        <v>313</v>
      </c>
      <c r="G48" s="124">
        <v>5</v>
      </c>
      <c r="H48" s="124" t="s">
        <v>2293</v>
      </c>
      <c r="I48" s="128">
        <v>7968.9</v>
      </c>
      <c r="J48" s="128">
        <v>6668.9</v>
      </c>
      <c r="K48" s="128">
        <v>6103.4</v>
      </c>
      <c r="L48" s="126">
        <v>317</v>
      </c>
      <c r="M48" s="124" t="s">
        <v>267</v>
      </c>
      <c r="N48" s="124" t="s">
        <v>271</v>
      </c>
      <c r="O48" s="127" t="s">
        <v>1403</v>
      </c>
      <c r="P48" s="128">
        <v>2602788.06</v>
      </c>
      <c r="Q48" s="128">
        <v>0</v>
      </c>
      <c r="R48" s="128">
        <v>0</v>
      </c>
      <c r="S48" s="128">
        <f t="shared" si="1"/>
        <v>2602788.06</v>
      </c>
      <c r="T48" s="128">
        <f t="shared" si="0"/>
        <v>326.61823589203027</v>
      </c>
      <c r="U48" s="128">
        <v>1188.1155439144677</v>
      </c>
      <c r="V48" s="257">
        <f t="shared" si="2"/>
        <v>861.49730802243744</v>
      </c>
      <c r="W48" s="257">
        <f t="shared" si="3"/>
        <v>530.57627865828408</v>
      </c>
      <c r="X48" s="257">
        <v>0</v>
      </c>
      <c r="Y48" s="258">
        <v>0</v>
      </c>
      <c r="Z48" s="258">
        <v>0</v>
      </c>
      <c r="AA48" s="258">
        <v>0</v>
      </c>
      <c r="AB48" s="258">
        <v>0</v>
      </c>
      <c r="AC48" s="258">
        <v>0</v>
      </c>
      <c r="AD48" s="258">
        <v>0</v>
      </c>
      <c r="AE48" s="258">
        <v>677.7</v>
      </c>
      <c r="AF48" s="257">
        <f t="shared" si="5"/>
        <v>530.57627865828408</v>
      </c>
      <c r="AG48" s="258">
        <v>0</v>
      </c>
      <c r="AH48" s="257">
        <v>0</v>
      </c>
      <c r="AI48" s="258">
        <v>0</v>
      </c>
      <c r="AJ48" s="257">
        <v>0</v>
      </c>
      <c r="AK48" s="258">
        <v>0</v>
      </c>
      <c r="AL48" s="258">
        <v>0</v>
      </c>
      <c r="AM48" s="258">
        <v>0</v>
      </c>
      <c r="AN48" s="258"/>
      <c r="AO48" s="258">
        <v>0</v>
      </c>
    </row>
    <row r="49" spans="1:41" s="259" customFormat="1" ht="36" customHeight="1" x14ac:dyDescent="0.25">
      <c r="A49" s="259">
        <v>1</v>
      </c>
      <c r="B49" s="135">
        <f>SUBTOTAL(103,$A$16:A49)</f>
        <v>34</v>
      </c>
      <c r="C49" s="94" t="s">
        <v>520</v>
      </c>
      <c r="D49" s="124">
        <v>1993</v>
      </c>
      <c r="E49" s="124"/>
      <c r="F49" s="129" t="s">
        <v>313</v>
      </c>
      <c r="G49" s="124">
        <v>5</v>
      </c>
      <c r="H49" s="124" t="s">
        <v>353</v>
      </c>
      <c r="I49" s="128">
        <v>7577.6</v>
      </c>
      <c r="J49" s="128">
        <v>5713.2</v>
      </c>
      <c r="K49" s="128">
        <v>5713.2</v>
      </c>
      <c r="L49" s="126">
        <v>299</v>
      </c>
      <c r="M49" s="124" t="s">
        <v>267</v>
      </c>
      <c r="N49" s="124" t="s">
        <v>271</v>
      </c>
      <c r="O49" s="127" t="s">
        <v>1403</v>
      </c>
      <c r="P49" s="128">
        <v>4237431.09</v>
      </c>
      <c r="Q49" s="128">
        <v>0</v>
      </c>
      <c r="R49" s="128">
        <v>0</v>
      </c>
      <c r="S49" s="128">
        <f t="shared" si="1"/>
        <v>4237431.09</v>
      </c>
      <c r="T49" s="128">
        <f t="shared" si="0"/>
        <v>559.20490524704383</v>
      </c>
      <c r="U49" s="128">
        <v>1496.9732210726349</v>
      </c>
      <c r="V49" s="257">
        <f t="shared" si="2"/>
        <v>937.76831582559112</v>
      </c>
      <c r="W49" s="257">
        <f t="shared" si="3"/>
        <v>206.1633055320946</v>
      </c>
      <c r="X49" s="257">
        <v>0</v>
      </c>
      <c r="Y49" s="258">
        <v>0</v>
      </c>
      <c r="Z49" s="258">
        <v>0</v>
      </c>
      <c r="AA49" s="258">
        <v>0</v>
      </c>
      <c r="AB49" s="258">
        <v>0</v>
      </c>
      <c r="AC49" s="258">
        <v>0</v>
      </c>
      <c r="AD49" s="258">
        <v>0</v>
      </c>
      <c r="AE49" s="258">
        <v>250.4</v>
      </c>
      <c r="AF49" s="257">
        <f t="shared" si="5"/>
        <v>206.1633055320946</v>
      </c>
      <c r="AG49" s="258">
        <v>0</v>
      </c>
      <c r="AH49" s="257">
        <v>0</v>
      </c>
      <c r="AI49" s="258">
        <v>0</v>
      </c>
      <c r="AJ49" s="257">
        <v>0</v>
      </c>
      <c r="AK49" s="258">
        <v>0</v>
      </c>
      <c r="AL49" s="258">
        <v>0</v>
      </c>
      <c r="AM49" s="258">
        <v>0</v>
      </c>
      <c r="AN49" s="258"/>
      <c r="AO49" s="258">
        <v>0</v>
      </c>
    </row>
    <row r="50" spans="1:41" s="259" customFormat="1" ht="36" customHeight="1" x14ac:dyDescent="0.25">
      <c r="A50" s="259">
        <v>1</v>
      </c>
      <c r="B50" s="135">
        <f>SUBTOTAL(103,$A$16:A50)</f>
        <v>35</v>
      </c>
      <c r="C50" s="94" t="s">
        <v>521</v>
      </c>
      <c r="D50" s="124">
        <v>1986</v>
      </c>
      <c r="E50" s="124"/>
      <c r="F50" s="129" t="s">
        <v>269</v>
      </c>
      <c r="G50" s="124">
        <v>5</v>
      </c>
      <c r="H50" s="124" t="s">
        <v>310</v>
      </c>
      <c r="I50" s="128">
        <v>3600.3</v>
      </c>
      <c r="J50" s="128">
        <v>2713.5</v>
      </c>
      <c r="K50" s="128">
        <v>2713.5</v>
      </c>
      <c r="L50" s="126">
        <v>177</v>
      </c>
      <c r="M50" s="124" t="s">
        <v>267</v>
      </c>
      <c r="N50" s="124" t="s">
        <v>271</v>
      </c>
      <c r="O50" s="127" t="s">
        <v>1403</v>
      </c>
      <c r="P50" s="128">
        <v>2474623</v>
      </c>
      <c r="Q50" s="128">
        <v>0</v>
      </c>
      <c r="R50" s="128">
        <v>0</v>
      </c>
      <c r="S50" s="128">
        <f t="shared" si="1"/>
        <v>2474623</v>
      </c>
      <c r="T50" s="128">
        <f t="shared" si="0"/>
        <v>687.33799961114346</v>
      </c>
      <c r="U50" s="128">
        <v>1323.2243396383633</v>
      </c>
      <c r="V50" s="257">
        <f t="shared" si="2"/>
        <v>635.88634002721983</v>
      </c>
      <c r="W50" s="257">
        <f t="shared" si="3"/>
        <v>2620.8343396661385</v>
      </c>
      <c r="X50" s="257">
        <v>0</v>
      </c>
      <c r="Y50" s="258">
        <v>0</v>
      </c>
      <c r="Z50" s="258">
        <v>0</v>
      </c>
      <c r="AA50" s="258">
        <v>0</v>
      </c>
      <c r="AB50" s="258">
        <v>0</v>
      </c>
      <c r="AC50" s="258">
        <v>0</v>
      </c>
      <c r="AD50" s="258">
        <v>0</v>
      </c>
      <c r="AE50" s="258">
        <v>1512.41</v>
      </c>
      <c r="AF50" s="257">
        <f t="shared" si="5"/>
        <v>2620.8343396661385</v>
      </c>
      <c r="AG50" s="258">
        <v>0</v>
      </c>
      <c r="AH50" s="257">
        <v>0</v>
      </c>
      <c r="AI50" s="258">
        <v>0</v>
      </c>
      <c r="AJ50" s="257">
        <v>0</v>
      </c>
      <c r="AK50" s="258">
        <v>0</v>
      </c>
      <c r="AL50" s="258">
        <v>0</v>
      </c>
      <c r="AM50" s="258">
        <v>0</v>
      </c>
      <c r="AN50" s="258"/>
      <c r="AO50" s="258">
        <v>0</v>
      </c>
    </row>
    <row r="51" spans="1:41" s="259" customFormat="1" ht="36" customHeight="1" x14ac:dyDescent="0.25">
      <c r="A51" s="259">
        <v>1</v>
      </c>
      <c r="B51" s="135">
        <f>SUBTOTAL(103,$A$16:A51)</f>
        <v>36</v>
      </c>
      <c r="C51" s="94" t="s">
        <v>522</v>
      </c>
      <c r="D51" s="124">
        <v>1988</v>
      </c>
      <c r="E51" s="124"/>
      <c r="F51" s="129" t="s">
        <v>313</v>
      </c>
      <c r="G51" s="124">
        <v>5</v>
      </c>
      <c r="H51" s="124" t="s">
        <v>353</v>
      </c>
      <c r="I51" s="128">
        <v>5399</v>
      </c>
      <c r="J51" s="128">
        <v>3872.5</v>
      </c>
      <c r="K51" s="128">
        <v>3872.5</v>
      </c>
      <c r="L51" s="126">
        <v>192</v>
      </c>
      <c r="M51" s="124" t="s">
        <v>267</v>
      </c>
      <c r="N51" s="124" t="s">
        <v>271</v>
      </c>
      <c r="O51" s="127" t="s">
        <v>1093</v>
      </c>
      <c r="P51" s="128">
        <v>4187098.32</v>
      </c>
      <c r="Q51" s="128">
        <v>0</v>
      </c>
      <c r="R51" s="128">
        <v>0</v>
      </c>
      <c r="S51" s="128">
        <f t="shared" si="1"/>
        <v>4187098.32</v>
      </c>
      <c r="T51" s="128">
        <f t="shared" si="0"/>
        <v>775.53219485089824</v>
      </c>
      <c r="U51" s="128">
        <v>1159.5091683645119</v>
      </c>
      <c r="V51" s="257">
        <f t="shared" si="2"/>
        <v>383.97697351361364</v>
      </c>
      <c r="W51" s="257">
        <f t="shared" si="3"/>
        <v>2392.7531419336915</v>
      </c>
      <c r="X51" s="257">
        <v>0</v>
      </c>
      <c r="Y51" s="258">
        <v>0</v>
      </c>
      <c r="Z51" s="258">
        <v>0</v>
      </c>
      <c r="AA51" s="258">
        <v>0</v>
      </c>
      <c r="AB51" s="258">
        <v>0</v>
      </c>
      <c r="AC51" s="258">
        <v>0</v>
      </c>
      <c r="AD51" s="258">
        <v>0</v>
      </c>
      <c r="AE51" s="258">
        <v>2070.63</v>
      </c>
      <c r="AF51" s="257">
        <f t="shared" si="5"/>
        <v>2392.7531419336915</v>
      </c>
      <c r="AG51" s="258">
        <v>0</v>
      </c>
      <c r="AH51" s="257">
        <v>0</v>
      </c>
      <c r="AI51" s="258">
        <v>0</v>
      </c>
      <c r="AJ51" s="257">
        <v>0</v>
      </c>
      <c r="AK51" s="258">
        <v>0</v>
      </c>
      <c r="AL51" s="258">
        <v>0</v>
      </c>
      <c r="AM51" s="258">
        <v>0</v>
      </c>
      <c r="AN51" s="258"/>
      <c r="AO51" s="258">
        <v>0</v>
      </c>
    </row>
    <row r="52" spans="1:41" s="259" customFormat="1" ht="36" customHeight="1" x14ac:dyDescent="0.25">
      <c r="A52" s="259">
        <v>1</v>
      </c>
      <c r="B52" s="135">
        <f>SUBTOTAL(103,$A$16:A52)</f>
        <v>37</v>
      </c>
      <c r="C52" s="94" t="s">
        <v>523</v>
      </c>
      <c r="D52" s="124">
        <v>1987</v>
      </c>
      <c r="E52" s="124"/>
      <c r="F52" s="129" t="s">
        <v>313</v>
      </c>
      <c r="G52" s="124">
        <v>5</v>
      </c>
      <c r="H52" s="124" t="s">
        <v>314</v>
      </c>
      <c r="I52" s="128">
        <v>3281.4</v>
      </c>
      <c r="J52" s="128">
        <v>2306.6999999999998</v>
      </c>
      <c r="K52" s="128">
        <v>2306.6999999999998</v>
      </c>
      <c r="L52" s="126">
        <v>94</v>
      </c>
      <c r="M52" s="124" t="s">
        <v>267</v>
      </c>
      <c r="N52" s="124" t="s">
        <v>271</v>
      </c>
      <c r="O52" s="127" t="s">
        <v>1093</v>
      </c>
      <c r="P52" s="128">
        <v>2336593.75</v>
      </c>
      <c r="Q52" s="128">
        <v>0</v>
      </c>
      <c r="R52" s="128">
        <v>0</v>
      </c>
      <c r="S52" s="128">
        <f t="shared" si="1"/>
        <v>2336593.75</v>
      </c>
      <c r="T52" s="128">
        <f t="shared" si="0"/>
        <v>712.07221003230325</v>
      </c>
      <c r="U52" s="128">
        <v>1104.6047449259461</v>
      </c>
      <c r="V52" s="257">
        <f t="shared" si="2"/>
        <v>392.53253489364283</v>
      </c>
      <c r="W52" s="257">
        <f t="shared" si="3"/>
        <v>1446.8856311330528</v>
      </c>
      <c r="X52" s="257">
        <v>0</v>
      </c>
      <c r="Y52" s="258">
        <v>0</v>
      </c>
      <c r="Z52" s="258">
        <v>0</v>
      </c>
      <c r="AA52" s="258">
        <v>0</v>
      </c>
      <c r="AB52" s="258">
        <v>0</v>
      </c>
      <c r="AC52" s="258">
        <v>0</v>
      </c>
      <c r="AD52" s="258">
        <v>0</v>
      </c>
      <c r="AE52" s="258">
        <v>761</v>
      </c>
      <c r="AF52" s="257">
        <f t="shared" si="5"/>
        <v>1446.8856311330528</v>
      </c>
      <c r="AG52" s="258">
        <v>0</v>
      </c>
      <c r="AH52" s="257">
        <v>0</v>
      </c>
      <c r="AI52" s="258">
        <v>0</v>
      </c>
      <c r="AJ52" s="257">
        <v>0</v>
      </c>
      <c r="AK52" s="258">
        <v>0</v>
      </c>
      <c r="AL52" s="258">
        <v>0</v>
      </c>
      <c r="AM52" s="258">
        <v>0</v>
      </c>
      <c r="AN52" s="258"/>
      <c r="AO52" s="258">
        <v>0</v>
      </c>
    </row>
    <row r="53" spans="1:41" s="259" customFormat="1" ht="36" customHeight="1" x14ac:dyDescent="0.25">
      <c r="A53" s="259">
        <v>1</v>
      </c>
      <c r="B53" s="135">
        <f>SUBTOTAL(103,$A$16:A53)</f>
        <v>38</v>
      </c>
      <c r="C53" s="94" t="s">
        <v>524</v>
      </c>
      <c r="D53" s="124">
        <v>1952</v>
      </c>
      <c r="E53" s="124"/>
      <c r="F53" s="129" t="s">
        <v>269</v>
      </c>
      <c r="G53" s="124">
        <v>2</v>
      </c>
      <c r="H53" s="124" t="s">
        <v>305</v>
      </c>
      <c r="I53" s="128">
        <v>796</v>
      </c>
      <c r="J53" s="128">
        <v>722.8</v>
      </c>
      <c r="K53" s="128">
        <v>722.8</v>
      </c>
      <c r="L53" s="126">
        <v>49</v>
      </c>
      <c r="M53" s="124" t="s">
        <v>267</v>
      </c>
      <c r="N53" s="124" t="s">
        <v>271</v>
      </c>
      <c r="O53" s="127" t="s">
        <v>1387</v>
      </c>
      <c r="P53" s="128">
        <v>2470286.52</v>
      </c>
      <c r="Q53" s="128">
        <v>0</v>
      </c>
      <c r="R53" s="128">
        <v>0</v>
      </c>
      <c r="S53" s="128">
        <f t="shared" si="1"/>
        <v>2470286.52</v>
      </c>
      <c r="T53" s="128">
        <f t="shared" si="0"/>
        <v>3103.3750251256283</v>
      </c>
      <c r="U53" s="128">
        <v>6032.1177512562808</v>
      </c>
      <c r="V53" s="257">
        <f t="shared" si="2"/>
        <v>2928.7427261306525</v>
      </c>
      <c r="W53" s="257">
        <f t="shared" si="3"/>
        <v>7837.8266331658288</v>
      </c>
      <c r="X53" s="257">
        <v>0</v>
      </c>
      <c r="Y53" s="258">
        <v>0</v>
      </c>
      <c r="Z53" s="258">
        <v>0</v>
      </c>
      <c r="AA53" s="258">
        <v>0</v>
      </c>
      <c r="AB53" s="258">
        <v>0</v>
      </c>
      <c r="AC53" s="258">
        <v>0</v>
      </c>
      <c r="AD53" s="258">
        <v>0</v>
      </c>
      <c r="AE53" s="258">
        <v>1000</v>
      </c>
      <c r="AF53" s="257">
        <f t="shared" si="5"/>
        <v>7837.8266331658288</v>
      </c>
      <c r="AG53" s="258">
        <v>0</v>
      </c>
      <c r="AH53" s="257">
        <v>0</v>
      </c>
      <c r="AI53" s="258">
        <v>0</v>
      </c>
      <c r="AJ53" s="257">
        <v>0</v>
      </c>
      <c r="AK53" s="258">
        <v>0</v>
      </c>
      <c r="AL53" s="258">
        <v>0</v>
      </c>
      <c r="AM53" s="258">
        <v>0</v>
      </c>
      <c r="AN53" s="258"/>
      <c r="AO53" s="258">
        <v>0</v>
      </c>
    </row>
    <row r="54" spans="1:41" s="259" customFormat="1" ht="36" customHeight="1" x14ac:dyDescent="0.25">
      <c r="A54" s="259">
        <v>1</v>
      </c>
      <c r="B54" s="135">
        <f>SUBTOTAL(103,$A$16:A54)</f>
        <v>39</v>
      </c>
      <c r="C54" s="94" t="s">
        <v>525</v>
      </c>
      <c r="D54" s="124">
        <v>1989</v>
      </c>
      <c r="E54" s="124"/>
      <c r="F54" s="129" t="s">
        <v>313</v>
      </c>
      <c r="G54" s="124">
        <v>5</v>
      </c>
      <c r="H54" s="124" t="s">
        <v>310</v>
      </c>
      <c r="I54" s="128">
        <v>4350.1000000000004</v>
      </c>
      <c r="J54" s="128">
        <v>3109.8</v>
      </c>
      <c r="K54" s="128">
        <v>3109.8</v>
      </c>
      <c r="L54" s="126">
        <v>137</v>
      </c>
      <c r="M54" s="124" t="s">
        <v>267</v>
      </c>
      <c r="N54" s="124" t="s">
        <v>271</v>
      </c>
      <c r="O54" s="127" t="s">
        <v>1093</v>
      </c>
      <c r="P54" s="128">
        <v>3382151.3</v>
      </c>
      <c r="Q54" s="128">
        <v>0</v>
      </c>
      <c r="R54" s="128">
        <v>0</v>
      </c>
      <c r="S54" s="128">
        <f t="shared" si="1"/>
        <v>3382151.3</v>
      </c>
      <c r="T54" s="128">
        <f t="shared" si="0"/>
        <v>777.4881726856853</v>
      </c>
      <c r="U54" s="128">
        <v>1151.2728443024298</v>
      </c>
      <c r="V54" s="257">
        <f t="shared" si="2"/>
        <v>373.7846716167445</v>
      </c>
      <c r="W54" s="257">
        <f t="shared" si="3"/>
        <v>860.51952828670596</v>
      </c>
      <c r="X54" s="257">
        <v>0</v>
      </c>
      <c r="Y54" s="258">
        <v>0</v>
      </c>
      <c r="Z54" s="258">
        <v>0</v>
      </c>
      <c r="AA54" s="258">
        <v>0</v>
      </c>
      <c r="AB54" s="258">
        <v>0</v>
      </c>
      <c r="AC54" s="258">
        <v>0</v>
      </c>
      <c r="AD54" s="258">
        <v>0</v>
      </c>
      <c r="AE54" s="258">
        <v>600</v>
      </c>
      <c r="AF54" s="257">
        <f t="shared" si="5"/>
        <v>860.51952828670596</v>
      </c>
      <c r="AG54" s="258">
        <v>0</v>
      </c>
      <c r="AH54" s="257">
        <v>0</v>
      </c>
      <c r="AI54" s="258">
        <v>0</v>
      </c>
      <c r="AJ54" s="257">
        <v>0</v>
      </c>
      <c r="AK54" s="258">
        <v>0</v>
      </c>
      <c r="AL54" s="258">
        <v>0</v>
      </c>
      <c r="AM54" s="258">
        <v>0</v>
      </c>
      <c r="AN54" s="258"/>
      <c r="AO54" s="258">
        <v>0</v>
      </c>
    </row>
    <row r="55" spans="1:41" s="259" customFormat="1" ht="36" customHeight="1" x14ac:dyDescent="0.25">
      <c r="A55" s="259">
        <v>1</v>
      </c>
      <c r="B55" s="135">
        <f>SUBTOTAL(103,$A$16:A55)</f>
        <v>40</v>
      </c>
      <c r="C55" s="94" t="s">
        <v>526</v>
      </c>
      <c r="D55" s="124">
        <v>1958</v>
      </c>
      <c r="E55" s="124"/>
      <c r="F55" s="129" t="s">
        <v>269</v>
      </c>
      <c r="G55" s="124">
        <v>3</v>
      </c>
      <c r="H55" s="124" t="s">
        <v>314</v>
      </c>
      <c r="I55" s="128">
        <v>3520.2</v>
      </c>
      <c r="J55" s="128">
        <v>1801.8</v>
      </c>
      <c r="K55" s="128">
        <v>1401.4</v>
      </c>
      <c r="L55" s="126">
        <v>68</v>
      </c>
      <c r="M55" s="124" t="s">
        <v>267</v>
      </c>
      <c r="N55" s="124" t="s">
        <v>271</v>
      </c>
      <c r="O55" s="127" t="s">
        <v>1402</v>
      </c>
      <c r="P55" s="128">
        <v>4414109.6800000006</v>
      </c>
      <c r="Q55" s="128">
        <v>0</v>
      </c>
      <c r="R55" s="128">
        <v>0</v>
      </c>
      <c r="S55" s="128">
        <f t="shared" si="1"/>
        <v>4414109.6800000006</v>
      </c>
      <c r="T55" s="128">
        <f t="shared" si="0"/>
        <v>1253.9371853871942</v>
      </c>
      <c r="U55" s="128">
        <v>1893.9555565024714</v>
      </c>
      <c r="V55" s="257">
        <f t="shared" si="2"/>
        <v>640.0183711152772</v>
      </c>
      <c r="W55" s="257">
        <f t="shared" si="3"/>
        <v>1020.7482033407194</v>
      </c>
      <c r="X55" s="257">
        <v>0</v>
      </c>
      <c r="Y55" s="258">
        <v>0</v>
      </c>
      <c r="Z55" s="258">
        <v>0</v>
      </c>
      <c r="AA55" s="258">
        <v>0</v>
      </c>
      <c r="AB55" s="258">
        <v>0</v>
      </c>
      <c r="AC55" s="258">
        <v>0</v>
      </c>
      <c r="AD55" s="258">
        <v>0</v>
      </c>
      <c r="AE55" s="258">
        <v>575.94000000000005</v>
      </c>
      <c r="AF55" s="257">
        <f t="shared" si="5"/>
        <v>1020.7482033407194</v>
      </c>
      <c r="AG55" s="258">
        <v>0</v>
      </c>
      <c r="AH55" s="257">
        <v>0</v>
      </c>
      <c r="AI55" s="258">
        <v>0</v>
      </c>
      <c r="AJ55" s="257">
        <v>0</v>
      </c>
      <c r="AK55" s="258">
        <v>0</v>
      </c>
      <c r="AL55" s="258">
        <v>0</v>
      </c>
      <c r="AM55" s="258">
        <v>0</v>
      </c>
      <c r="AN55" s="258"/>
      <c r="AO55" s="258">
        <v>0</v>
      </c>
    </row>
    <row r="56" spans="1:41" s="259" customFormat="1" ht="36" customHeight="1" x14ac:dyDescent="0.25">
      <c r="A56" s="259">
        <v>1</v>
      </c>
      <c r="B56" s="135">
        <f>SUBTOTAL(103,$A$16:A56)</f>
        <v>41</v>
      </c>
      <c r="C56" s="94" t="s">
        <v>527</v>
      </c>
      <c r="D56" s="124">
        <v>1997</v>
      </c>
      <c r="E56" s="124"/>
      <c r="F56" s="129" t="s">
        <v>269</v>
      </c>
      <c r="G56" s="124">
        <v>4</v>
      </c>
      <c r="H56" s="124" t="s">
        <v>314</v>
      </c>
      <c r="I56" s="128">
        <v>2862.3</v>
      </c>
      <c r="J56" s="128">
        <v>2046.7</v>
      </c>
      <c r="K56" s="128">
        <v>2046.7</v>
      </c>
      <c r="L56" s="126">
        <v>95</v>
      </c>
      <c r="M56" s="124" t="s">
        <v>267</v>
      </c>
      <c r="N56" s="124" t="s">
        <v>271</v>
      </c>
      <c r="O56" s="127" t="s">
        <v>1403</v>
      </c>
      <c r="P56" s="128">
        <v>82721.55</v>
      </c>
      <c r="Q56" s="128">
        <v>0</v>
      </c>
      <c r="R56" s="128">
        <v>0</v>
      </c>
      <c r="S56" s="128">
        <f t="shared" si="1"/>
        <v>82721.55</v>
      </c>
      <c r="T56" s="128">
        <f t="shared" si="0"/>
        <v>28.900377318939313</v>
      </c>
      <c r="U56" s="128">
        <v>28.900377318939313</v>
      </c>
      <c r="V56" s="257">
        <f t="shared" si="2"/>
        <v>0</v>
      </c>
      <c r="W56" s="257">
        <f t="shared" si="3"/>
        <v>1743.7473360584145</v>
      </c>
      <c r="X56" s="257">
        <v>0</v>
      </c>
      <c r="Y56" s="258">
        <v>0</v>
      </c>
      <c r="Z56" s="258">
        <v>0</v>
      </c>
      <c r="AA56" s="258">
        <v>0</v>
      </c>
      <c r="AB56" s="258">
        <v>0</v>
      </c>
      <c r="AC56" s="258">
        <v>0</v>
      </c>
      <c r="AD56" s="258">
        <v>0</v>
      </c>
      <c r="AE56" s="258">
        <v>800</v>
      </c>
      <c r="AF56" s="257">
        <f t="shared" si="5"/>
        <v>1743.7473360584145</v>
      </c>
      <c r="AG56" s="258">
        <v>0</v>
      </c>
      <c r="AH56" s="257">
        <v>0</v>
      </c>
      <c r="AI56" s="258">
        <v>0</v>
      </c>
      <c r="AJ56" s="257">
        <v>0</v>
      </c>
      <c r="AK56" s="258">
        <v>0</v>
      </c>
      <c r="AL56" s="258">
        <v>0</v>
      </c>
      <c r="AM56" s="258">
        <v>0</v>
      </c>
      <c r="AN56" s="258"/>
      <c r="AO56" s="258">
        <v>0</v>
      </c>
    </row>
    <row r="57" spans="1:41" s="259" customFormat="1" ht="36" customHeight="1" x14ac:dyDescent="0.25">
      <c r="A57" s="259">
        <v>1</v>
      </c>
      <c r="B57" s="135">
        <f>SUBTOTAL(103,$A$16:A57)</f>
        <v>42</v>
      </c>
      <c r="C57" s="94" t="s">
        <v>528</v>
      </c>
      <c r="D57" s="124">
        <v>1995</v>
      </c>
      <c r="E57" s="124"/>
      <c r="F57" s="129" t="s">
        <v>313</v>
      </c>
      <c r="G57" s="124">
        <v>9</v>
      </c>
      <c r="H57" s="124" t="s">
        <v>310</v>
      </c>
      <c r="I57" s="128">
        <v>8787.9</v>
      </c>
      <c r="J57" s="128">
        <v>6287.1</v>
      </c>
      <c r="K57" s="128">
        <v>5664.6</v>
      </c>
      <c r="L57" s="126">
        <v>197</v>
      </c>
      <c r="M57" s="124" t="s">
        <v>267</v>
      </c>
      <c r="N57" s="124" t="s">
        <v>271</v>
      </c>
      <c r="O57" s="127" t="s">
        <v>1093</v>
      </c>
      <c r="P57" s="128">
        <v>3491771.3</v>
      </c>
      <c r="Q57" s="128">
        <v>0</v>
      </c>
      <c r="R57" s="128">
        <v>0</v>
      </c>
      <c r="S57" s="128">
        <f t="shared" si="1"/>
        <v>3491771.3</v>
      </c>
      <c r="T57" s="128">
        <f t="shared" si="0"/>
        <v>397.3385336656084</v>
      </c>
      <c r="U57" s="128">
        <v>840.66161642713269</v>
      </c>
      <c r="V57" s="257">
        <f t="shared" si="2"/>
        <v>443.32308276152429</v>
      </c>
      <c r="W57" s="257">
        <f t="shared" si="3"/>
        <v>756.0895265080394</v>
      </c>
      <c r="X57" s="257">
        <v>0</v>
      </c>
      <c r="Y57" s="258">
        <v>0</v>
      </c>
      <c r="Z57" s="258">
        <v>0</v>
      </c>
      <c r="AA57" s="258">
        <v>0</v>
      </c>
      <c r="AB57" s="258">
        <v>0</v>
      </c>
      <c r="AC57" s="258">
        <v>0</v>
      </c>
      <c r="AD57" s="258">
        <v>0</v>
      </c>
      <c r="AE57" s="258">
        <v>1065</v>
      </c>
      <c r="AF57" s="257">
        <f t="shared" si="5"/>
        <v>756.0895265080394</v>
      </c>
      <c r="AG57" s="258">
        <v>0</v>
      </c>
      <c r="AH57" s="257">
        <v>0</v>
      </c>
      <c r="AI57" s="258">
        <v>0</v>
      </c>
      <c r="AJ57" s="257">
        <v>0</v>
      </c>
      <c r="AK57" s="258">
        <v>0</v>
      </c>
      <c r="AL57" s="258">
        <v>0</v>
      </c>
      <c r="AM57" s="258">
        <v>0</v>
      </c>
      <c r="AN57" s="258"/>
      <c r="AO57" s="258">
        <v>0</v>
      </c>
    </row>
    <row r="58" spans="1:41" s="259" customFormat="1" ht="36" customHeight="1" x14ac:dyDescent="0.25">
      <c r="A58" s="259">
        <v>1</v>
      </c>
      <c r="B58" s="135">
        <f>SUBTOTAL(103,$A$16:A58)</f>
        <v>43</v>
      </c>
      <c r="C58" s="94" t="s">
        <v>529</v>
      </c>
      <c r="D58" s="124">
        <v>1988</v>
      </c>
      <c r="E58" s="124"/>
      <c r="F58" s="129" t="s">
        <v>269</v>
      </c>
      <c r="G58" s="124">
        <v>2</v>
      </c>
      <c r="H58" s="124" t="s">
        <v>305</v>
      </c>
      <c r="I58" s="128">
        <v>1063.8</v>
      </c>
      <c r="J58" s="128">
        <v>565.6</v>
      </c>
      <c r="K58" s="128">
        <v>565.6</v>
      </c>
      <c r="L58" s="126">
        <v>36</v>
      </c>
      <c r="M58" s="124" t="s">
        <v>267</v>
      </c>
      <c r="N58" s="124" t="s">
        <v>271</v>
      </c>
      <c r="O58" s="127" t="s">
        <v>1403</v>
      </c>
      <c r="P58" s="128">
        <v>62259.5</v>
      </c>
      <c r="Q58" s="128">
        <v>0</v>
      </c>
      <c r="R58" s="128">
        <v>0</v>
      </c>
      <c r="S58" s="128">
        <f t="shared" si="1"/>
        <v>62259.5</v>
      </c>
      <c r="T58" s="128">
        <f t="shared" si="0"/>
        <v>58.525568715924045</v>
      </c>
      <c r="U58" s="128">
        <v>58.525568715924045</v>
      </c>
      <c r="V58" s="257">
        <f t="shared" si="2"/>
        <v>0</v>
      </c>
      <c r="W58" s="257">
        <f t="shared" si="3"/>
        <v>5301.7246098890764</v>
      </c>
      <c r="X58" s="257">
        <v>0</v>
      </c>
      <c r="Y58" s="258">
        <v>0</v>
      </c>
      <c r="Z58" s="258">
        <v>0</v>
      </c>
      <c r="AA58" s="258">
        <v>0</v>
      </c>
      <c r="AB58" s="258">
        <v>0</v>
      </c>
      <c r="AC58" s="258">
        <v>0</v>
      </c>
      <c r="AD58" s="258">
        <v>0</v>
      </c>
      <c r="AE58" s="258">
        <v>904</v>
      </c>
      <c r="AF58" s="257">
        <f t="shared" si="5"/>
        <v>5301.7246098890764</v>
      </c>
      <c r="AG58" s="258">
        <v>0</v>
      </c>
      <c r="AH58" s="257">
        <v>0</v>
      </c>
      <c r="AI58" s="258">
        <v>0</v>
      </c>
      <c r="AJ58" s="257">
        <v>0</v>
      </c>
      <c r="AK58" s="258">
        <v>0</v>
      </c>
      <c r="AL58" s="258">
        <v>0</v>
      </c>
      <c r="AM58" s="258">
        <v>0</v>
      </c>
      <c r="AN58" s="258"/>
      <c r="AO58" s="258">
        <v>0</v>
      </c>
    </row>
    <row r="59" spans="1:41" s="259" customFormat="1" ht="36" customHeight="1" x14ac:dyDescent="0.25">
      <c r="A59" s="259">
        <v>1</v>
      </c>
      <c r="B59" s="135">
        <f>SUBTOTAL(103,$A$16:A59)</f>
        <v>44</v>
      </c>
      <c r="C59" s="94" t="s">
        <v>1376</v>
      </c>
      <c r="D59" s="124">
        <v>1971</v>
      </c>
      <c r="E59" s="124"/>
      <c r="F59" s="129" t="s">
        <v>269</v>
      </c>
      <c r="G59" s="124">
        <v>9</v>
      </c>
      <c r="H59" s="124" t="s">
        <v>306</v>
      </c>
      <c r="I59" s="128">
        <v>2016.9</v>
      </c>
      <c r="J59" s="128">
        <v>1902</v>
      </c>
      <c r="K59" s="128">
        <v>1902</v>
      </c>
      <c r="L59" s="126">
        <v>140</v>
      </c>
      <c r="M59" s="124" t="s">
        <v>267</v>
      </c>
      <c r="N59" s="124" t="s">
        <v>271</v>
      </c>
      <c r="O59" s="127" t="s">
        <v>1079</v>
      </c>
      <c r="P59" s="128">
        <v>605681</v>
      </c>
      <c r="Q59" s="128">
        <v>0</v>
      </c>
      <c r="R59" s="128">
        <v>0</v>
      </c>
      <c r="S59" s="128">
        <f t="shared" si="1"/>
        <v>605681</v>
      </c>
      <c r="T59" s="128">
        <f t="shared" si="0"/>
        <v>300.30294015568444</v>
      </c>
      <c r="U59" s="128">
        <v>949.03847211066477</v>
      </c>
      <c r="V59" s="257">
        <f t="shared" si="2"/>
        <v>648.73553195498039</v>
      </c>
      <c r="W59" s="257">
        <f t="shared" si="3"/>
        <v>3650.4227730675784</v>
      </c>
      <c r="X59" s="257">
        <v>0</v>
      </c>
      <c r="Y59" s="258">
        <v>0</v>
      </c>
      <c r="Z59" s="258">
        <v>0</v>
      </c>
      <c r="AA59" s="258">
        <v>0</v>
      </c>
      <c r="AB59" s="258">
        <v>0</v>
      </c>
      <c r="AC59" s="258">
        <v>0</v>
      </c>
      <c r="AD59" s="258">
        <v>0</v>
      </c>
      <c r="AE59" s="258">
        <v>1180.0999999999999</v>
      </c>
      <c r="AF59" s="257">
        <f t="shared" si="5"/>
        <v>3650.4227730675784</v>
      </c>
      <c r="AG59" s="258">
        <v>0</v>
      </c>
      <c r="AH59" s="257">
        <v>0</v>
      </c>
      <c r="AI59" s="258">
        <v>0</v>
      </c>
      <c r="AJ59" s="257">
        <v>0</v>
      </c>
      <c r="AK59" s="258">
        <v>0</v>
      </c>
      <c r="AL59" s="258">
        <v>0</v>
      </c>
      <c r="AM59" s="258">
        <v>0</v>
      </c>
      <c r="AN59" s="258"/>
      <c r="AO59" s="258">
        <v>0</v>
      </c>
    </row>
    <row r="60" spans="1:41" s="259" customFormat="1" ht="36" customHeight="1" x14ac:dyDescent="0.25">
      <c r="A60" s="259">
        <v>1</v>
      </c>
      <c r="B60" s="135">
        <f>SUBTOTAL(103,$A$16:A60)</f>
        <v>45</v>
      </c>
      <c r="C60" s="94" t="s">
        <v>1378</v>
      </c>
      <c r="D60" s="124">
        <v>1963</v>
      </c>
      <c r="E60" s="124"/>
      <c r="F60" s="129" t="s">
        <v>269</v>
      </c>
      <c r="G60" s="124">
        <v>5</v>
      </c>
      <c r="H60" s="124" t="s">
        <v>314</v>
      </c>
      <c r="I60" s="128">
        <v>2525.6</v>
      </c>
      <c r="J60" s="128">
        <v>1705.3</v>
      </c>
      <c r="K60" s="128">
        <v>1560.2</v>
      </c>
      <c r="L60" s="126">
        <v>98</v>
      </c>
      <c r="M60" s="124" t="s">
        <v>267</v>
      </c>
      <c r="N60" s="124" t="s">
        <v>271</v>
      </c>
      <c r="O60" s="127" t="s">
        <v>1390</v>
      </c>
      <c r="P60" s="128">
        <v>3492157.84</v>
      </c>
      <c r="Q60" s="128">
        <v>0</v>
      </c>
      <c r="R60" s="128">
        <v>0</v>
      </c>
      <c r="S60" s="128">
        <f t="shared" si="1"/>
        <v>3492157.84</v>
      </c>
      <c r="T60" s="128">
        <f t="shared" si="0"/>
        <v>1382.7042445359518</v>
      </c>
      <c r="U60" s="128">
        <v>1992.8701140323092</v>
      </c>
      <c r="V60" s="257">
        <f t="shared" si="2"/>
        <v>610.16586949635735</v>
      </c>
      <c r="W60" s="257">
        <f t="shared" si="3"/>
        <v>1395.7016748495407</v>
      </c>
      <c r="X60" s="257">
        <v>0</v>
      </c>
      <c r="Y60" s="258">
        <v>0</v>
      </c>
      <c r="Z60" s="258">
        <v>0</v>
      </c>
      <c r="AA60" s="258">
        <v>0</v>
      </c>
      <c r="AB60" s="258">
        <v>0</v>
      </c>
      <c r="AC60" s="258">
        <v>0</v>
      </c>
      <c r="AD60" s="258">
        <v>0</v>
      </c>
      <c r="AE60" s="258">
        <v>565</v>
      </c>
      <c r="AF60" s="257">
        <f t="shared" si="5"/>
        <v>1395.7016748495407</v>
      </c>
      <c r="AG60" s="258">
        <v>0</v>
      </c>
      <c r="AH60" s="257">
        <v>0</v>
      </c>
      <c r="AI60" s="258">
        <v>0</v>
      </c>
      <c r="AJ60" s="257">
        <v>0</v>
      </c>
      <c r="AK60" s="258">
        <v>0</v>
      </c>
      <c r="AL60" s="258">
        <v>0</v>
      </c>
      <c r="AM60" s="258">
        <v>0</v>
      </c>
      <c r="AN60" s="258"/>
      <c r="AO60" s="258">
        <v>0</v>
      </c>
    </row>
    <row r="61" spans="1:41" s="259" customFormat="1" ht="36" customHeight="1" x14ac:dyDescent="0.25">
      <c r="A61" s="259">
        <v>1</v>
      </c>
      <c r="B61" s="135">
        <f>SUBTOTAL(103,$A$16:A61)</f>
        <v>46</v>
      </c>
      <c r="C61" s="94" t="s">
        <v>1098</v>
      </c>
      <c r="D61" s="124">
        <v>1991</v>
      </c>
      <c r="E61" s="124"/>
      <c r="F61" s="129" t="s">
        <v>313</v>
      </c>
      <c r="G61" s="124">
        <v>9</v>
      </c>
      <c r="H61" s="124" t="s">
        <v>314</v>
      </c>
      <c r="I61" s="128">
        <v>6295.6</v>
      </c>
      <c r="J61" s="128">
        <v>6295.6</v>
      </c>
      <c r="K61" s="128">
        <v>6088.2</v>
      </c>
      <c r="L61" s="126">
        <v>252</v>
      </c>
      <c r="M61" s="124" t="s">
        <v>267</v>
      </c>
      <c r="N61" s="124" t="s">
        <v>271</v>
      </c>
      <c r="O61" s="127" t="s">
        <v>1389</v>
      </c>
      <c r="P61" s="128">
        <v>4195168.8</v>
      </c>
      <c r="Q61" s="128">
        <v>0</v>
      </c>
      <c r="R61" s="128">
        <v>0</v>
      </c>
      <c r="S61" s="128">
        <f t="shared" si="1"/>
        <v>4195168.8</v>
      </c>
      <c r="T61" s="128">
        <f t="shared" si="0"/>
        <v>666.36520744647044</v>
      </c>
      <c r="U61" s="128">
        <v>1171.198932587839</v>
      </c>
      <c r="V61" s="257">
        <f t="shared" si="2"/>
        <v>504.83372514136852</v>
      </c>
      <c r="W61" s="257">
        <f t="shared" si="3"/>
        <v>303.00672240930169</v>
      </c>
      <c r="X61" s="257">
        <v>0</v>
      </c>
      <c r="Y61" s="258">
        <v>0</v>
      </c>
      <c r="Z61" s="258">
        <v>0</v>
      </c>
      <c r="AA61" s="258">
        <v>0</v>
      </c>
      <c r="AB61" s="258">
        <v>0</v>
      </c>
      <c r="AC61" s="258">
        <v>0</v>
      </c>
      <c r="AD61" s="258">
        <v>0</v>
      </c>
      <c r="AE61" s="258">
        <v>305.76</v>
      </c>
      <c r="AF61" s="257">
        <f t="shared" si="5"/>
        <v>303.00672240930169</v>
      </c>
      <c r="AG61" s="258">
        <v>0</v>
      </c>
      <c r="AH61" s="257">
        <v>0</v>
      </c>
      <c r="AI61" s="258">
        <v>0</v>
      </c>
      <c r="AJ61" s="257">
        <v>0</v>
      </c>
      <c r="AK61" s="258">
        <v>0</v>
      </c>
      <c r="AL61" s="258">
        <v>0</v>
      </c>
      <c r="AM61" s="258">
        <v>0</v>
      </c>
      <c r="AN61" s="258"/>
      <c r="AO61" s="258">
        <v>0</v>
      </c>
    </row>
    <row r="62" spans="1:41" s="259" customFormat="1" ht="36" customHeight="1" x14ac:dyDescent="0.25">
      <c r="A62" s="259">
        <v>1</v>
      </c>
      <c r="B62" s="135">
        <f>SUBTOTAL(103,$A$16:A62)</f>
        <v>47</v>
      </c>
      <c r="C62" s="94" t="s">
        <v>1099</v>
      </c>
      <c r="D62" s="124">
        <v>1956</v>
      </c>
      <c r="E62" s="124"/>
      <c r="F62" s="129" t="s">
        <v>269</v>
      </c>
      <c r="G62" s="124">
        <v>5</v>
      </c>
      <c r="H62" s="124" t="s">
        <v>373</v>
      </c>
      <c r="I62" s="128">
        <v>6143.7</v>
      </c>
      <c r="J62" s="128">
        <v>6143.7</v>
      </c>
      <c r="K62" s="128">
        <v>5025</v>
      </c>
      <c r="L62" s="126">
        <v>163</v>
      </c>
      <c r="M62" s="124" t="s">
        <v>267</v>
      </c>
      <c r="N62" s="124" t="s">
        <v>343</v>
      </c>
      <c r="O62" s="127" t="s">
        <v>1649</v>
      </c>
      <c r="P62" s="128">
        <v>11667617.030000001</v>
      </c>
      <c r="Q62" s="128">
        <v>0</v>
      </c>
      <c r="R62" s="128">
        <v>0</v>
      </c>
      <c r="S62" s="128">
        <f t="shared" si="1"/>
        <v>11667617.030000001</v>
      </c>
      <c r="T62" s="128">
        <f t="shared" si="0"/>
        <v>1899.1189397268749</v>
      </c>
      <c r="U62" s="128">
        <v>7870.5259045851853</v>
      </c>
      <c r="V62" s="257">
        <f t="shared" si="2"/>
        <v>5971.4069648583099</v>
      </c>
      <c r="W62" s="257">
        <f t="shared" si="3"/>
        <v>801.22727183944539</v>
      </c>
      <c r="X62" s="257">
        <v>0</v>
      </c>
      <c r="Y62" s="258">
        <v>0</v>
      </c>
      <c r="Z62" s="258">
        <v>0</v>
      </c>
      <c r="AA62" s="258">
        <v>0</v>
      </c>
      <c r="AB62" s="258">
        <v>0</v>
      </c>
      <c r="AC62" s="258">
        <v>0</v>
      </c>
      <c r="AD62" s="258">
        <v>0</v>
      </c>
      <c r="AE62" s="258">
        <v>789</v>
      </c>
      <c r="AF62" s="257">
        <f t="shared" si="5"/>
        <v>801.22727183944539</v>
      </c>
      <c r="AG62" s="258">
        <v>0</v>
      </c>
      <c r="AH62" s="257">
        <v>0</v>
      </c>
      <c r="AI62" s="258">
        <v>0</v>
      </c>
      <c r="AJ62" s="257">
        <v>0</v>
      </c>
      <c r="AK62" s="258">
        <v>0</v>
      </c>
      <c r="AL62" s="258">
        <v>0</v>
      </c>
      <c r="AM62" s="258">
        <v>0</v>
      </c>
      <c r="AN62" s="258"/>
      <c r="AO62" s="258">
        <v>0</v>
      </c>
    </row>
    <row r="63" spans="1:41" s="259" customFormat="1" ht="36" customHeight="1" x14ac:dyDescent="0.25">
      <c r="A63" s="259">
        <v>1</v>
      </c>
      <c r="B63" s="135">
        <f>SUBTOTAL(103,$A$16:A63)</f>
        <v>48</v>
      </c>
      <c r="C63" s="94" t="s">
        <v>1100</v>
      </c>
      <c r="D63" s="124">
        <v>1959</v>
      </c>
      <c r="E63" s="124"/>
      <c r="F63" s="129" t="s">
        <v>269</v>
      </c>
      <c r="G63" s="124">
        <v>5</v>
      </c>
      <c r="H63" s="124" t="s">
        <v>310</v>
      </c>
      <c r="I63" s="128">
        <v>6884.6</v>
      </c>
      <c r="J63" s="128">
        <v>5562.9</v>
      </c>
      <c r="K63" s="128">
        <v>4628.7</v>
      </c>
      <c r="L63" s="126">
        <v>154</v>
      </c>
      <c r="M63" s="124" t="s">
        <v>267</v>
      </c>
      <c r="N63" s="124" t="s">
        <v>271</v>
      </c>
      <c r="O63" s="127" t="s">
        <v>1387</v>
      </c>
      <c r="P63" s="128">
        <v>7710494.8799999999</v>
      </c>
      <c r="Q63" s="128">
        <v>0</v>
      </c>
      <c r="R63" s="128">
        <v>0</v>
      </c>
      <c r="S63" s="128">
        <f t="shared" si="1"/>
        <v>7710494.8799999999</v>
      </c>
      <c r="T63" s="128">
        <f t="shared" si="0"/>
        <v>1119.9626528774365</v>
      </c>
      <c r="U63" s="128">
        <v>4162.4209766725735</v>
      </c>
      <c r="V63" s="257">
        <f t="shared" si="2"/>
        <v>3042.4583237951369</v>
      </c>
      <c r="W63" s="257">
        <f t="shared" si="3"/>
        <v>795.27897045579994</v>
      </c>
      <c r="X63" s="257">
        <v>0</v>
      </c>
      <c r="Y63" s="258">
        <v>0</v>
      </c>
      <c r="Z63" s="258">
        <v>0</v>
      </c>
      <c r="AA63" s="258">
        <v>0</v>
      </c>
      <c r="AB63" s="258">
        <v>0</v>
      </c>
      <c r="AC63" s="258">
        <v>0</v>
      </c>
      <c r="AD63" s="258">
        <v>0</v>
      </c>
      <c r="AE63" s="258">
        <v>0</v>
      </c>
      <c r="AF63" s="257">
        <v>0</v>
      </c>
      <c r="AG63" s="258">
        <v>0</v>
      </c>
      <c r="AH63" s="257">
        <v>0</v>
      </c>
      <c r="AI63" s="258">
        <v>736</v>
      </c>
      <c r="AJ63" s="257">
        <f>7439.1*AI63/I63</f>
        <v>795.27897045579994</v>
      </c>
      <c r="AK63" s="258">
        <v>0</v>
      </c>
      <c r="AL63" s="258">
        <v>0</v>
      </c>
      <c r="AM63" s="258">
        <v>0</v>
      </c>
      <c r="AN63" s="258"/>
      <c r="AO63" s="258">
        <v>0</v>
      </c>
    </row>
    <row r="64" spans="1:41" s="259" customFormat="1" ht="36" customHeight="1" x14ac:dyDescent="0.25">
      <c r="A64" s="259">
        <v>1</v>
      </c>
      <c r="B64" s="135">
        <f>SUBTOTAL(103,$A$16:A64)</f>
        <v>49</v>
      </c>
      <c r="C64" s="94" t="s">
        <v>1102</v>
      </c>
      <c r="D64" s="124">
        <v>1972</v>
      </c>
      <c r="E64" s="124"/>
      <c r="F64" s="129" t="s">
        <v>269</v>
      </c>
      <c r="G64" s="124">
        <v>4</v>
      </c>
      <c r="H64" s="124" t="s">
        <v>306</v>
      </c>
      <c r="I64" s="128">
        <v>2171.9</v>
      </c>
      <c r="J64" s="128">
        <v>2022.4</v>
      </c>
      <c r="K64" s="128">
        <v>225.6</v>
      </c>
      <c r="L64" s="126">
        <v>26</v>
      </c>
      <c r="M64" s="124" t="s">
        <v>267</v>
      </c>
      <c r="N64" s="124" t="s">
        <v>271</v>
      </c>
      <c r="O64" s="127" t="s">
        <v>1390</v>
      </c>
      <c r="P64" s="128">
        <v>952425.83000000007</v>
      </c>
      <c r="Q64" s="128">
        <v>0</v>
      </c>
      <c r="R64" s="128">
        <v>0</v>
      </c>
      <c r="S64" s="128">
        <f t="shared" si="1"/>
        <v>952425.83000000007</v>
      </c>
      <c r="T64" s="128">
        <f t="shared" si="0"/>
        <v>438.52195312859709</v>
      </c>
      <c r="U64" s="128">
        <v>630.65959390395506</v>
      </c>
      <c r="V64" s="257">
        <f t="shared" si="2"/>
        <v>192.13764077535797</v>
      </c>
      <c r="W64" s="257">
        <f t="shared" si="3"/>
        <v>3394.9076845158615</v>
      </c>
      <c r="X64" s="257">
        <v>0</v>
      </c>
      <c r="Y64" s="258">
        <v>0</v>
      </c>
      <c r="Z64" s="258">
        <v>0</v>
      </c>
      <c r="AA64" s="258">
        <v>0</v>
      </c>
      <c r="AB64" s="258">
        <v>0</v>
      </c>
      <c r="AC64" s="258">
        <v>3</v>
      </c>
      <c r="AD64" s="257">
        <f>2457800*AC64/I64</f>
        <v>3394.9076845158615</v>
      </c>
      <c r="AE64" s="258">
        <v>0</v>
      </c>
      <c r="AF64" s="257">
        <v>0</v>
      </c>
      <c r="AG64" s="258">
        <v>0</v>
      </c>
      <c r="AH64" s="257">
        <v>0</v>
      </c>
      <c r="AI64" s="258">
        <v>0</v>
      </c>
      <c r="AJ64" s="257">
        <v>0</v>
      </c>
      <c r="AK64" s="258">
        <v>0</v>
      </c>
      <c r="AL64" s="258">
        <v>0</v>
      </c>
      <c r="AM64" s="258">
        <v>0</v>
      </c>
      <c r="AN64" s="258"/>
      <c r="AO64" s="258">
        <v>0</v>
      </c>
    </row>
    <row r="65" spans="1:41" s="259" customFormat="1" ht="36" customHeight="1" x14ac:dyDescent="0.25">
      <c r="A65" s="259">
        <v>1</v>
      </c>
      <c r="B65" s="135">
        <f>SUBTOTAL(103,$A$16:A65)</f>
        <v>50</v>
      </c>
      <c r="C65" s="94" t="s">
        <v>1103</v>
      </c>
      <c r="D65" s="124">
        <v>1975</v>
      </c>
      <c r="E65" s="124"/>
      <c r="F65" s="129" t="s">
        <v>269</v>
      </c>
      <c r="G65" s="124">
        <v>5</v>
      </c>
      <c r="H65" s="124" t="s">
        <v>314</v>
      </c>
      <c r="I65" s="128">
        <v>2962.8</v>
      </c>
      <c r="J65" s="128">
        <v>2688.5</v>
      </c>
      <c r="K65" s="128">
        <v>2688.5</v>
      </c>
      <c r="L65" s="126">
        <v>117</v>
      </c>
      <c r="M65" s="124" t="s">
        <v>267</v>
      </c>
      <c r="N65" s="124" t="s">
        <v>271</v>
      </c>
      <c r="O65" s="127" t="s">
        <v>1328</v>
      </c>
      <c r="P65" s="128">
        <v>3306287.7600000002</v>
      </c>
      <c r="Q65" s="128">
        <v>0</v>
      </c>
      <c r="R65" s="128">
        <v>0</v>
      </c>
      <c r="S65" s="128">
        <f t="shared" si="1"/>
        <v>3306287.7600000002</v>
      </c>
      <c r="T65" s="128">
        <f t="shared" si="0"/>
        <v>1115.9334953422438</v>
      </c>
      <c r="U65" s="128">
        <v>1927.5629577764275</v>
      </c>
      <c r="V65" s="257">
        <f t="shared" si="2"/>
        <v>811.62946243418378</v>
      </c>
      <c r="W65" s="257">
        <f t="shared" si="3"/>
        <v>14533.788852774403</v>
      </c>
      <c r="X65" s="257">
        <v>0</v>
      </c>
      <c r="Y65" s="258">
        <v>0</v>
      </c>
      <c r="Z65" s="258">
        <v>0</v>
      </c>
      <c r="AA65" s="258">
        <v>0</v>
      </c>
      <c r="AB65" s="258">
        <v>0</v>
      </c>
      <c r="AC65" s="258">
        <v>0</v>
      </c>
      <c r="AD65" s="258">
        <v>0</v>
      </c>
      <c r="AE65" s="258">
        <v>0</v>
      </c>
      <c r="AF65" s="257">
        <v>0</v>
      </c>
      <c r="AG65" s="258">
        <v>0</v>
      </c>
      <c r="AH65" s="257">
        <v>0</v>
      </c>
      <c r="AI65" s="258">
        <v>5788.43</v>
      </c>
      <c r="AJ65" s="257">
        <f>7439.1*AI65/I65</f>
        <v>14533.788852774403</v>
      </c>
      <c r="AK65" s="258">
        <v>0</v>
      </c>
      <c r="AL65" s="258">
        <v>0</v>
      </c>
      <c r="AM65" s="258">
        <v>0</v>
      </c>
      <c r="AN65" s="258"/>
      <c r="AO65" s="258">
        <v>0</v>
      </c>
    </row>
    <row r="66" spans="1:41" s="259" customFormat="1" ht="36" customHeight="1" x14ac:dyDescent="0.25">
      <c r="A66" s="259">
        <v>1</v>
      </c>
      <c r="B66" s="135">
        <f>SUBTOTAL(103,$A$16:A66)</f>
        <v>51</v>
      </c>
      <c r="C66" s="94" t="s">
        <v>1105</v>
      </c>
      <c r="D66" s="124">
        <v>1971</v>
      </c>
      <c r="E66" s="124"/>
      <c r="F66" s="129" t="s">
        <v>269</v>
      </c>
      <c r="G66" s="124">
        <v>5</v>
      </c>
      <c r="H66" s="124" t="s">
        <v>310</v>
      </c>
      <c r="I66" s="128">
        <v>4188.1000000000004</v>
      </c>
      <c r="J66" s="128">
        <v>3145.1</v>
      </c>
      <c r="K66" s="128">
        <v>3145.1</v>
      </c>
      <c r="L66" s="126">
        <v>146</v>
      </c>
      <c r="M66" s="124" t="s">
        <v>267</v>
      </c>
      <c r="N66" s="124" t="s">
        <v>271</v>
      </c>
      <c r="O66" s="127" t="s">
        <v>1650</v>
      </c>
      <c r="P66" s="128">
        <v>4193947.02</v>
      </c>
      <c r="Q66" s="128">
        <v>0</v>
      </c>
      <c r="R66" s="128">
        <v>0</v>
      </c>
      <c r="S66" s="128">
        <f t="shared" si="1"/>
        <v>4193947.02</v>
      </c>
      <c r="T66" s="128">
        <f t="shared" si="0"/>
        <v>1001.3961032449081</v>
      </c>
      <c r="U66" s="128">
        <v>1617.6749361285547</v>
      </c>
      <c r="V66" s="257">
        <f t="shared" si="2"/>
        <v>616.2788328836466</v>
      </c>
      <c r="W66" s="257">
        <f t="shared" si="3"/>
        <v>6842.3875876889279</v>
      </c>
      <c r="X66" s="257">
        <v>0</v>
      </c>
      <c r="Y66" s="258">
        <v>0</v>
      </c>
      <c r="Z66" s="258">
        <v>0</v>
      </c>
      <c r="AA66" s="258">
        <v>0</v>
      </c>
      <c r="AB66" s="258">
        <v>0</v>
      </c>
      <c r="AC66" s="258">
        <v>0</v>
      </c>
      <c r="AD66" s="258">
        <v>0</v>
      </c>
      <c r="AE66" s="258">
        <v>0</v>
      </c>
      <c r="AF66" s="257">
        <v>0</v>
      </c>
      <c r="AG66" s="258">
        <v>0</v>
      </c>
      <c r="AH66" s="257">
        <v>0</v>
      </c>
      <c r="AI66" s="258">
        <v>3852.16</v>
      </c>
      <c r="AJ66" s="257">
        <f>7439.1*AI66/I66</f>
        <v>6842.3875876889279</v>
      </c>
      <c r="AK66" s="258">
        <v>0</v>
      </c>
      <c r="AL66" s="258">
        <v>0</v>
      </c>
      <c r="AM66" s="258">
        <v>0</v>
      </c>
      <c r="AN66" s="258"/>
      <c r="AO66" s="258">
        <v>0</v>
      </c>
    </row>
    <row r="67" spans="1:41" s="259" customFormat="1" ht="36" customHeight="1" x14ac:dyDescent="0.25">
      <c r="A67" s="259">
        <v>1</v>
      </c>
      <c r="B67" s="135">
        <f>SUBTOTAL(103,$A$16:A67)</f>
        <v>52</v>
      </c>
      <c r="C67" s="94" t="s">
        <v>1106</v>
      </c>
      <c r="D67" s="124">
        <v>1969</v>
      </c>
      <c r="E67" s="124"/>
      <c r="F67" s="129" t="s">
        <v>269</v>
      </c>
      <c r="G67" s="124">
        <v>5</v>
      </c>
      <c r="H67" s="124" t="s">
        <v>310</v>
      </c>
      <c r="I67" s="128">
        <v>4279.8</v>
      </c>
      <c r="J67" s="128">
        <v>4279.8</v>
      </c>
      <c r="K67" s="128">
        <v>3174.6</v>
      </c>
      <c r="L67" s="126">
        <v>136</v>
      </c>
      <c r="M67" s="124" t="s">
        <v>267</v>
      </c>
      <c r="N67" s="124" t="s">
        <v>271</v>
      </c>
      <c r="O67" s="127" t="s">
        <v>1651</v>
      </c>
      <c r="P67" s="128">
        <v>3323174.92</v>
      </c>
      <c r="Q67" s="128">
        <v>0</v>
      </c>
      <c r="R67" s="128">
        <v>0</v>
      </c>
      <c r="S67" s="128">
        <f t="shared" si="1"/>
        <v>3323174.92</v>
      </c>
      <c r="T67" s="128">
        <f t="shared" si="0"/>
        <v>776.47902238422353</v>
      </c>
      <c r="U67" s="128">
        <v>1382.425713584747</v>
      </c>
      <c r="V67" s="257">
        <f t="shared" si="2"/>
        <v>605.94669120052345</v>
      </c>
      <c r="W67" s="257">
        <f t="shared" si="3"/>
        <v>1784.2950231319219</v>
      </c>
      <c r="X67" s="257">
        <v>0</v>
      </c>
      <c r="Y67" s="258">
        <v>0</v>
      </c>
      <c r="Z67" s="258">
        <v>0</v>
      </c>
      <c r="AA67" s="258">
        <v>0</v>
      </c>
      <c r="AB67" s="258">
        <v>0</v>
      </c>
      <c r="AC67" s="258">
        <v>0</v>
      </c>
      <c r="AD67" s="258">
        <v>0</v>
      </c>
      <c r="AE67" s="258">
        <v>1224</v>
      </c>
      <c r="AF67" s="257">
        <f>6238.91*AE67/I67</f>
        <v>1784.2950231319219</v>
      </c>
      <c r="AG67" s="258">
        <v>0</v>
      </c>
      <c r="AH67" s="257">
        <v>0</v>
      </c>
      <c r="AI67" s="258"/>
      <c r="AJ67" s="257">
        <v>0</v>
      </c>
      <c r="AK67" s="258">
        <v>0</v>
      </c>
      <c r="AL67" s="258">
        <v>0</v>
      </c>
      <c r="AM67" s="258">
        <v>0</v>
      </c>
      <c r="AN67" s="258"/>
      <c r="AO67" s="258">
        <v>0</v>
      </c>
    </row>
    <row r="68" spans="1:41" s="259" customFormat="1" ht="36" customHeight="1" x14ac:dyDescent="0.25">
      <c r="A68" s="259">
        <v>1</v>
      </c>
      <c r="B68" s="135">
        <f>SUBTOTAL(103,$A$16:A68)</f>
        <v>53</v>
      </c>
      <c r="C68" s="94" t="s">
        <v>1107</v>
      </c>
      <c r="D68" s="124">
        <v>1968</v>
      </c>
      <c r="E68" s="124"/>
      <c r="F68" s="129" t="s">
        <v>313</v>
      </c>
      <c r="G68" s="124">
        <v>5</v>
      </c>
      <c r="H68" s="124" t="s">
        <v>310</v>
      </c>
      <c r="I68" s="128">
        <v>3877.8</v>
      </c>
      <c r="J68" s="128">
        <v>3554.6</v>
      </c>
      <c r="K68" s="128">
        <v>3554.6</v>
      </c>
      <c r="L68" s="126">
        <v>167</v>
      </c>
      <c r="M68" s="124" t="s">
        <v>267</v>
      </c>
      <c r="N68" s="124" t="s">
        <v>271</v>
      </c>
      <c r="O68" s="127" t="s">
        <v>1078</v>
      </c>
      <c r="P68" s="128">
        <v>4024360.63</v>
      </c>
      <c r="Q68" s="128">
        <v>0</v>
      </c>
      <c r="R68" s="128">
        <v>0</v>
      </c>
      <c r="S68" s="128">
        <f t="shared" si="1"/>
        <v>4024360.63</v>
      </c>
      <c r="T68" s="128">
        <f t="shared" si="0"/>
        <v>1037.7947882820156</v>
      </c>
      <c r="U68" s="128">
        <v>1561.8026235494353</v>
      </c>
      <c r="V68" s="257">
        <f t="shared" si="2"/>
        <v>524.00783526741975</v>
      </c>
      <c r="W68" s="257">
        <f t="shared" si="3"/>
        <v>352.02266955490228</v>
      </c>
      <c r="X68" s="257">
        <v>0</v>
      </c>
      <c r="Y68" s="258">
        <v>0</v>
      </c>
      <c r="Z68" s="258">
        <v>0</v>
      </c>
      <c r="AA68" s="258">
        <v>0</v>
      </c>
      <c r="AB68" s="258">
        <v>0</v>
      </c>
      <c r="AC68" s="258">
        <v>0</v>
      </c>
      <c r="AD68" s="258">
        <v>0</v>
      </c>
      <c r="AE68" s="258">
        <v>218.8</v>
      </c>
      <c r="AF68" s="257">
        <f>6238.91*AE68/I68</f>
        <v>352.02266955490228</v>
      </c>
      <c r="AG68" s="258">
        <v>0</v>
      </c>
      <c r="AH68" s="257">
        <v>0</v>
      </c>
      <c r="AI68" s="258">
        <v>0</v>
      </c>
      <c r="AJ68" s="257">
        <v>0</v>
      </c>
      <c r="AK68" s="258">
        <v>0</v>
      </c>
      <c r="AL68" s="258">
        <v>0</v>
      </c>
      <c r="AM68" s="258">
        <v>0</v>
      </c>
      <c r="AN68" s="258"/>
      <c r="AO68" s="258">
        <v>0</v>
      </c>
    </row>
    <row r="69" spans="1:41" s="259" customFormat="1" ht="36" customHeight="1" x14ac:dyDescent="0.25">
      <c r="A69" s="259">
        <v>1</v>
      </c>
      <c r="B69" s="135">
        <f>SUBTOTAL(103,$A$16:A69)</f>
        <v>54</v>
      </c>
      <c r="C69" s="94" t="s">
        <v>1108</v>
      </c>
      <c r="D69" s="124">
        <v>1968</v>
      </c>
      <c r="E69" s="124"/>
      <c r="F69" s="129" t="s">
        <v>313</v>
      </c>
      <c r="G69" s="124">
        <v>5</v>
      </c>
      <c r="H69" s="124" t="s">
        <v>314</v>
      </c>
      <c r="I69" s="128">
        <v>2807.9</v>
      </c>
      <c r="J69" s="128">
        <v>2603.9</v>
      </c>
      <c r="K69" s="128">
        <v>2603.9</v>
      </c>
      <c r="L69" s="126">
        <v>114</v>
      </c>
      <c r="M69" s="124" t="s">
        <v>267</v>
      </c>
      <c r="N69" s="124" t="s">
        <v>271</v>
      </c>
      <c r="O69" s="127" t="s">
        <v>1078</v>
      </c>
      <c r="P69" s="128">
        <v>2994194.1500000004</v>
      </c>
      <c r="Q69" s="128">
        <v>0</v>
      </c>
      <c r="R69" s="128">
        <v>0</v>
      </c>
      <c r="S69" s="128">
        <f t="shared" si="1"/>
        <v>2994194.1500000004</v>
      </c>
      <c r="T69" s="128">
        <f t="shared" si="0"/>
        <v>1066.3464332775384</v>
      </c>
      <c r="U69" s="128">
        <v>1598.5456141600482</v>
      </c>
      <c r="V69" s="257">
        <f t="shared" si="2"/>
        <v>532.19918088250984</v>
      </c>
      <c r="W69" s="257">
        <f t="shared" si="3"/>
        <v>2026.9847308308699</v>
      </c>
      <c r="X69" s="257">
        <v>0</v>
      </c>
      <c r="Y69" s="258">
        <v>0</v>
      </c>
      <c r="Z69" s="258">
        <v>0</v>
      </c>
      <c r="AA69" s="258">
        <v>0</v>
      </c>
      <c r="AB69" s="258">
        <v>0</v>
      </c>
      <c r="AC69" s="258">
        <v>0</v>
      </c>
      <c r="AD69" s="258">
        <v>0</v>
      </c>
      <c r="AE69" s="258">
        <v>912.27</v>
      </c>
      <c r="AF69" s="257">
        <f>6238.91*AE69/I69</f>
        <v>2026.9847308308699</v>
      </c>
      <c r="AG69" s="258">
        <v>0</v>
      </c>
      <c r="AH69" s="257">
        <v>0</v>
      </c>
      <c r="AI69" s="258">
        <v>0</v>
      </c>
      <c r="AJ69" s="257">
        <v>0</v>
      </c>
      <c r="AK69" s="258">
        <v>0</v>
      </c>
      <c r="AL69" s="258">
        <v>0</v>
      </c>
      <c r="AM69" s="258">
        <v>0</v>
      </c>
      <c r="AN69" s="258"/>
      <c r="AO69" s="258">
        <v>0</v>
      </c>
    </row>
    <row r="70" spans="1:41" s="259" customFormat="1" ht="36" customHeight="1" x14ac:dyDescent="0.25">
      <c r="A70" s="259">
        <v>1</v>
      </c>
      <c r="B70" s="135">
        <f>SUBTOTAL(103,$A$16:A70)</f>
        <v>55</v>
      </c>
      <c r="C70" s="94" t="s">
        <v>1110</v>
      </c>
      <c r="D70" s="124">
        <v>1959</v>
      </c>
      <c r="E70" s="124"/>
      <c r="F70" s="129" t="s">
        <v>269</v>
      </c>
      <c r="G70" s="124">
        <v>3</v>
      </c>
      <c r="H70" s="124" t="s">
        <v>314</v>
      </c>
      <c r="I70" s="128">
        <v>1338.5</v>
      </c>
      <c r="J70" s="128">
        <v>1165.2</v>
      </c>
      <c r="K70" s="128">
        <v>1165.2</v>
      </c>
      <c r="L70" s="126">
        <v>45</v>
      </c>
      <c r="M70" s="124" t="s">
        <v>267</v>
      </c>
      <c r="N70" s="124" t="s">
        <v>271</v>
      </c>
      <c r="O70" s="127" t="s">
        <v>1328</v>
      </c>
      <c r="P70" s="128">
        <v>4839579.08</v>
      </c>
      <c r="Q70" s="128">
        <v>0</v>
      </c>
      <c r="R70" s="128">
        <v>0</v>
      </c>
      <c r="S70" s="128">
        <f t="shared" si="1"/>
        <v>4839579.08</v>
      </c>
      <c r="T70" s="128">
        <f t="shared" si="0"/>
        <v>3615.6735748972733</v>
      </c>
      <c r="U70" s="128">
        <v>6030.2005976839746</v>
      </c>
      <c r="V70" s="257">
        <f t="shared" si="2"/>
        <v>2414.5270227867013</v>
      </c>
      <c r="W70" s="257">
        <f t="shared" si="3"/>
        <v>6288.0819872992161</v>
      </c>
      <c r="X70" s="257">
        <v>0</v>
      </c>
      <c r="Y70" s="258">
        <v>0</v>
      </c>
      <c r="Z70" s="258">
        <v>0</v>
      </c>
      <c r="AA70" s="258">
        <v>0</v>
      </c>
      <c r="AB70" s="258">
        <v>0</v>
      </c>
      <c r="AC70" s="258">
        <v>0</v>
      </c>
      <c r="AD70" s="258">
        <v>0</v>
      </c>
      <c r="AE70" s="258">
        <v>0</v>
      </c>
      <c r="AF70" s="257">
        <v>0</v>
      </c>
      <c r="AG70" s="258">
        <v>0</v>
      </c>
      <c r="AH70" s="257">
        <v>0</v>
      </c>
      <c r="AI70" s="258">
        <v>1131.4000000000001</v>
      </c>
      <c r="AJ70" s="257">
        <f>7439.1*AI70/I70</f>
        <v>6288.0819872992161</v>
      </c>
      <c r="AK70" s="258">
        <v>0</v>
      </c>
      <c r="AL70" s="258">
        <v>0</v>
      </c>
      <c r="AM70" s="258">
        <v>0</v>
      </c>
      <c r="AN70" s="258"/>
      <c r="AO70" s="258">
        <v>0</v>
      </c>
    </row>
    <row r="71" spans="1:41" s="259" customFormat="1" ht="36" customHeight="1" x14ac:dyDescent="0.25">
      <c r="A71" s="259">
        <v>1</v>
      </c>
      <c r="B71" s="135">
        <f>SUBTOTAL(103,$A$16:A71)</f>
        <v>56</v>
      </c>
      <c r="C71" s="94" t="s">
        <v>1111</v>
      </c>
      <c r="D71" s="124">
        <v>1974</v>
      </c>
      <c r="E71" s="124"/>
      <c r="F71" s="129" t="s">
        <v>313</v>
      </c>
      <c r="G71" s="124">
        <v>5</v>
      </c>
      <c r="H71" s="124" t="s">
        <v>353</v>
      </c>
      <c r="I71" s="128">
        <v>3933</v>
      </c>
      <c r="J71" s="128">
        <v>3385.49</v>
      </c>
      <c r="K71" s="128">
        <v>3385.49</v>
      </c>
      <c r="L71" s="126">
        <v>147</v>
      </c>
      <c r="M71" s="124" t="s">
        <v>267</v>
      </c>
      <c r="N71" s="124" t="s">
        <v>271</v>
      </c>
      <c r="O71" s="127" t="s">
        <v>1652</v>
      </c>
      <c r="P71" s="128">
        <v>1872015.22</v>
      </c>
      <c r="Q71" s="128">
        <v>0</v>
      </c>
      <c r="R71" s="128">
        <v>0</v>
      </c>
      <c r="S71" s="128">
        <f t="shared" si="1"/>
        <v>1872015.22</v>
      </c>
      <c r="T71" s="128">
        <f t="shared" si="0"/>
        <v>475.97640986524283</v>
      </c>
      <c r="U71" s="128">
        <v>1313.1596109839818</v>
      </c>
      <c r="V71" s="257">
        <f t="shared" si="2"/>
        <v>837.18320111873891</v>
      </c>
      <c r="W71" s="257">
        <f t="shared" si="3"/>
        <v>1722.5996440376305</v>
      </c>
      <c r="X71" s="257">
        <v>0</v>
      </c>
      <c r="Y71" s="258">
        <v>0</v>
      </c>
      <c r="Z71" s="258">
        <v>0</v>
      </c>
      <c r="AA71" s="258">
        <v>0</v>
      </c>
      <c r="AB71" s="258">
        <v>0</v>
      </c>
      <c r="AC71" s="258">
        <v>0</v>
      </c>
      <c r="AD71" s="258">
        <v>0</v>
      </c>
      <c r="AE71" s="258">
        <v>0</v>
      </c>
      <c r="AF71" s="257">
        <v>0</v>
      </c>
      <c r="AG71" s="258">
        <v>0</v>
      </c>
      <c r="AH71" s="257">
        <v>0</v>
      </c>
      <c r="AI71" s="258">
        <v>0</v>
      </c>
      <c r="AJ71" s="257">
        <v>0</v>
      </c>
      <c r="AK71" s="258">
        <v>0</v>
      </c>
      <c r="AL71" s="258">
        <v>0</v>
      </c>
      <c r="AM71" s="258">
        <v>970</v>
      </c>
      <c r="AN71" s="258">
        <f>6984.52*AM71/I71</f>
        <v>1722.5996440376305</v>
      </c>
      <c r="AO71" s="258">
        <v>0</v>
      </c>
    </row>
    <row r="72" spans="1:41" s="259" customFormat="1" ht="36" customHeight="1" x14ac:dyDescent="0.25">
      <c r="A72" s="259">
        <v>1</v>
      </c>
      <c r="B72" s="135">
        <f>SUBTOTAL(103,$A$16:A72)</f>
        <v>57</v>
      </c>
      <c r="C72" s="94" t="s">
        <v>1112</v>
      </c>
      <c r="D72" s="124">
        <v>1959</v>
      </c>
      <c r="E72" s="124"/>
      <c r="F72" s="129" t="s">
        <v>269</v>
      </c>
      <c r="G72" s="124">
        <v>2</v>
      </c>
      <c r="H72" s="124" t="s">
        <v>306</v>
      </c>
      <c r="I72" s="128">
        <v>445.1</v>
      </c>
      <c r="J72" s="128">
        <v>400.5</v>
      </c>
      <c r="K72" s="128">
        <v>400.5</v>
      </c>
      <c r="L72" s="126">
        <v>25</v>
      </c>
      <c r="M72" s="124" t="s">
        <v>267</v>
      </c>
      <c r="N72" s="124" t="s">
        <v>271</v>
      </c>
      <c r="O72" s="127" t="s">
        <v>1328</v>
      </c>
      <c r="P72" s="128">
        <v>2373016.2799999998</v>
      </c>
      <c r="Q72" s="128">
        <v>0</v>
      </c>
      <c r="R72" s="128">
        <v>0</v>
      </c>
      <c r="S72" s="128">
        <f t="shared" si="1"/>
        <v>2373016.2799999998</v>
      </c>
      <c r="T72" s="128">
        <f t="shared" si="0"/>
        <v>5331.4227813974385</v>
      </c>
      <c r="U72" s="128">
        <v>9333.5551449112572</v>
      </c>
      <c r="V72" s="257">
        <f t="shared" si="2"/>
        <v>4002.1323635138187</v>
      </c>
      <c r="W72" s="257">
        <f t="shared" si="3"/>
        <v>13247.346306447989</v>
      </c>
      <c r="X72" s="257">
        <v>0</v>
      </c>
      <c r="Y72" s="258">
        <v>0</v>
      </c>
      <c r="Z72" s="258">
        <v>0</v>
      </c>
      <c r="AA72" s="258">
        <v>0</v>
      </c>
      <c r="AB72" s="258">
        <v>0</v>
      </c>
      <c r="AC72" s="258">
        <v>0</v>
      </c>
      <c r="AD72" s="258">
        <v>0</v>
      </c>
      <c r="AE72" s="258">
        <v>945.1</v>
      </c>
      <c r="AF72" s="257">
        <f>6238.91*AE72/I72</f>
        <v>13247.346306447989</v>
      </c>
      <c r="AG72" s="258">
        <v>0</v>
      </c>
      <c r="AH72" s="257">
        <v>0</v>
      </c>
      <c r="AI72" s="258">
        <v>0</v>
      </c>
      <c r="AJ72" s="257">
        <v>0</v>
      </c>
      <c r="AK72" s="258">
        <v>0</v>
      </c>
      <c r="AL72" s="258">
        <v>0</v>
      </c>
      <c r="AM72" s="258">
        <v>0</v>
      </c>
      <c r="AN72" s="258"/>
      <c r="AO72" s="258">
        <v>0</v>
      </c>
    </row>
    <row r="73" spans="1:41" s="259" customFormat="1" ht="36" customHeight="1" x14ac:dyDescent="0.25">
      <c r="A73" s="259">
        <v>1</v>
      </c>
      <c r="B73" s="135">
        <f>SUBTOTAL(103,$A$16:A73)</f>
        <v>58</v>
      </c>
      <c r="C73" s="94" t="s">
        <v>1113</v>
      </c>
      <c r="D73" s="124">
        <v>1972</v>
      </c>
      <c r="E73" s="124"/>
      <c r="F73" s="129" t="s">
        <v>269</v>
      </c>
      <c r="G73" s="124">
        <v>5</v>
      </c>
      <c r="H73" s="124" t="s">
        <v>310</v>
      </c>
      <c r="I73" s="128">
        <v>4186.3</v>
      </c>
      <c r="J73" s="128">
        <v>4186.3</v>
      </c>
      <c r="K73" s="128">
        <v>2706.5</v>
      </c>
      <c r="L73" s="126">
        <v>111</v>
      </c>
      <c r="M73" s="124" t="s">
        <v>267</v>
      </c>
      <c r="N73" s="124" t="s">
        <v>271</v>
      </c>
      <c r="O73" s="127" t="s">
        <v>1078</v>
      </c>
      <c r="P73" s="128">
        <v>3249268.89</v>
      </c>
      <c r="Q73" s="128">
        <v>0</v>
      </c>
      <c r="R73" s="128">
        <v>0</v>
      </c>
      <c r="S73" s="128">
        <f t="shared" si="1"/>
        <v>3249268.89</v>
      </c>
      <c r="T73" s="128">
        <f t="shared" si="0"/>
        <v>776.16723359529897</v>
      </c>
      <c r="U73" s="128">
        <v>1750.5143955282704</v>
      </c>
      <c r="V73" s="257">
        <f t="shared" si="2"/>
        <v>974.3471619329714</v>
      </c>
      <c r="W73" s="257">
        <f t="shared" si="3"/>
        <v>1441.7913408976901</v>
      </c>
      <c r="X73" s="257">
        <v>0</v>
      </c>
      <c r="Y73" s="258">
        <v>0</v>
      </c>
      <c r="Z73" s="258">
        <v>0</v>
      </c>
      <c r="AA73" s="258">
        <v>0</v>
      </c>
      <c r="AB73" s="258">
        <v>0</v>
      </c>
      <c r="AC73" s="258">
        <v>0</v>
      </c>
      <c r="AD73" s="258">
        <v>0</v>
      </c>
      <c r="AE73" s="258">
        <v>967.44</v>
      </c>
      <c r="AF73" s="257">
        <f>6238.91*AE73/I73</f>
        <v>1441.7913408976901</v>
      </c>
      <c r="AG73" s="258">
        <v>0</v>
      </c>
      <c r="AH73" s="257">
        <v>0</v>
      </c>
      <c r="AI73" s="258">
        <v>0</v>
      </c>
      <c r="AJ73" s="257">
        <v>0</v>
      </c>
      <c r="AK73" s="258">
        <v>0</v>
      </c>
      <c r="AL73" s="258">
        <v>0</v>
      </c>
      <c r="AM73" s="258">
        <v>0</v>
      </c>
      <c r="AN73" s="258"/>
      <c r="AO73" s="258">
        <v>0</v>
      </c>
    </row>
    <row r="74" spans="1:41" s="259" customFormat="1" ht="36" customHeight="1" x14ac:dyDescent="0.25">
      <c r="A74" s="259">
        <v>1</v>
      </c>
      <c r="B74" s="135">
        <f>SUBTOTAL(103,$A$16:A74)</f>
        <v>59</v>
      </c>
      <c r="C74" s="94" t="s">
        <v>1114</v>
      </c>
      <c r="D74" s="124">
        <v>1969</v>
      </c>
      <c r="E74" s="124"/>
      <c r="F74" s="129" t="s">
        <v>269</v>
      </c>
      <c r="G74" s="124">
        <v>9</v>
      </c>
      <c r="H74" s="124" t="s">
        <v>306</v>
      </c>
      <c r="I74" s="128">
        <v>3727.1</v>
      </c>
      <c r="J74" s="128">
        <v>3470.9</v>
      </c>
      <c r="K74" s="128">
        <v>2066.9</v>
      </c>
      <c r="L74" s="126">
        <v>77</v>
      </c>
      <c r="M74" s="124" t="s">
        <v>267</v>
      </c>
      <c r="N74" s="124" t="s">
        <v>271</v>
      </c>
      <c r="O74" s="127" t="s">
        <v>1078</v>
      </c>
      <c r="P74" s="128">
        <v>2561819.3000000003</v>
      </c>
      <c r="Q74" s="128">
        <v>0</v>
      </c>
      <c r="R74" s="128">
        <v>0</v>
      </c>
      <c r="S74" s="128">
        <f t="shared" si="1"/>
        <v>2561819.3000000003</v>
      </c>
      <c r="T74" s="128">
        <f t="shared" si="0"/>
        <v>687.34922593973874</v>
      </c>
      <c r="U74" s="128">
        <v>1560.3864962034825</v>
      </c>
      <c r="V74" s="257">
        <f t="shared" si="2"/>
        <v>873.03727026374372</v>
      </c>
      <c r="W74" s="257">
        <f t="shared" si="3"/>
        <v>1200.2088674841029</v>
      </c>
      <c r="X74" s="257">
        <v>0</v>
      </c>
      <c r="Y74" s="258">
        <v>0</v>
      </c>
      <c r="Z74" s="258">
        <v>0</v>
      </c>
      <c r="AA74" s="258">
        <v>0</v>
      </c>
      <c r="AB74" s="258">
        <v>0</v>
      </c>
      <c r="AC74" s="258">
        <v>0</v>
      </c>
      <c r="AD74" s="258">
        <v>0</v>
      </c>
      <c r="AE74" s="258">
        <v>717</v>
      </c>
      <c r="AF74" s="257">
        <f>6238.91*AE74/I74</f>
        <v>1200.2088674841029</v>
      </c>
      <c r="AG74" s="258">
        <v>0</v>
      </c>
      <c r="AH74" s="257">
        <v>0</v>
      </c>
      <c r="AI74" s="258">
        <v>0</v>
      </c>
      <c r="AJ74" s="257">
        <v>0</v>
      </c>
      <c r="AK74" s="258">
        <v>0</v>
      </c>
      <c r="AL74" s="258">
        <v>0</v>
      </c>
      <c r="AM74" s="258">
        <v>0</v>
      </c>
      <c r="AN74" s="258"/>
      <c r="AO74" s="258">
        <v>0</v>
      </c>
    </row>
    <row r="75" spans="1:41" s="259" customFormat="1" ht="36" customHeight="1" x14ac:dyDescent="0.25">
      <c r="A75" s="259">
        <v>1</v>
      </c>
      <c r="B75" s="135">
        <f>SUBTOTAL(103,$A$16:A75)</f>
        <v>60</v>
      </c>
      <c r="C75" s="94" t="s">
        <v>1115</v>
      </c>
      <c r="D75" s="124">
        <v>1968</v>
      </c>
      <c r="E75" s="124"/>
      <c r="F75" s="129" t="s">
        <v>269</v>
      </c>
      <c r="G75" s="124">
        <v>9</v>
      </c>
      <c r="H75" s="124" t="s">
        <v>306</v>
      </c>
      <c r="I75" s="128">
        <v>3105.6</v>
      </c>
      <c r="J75" s="128">
        <v>2845.2</v>
      </c>
      <c r="K75" s="128">
        <v>2051.8000000000002</v>
      </c>
      <c r="L75" s="126">
        <v>100</v>
      </c>
      <c r="M75" s="124" t="s">
        <v>267</v>
      </c>
      <c r="N75" s="124" t="s">
        <v>271</v>
      </c>
      <c r="O75" s="127" t="s">
        <v>1078</v>
      </c>
      <c r="P75" s="128">
        <v>967510.08</v>
      </c>
      <c r="Q75" s="128">
        <v>0</v>
      </c>
      <c r="R75" s="128">
        <v>0</v>
      </c>
      <c r="S75" s="128">
        <f t="shared" si="1"/>
        <v>967510.08</v>
      </c>
      <c r="T75" s="128">
        <f t="shared" si="0"/>
        <v>311.53724884080373</v>
      </c>
      <c r="U75" s="128">
        <v>735.75777627511582</v>
      </c>
      <c r="V75" s="257">
        <f t="shared" si="2"/>
        <v>424.22052743431209</v>
      </c>
      <c r="W75" s="257">
        <f t="shared" si="3"/>
        <v>2598.9900502318392</v>
      </c>
      <c r="X75" s="257">
        <v>0</v>
      </c>
      <c r="Y75" s="258">
        <v>0</v>
      </c>
      <c r="Z75" s="258">
        <v>0</v>
      </c>
      <c r="AA75" s="258">
        <v>0</v>
      </c>
      <c r="AB75" s="258">
        <v>0</v>
      </c>
      <c r="AC75" s="258">
        <v>0</v>
      </c>
      <c r="AD75" s="258">
        <v>0</v>
      </c>
      <c r="AE75" s="258">
        <v>0</v>
      </c>
      <c r="AF75" s="257">
        <v>0</v>
      </c>
      <c r="AG75" s="258">
        <v>0</v>
      </c>
      <c r="AH75" s="257">
        <v>0</v>
      </c>
      <c r="AI75" s="258">
        <v>1085</v>
      </c>
      <c r="AJ75" s="257">
        <f>7439.1*AI75/I75</f>
        <v>2598.9900502318392</v>
      </c>
      <c r="AK75" s="258">
        <v>0</v>
      </c>
      <c r="AL75" s="258">
        <v>0</v>
      </c>
      <c r="AM75" s="258">
        <v>0</v>
      </c>
      <c r="AN75" s="258"/>
      <c r="AO75" s="258">
        <v>0</v>
      </c>
    </row>
    <row r="76" spans="1:41" s="259" customFormat="1" ht="36" customHeight="1" x14ac:dyDescent="0.25">
      <c r="A76" s="259">
        <v>1</v>
      </c>
      <c r="B76" s="135">
        <f>SUBTOTAL(103,$A$16:A76)</f>
        <v>61</v>
      </c>
      <c r="C76" s="94" t="s">
        <v>1116</v>
      </c>
      <c r="D76" s="124">
        <v>1968</v>
      </c>
      <c r="E76" s="124"/>
      <c r="F76" s="129" t="s">
        <v>269</v>
      </c>
      <c r="G76" s="124">
        <v>9</v>
      </c>
      <c r="H76" s="124" t="s">
        <v>306</v>
      </c>
      <c r="I76" s="128">
        <v>3131.6</v>
      </c>
      <c r="J76" s="128">
        <v>3111.4</v>
      </c>
      <c r="K76" s="128">
        <v>2076</v>
      </c>
      <c r="L76" s="126">
        <v>82</v>
      </c>
      <c r="M76" s="124" t="s">
        <v>267</v>
      </c>
      <c r="N76" s="124" t="s">
        <v>271</v>
      </c>
      <c r="O76" s="127" t="s">
        <v>1078</v>
      </c>
      <c r="P76" s="128">
        <v>966024.86</v>
      </c>
      <c r="Q76" s="128">
        <v>0</v>
      </c>
      <c r="R76" s="128">
        <v>0</v>
      </c>
      <c r="S76" s="128">
        <f t="shared" si="1"/>
        <v>966024.86</v>
      </c>
      <c r="T76" s="128">
        <f t="shared" si="0"/>
        <v>308.47645293140886</v>
      </c>
      <c r="U76" s="128">
        <v>715.65590113679912</v>
      </c>
      <c r="V76" s="257">
        <f t="shared" si="2"/>
        <v>407.17944820539026</v>
      </c>
      <c r="W76" s="257">
        <f t="shared" si="3"/>
        <v>1741.5794941244092</v>
      </c>
      <c r="X76" s="257">
        <v>0</v>
      </c>
      <c r="Y76" s="258">
        <v>0</v>
      </c>
      <c r="Z76" s="258">
        <v>0</v>
      </c>
      <c r="AA76" s="258">
        <v>0</v>
      </c>
      <c r="AB76" s="258">
        <v>0</v>
      </c>
      <c r="AC76" s="258">
        <v>0</v>
      </c>
      <c r="AD76" s="258">
        <v>0</v>
      </c>
      <c r="AE76" s="258">
        <v>874.18</v>
      </c>
      <c r="AF76" s="257">
        <f>6238.91*AE76/I76</f>
        <v>1741.5794941244092</v>
      </c>
      <c r="AG76" s="258">
        <v>0</v>
      </c>
      <c r="AH76" s="257">
        <v>0</v>
      </c>
      <c r="AI76" s="258">
        <v>0</v>
      </c>
      <c r="AJ76" s="257">
        <v>0</v>
      </c>
      <c r="AK76" s="258">
        <v>0</v>
      </c>
      <c r="AL76" s="258">
        <v>0</v>
      </c>
      <c r="AM76" s="258">
        <v>0</v>
      </c>
      <c r="AN76" s="258"/>
      <c r="AO76" s="258">
        <v>0</v>
      </c>
    </row>
    <row r="77" spans="1:41" s="259" customFormat="1" ht="36" customHeight="1" x14ac:dyDescent="0.25">
      <c r="A77" s="259">
        <v>1</v>
      </c>
      <c r="B77" s="135">
        <f>SUBTOTAL(103,$A$16:A77)</f>
        <v>62</v>
      </c>
      <c r="C77" s="94" t="s">
        <v>1117</v>
      </c>
      <c r="D77" s="124">
        <v>1991</v>
      </c>
      <c r="E77" s="124"/>
      <c r="F77" s="129" t="s">
        <v>269</v>
      </c>
      <c r="G77" s="124">
        <v>10</v>
      </c>
      <c r="H77" s="124" t="s">
        <v>305</v>
      </c>
      <c r="I77" s="128">
        <v>5027.3999999999996</v>
      </c>
      <c r="J77" s="128">
        <v>5027.3999999999996</v>
      </c>
      <c r="K77" s="128">
        <v>4982.1000000000004</v>
      </c>
      <c r="L77" s="126">
        <v>264</v>
      </c>
      <c r="M77" s="124" t="s">
        <v>267</v>
      </c>
      <c r="N77" s="124" t="s">
        <v>271</v>
      </c>
      <c r="O77" s="127" t="s">
        <v>1389</v>
      </c>
      <c r="P77" s="128">
        <v>2880785.14</v>
      </c>
      <c r="Q77" s="128">
        <v>0</v>
      </c>
      <c r="R77" s="128">
        <v>0</v>
      </c>
      <c r="S77" s="128">
        <f t="shared" si="1"/>
        <v>2880785.14</v>
      </c>
      <c r="T77" s="128">
        <f t="shared" ref="T77:T140" si="6">P77/I77</f>
        <v>573.01689541313613</v>
      </c>
      <c r="U77" s="128">
        <v>1058.940605481959</v>
      </c>
      <c r="V77" s="257">
        <f t="shared" si="2"/>
        <v>485.92371006882286</v>
      </c>
      <c r="W77" s="257">
        <f t="shared" si="3"/>
        <v>826.34470998925906</v>
      </c>
      <c r="X77" s="257">
        <v>0</v>
      </c>
      <c r="Y77" s="258">
        <v>0</v>
      </c>
      <c r="Z77" s="258">
        <v>0</v>
      </c>
      <c r="AA77" s="258">
        <v>0</v>
      </c>
      <c r="AB77" s="258">
        <v>0</v>
      </c>
      <c r="AC77" s="258">
        <v>0</v>
      </c>
      <c r="AD77" s="258">
        <v>0</v>
      </c>
      <c r="AE77" s="258">
        <v>0</v>
      </c>
      <c r="AF77" s="257">
        <v>0</v>
      </c>
      <c r="AG77" s="258">
        <v>0</v>
      </c>
      <c r="AH77" s="257">
        <v>0</v>
      </c>
      <c r="AI77" s="258">
        <v>558.45000000000005</v>
      </c>
      <c r="AJ77" s="257">
        <f>7439.1*AI77/I77</f>
        <v>826.34470998925906</v>
      </c>
      <c r="AK77" s="258">
        <v>0</v>
      </c>
      <c r="AL77" s="258">
        <v>0</v>
      </c>
      <c r="AM77" s="258">
        <v>0</v>
      </c>
      <c r="AN77" s="258"/>
      <c r="AO77" s="258">
        <v>0</v>
      </c>
    </row>
    <row r="78" spans="1:41" s="259" customFormat="1" ht="36" customHeight="1" x14ac:dyDescent="0.25">
      <c r="A78" s="259">
        <v>1</v>
      </c>
      <c r="B78" s="135">
        <f>SUBTOTAL(103,$A$16:A78)</f>
        <v>63</v>
      </c>
      <c r="C78" s="94" t="s">
        <v>1118</v>
      </c>
      <c r="D78" s="124">
        <v>1984</v>
      </c>
      <c r="E78" s="124"/>
      <c r="F78" s="129" t="s">
        <v>313</v>
      </c>
      <c r="G78" s="124">
        <v>16</v>
      </c>
      <c r="H78" s="124" t="s">
        <v>306</v>
      </c>
      <c r="I78" s="128">
        <v>4635.7</v>
      </c>
      <c r="J78" s="128">
        <v>4635.7</v>
      </c>
      <c r="K78" s="128">
        <v>4568</v>
      </c>
      <c r="L78" s="126">
        <v>218</v>
      </c>
      <c r="M78" s="124" t="s">
        <v>267</v>
      </c>
      <c r="N78" s="124" t="s">
        <v>271</v>
      </c>
      <c r="O78" s="127" t="s">
        <v>1389</v>
      </c>
      <c r="P78" s="128">
        <v>3859190.52</v>
      </c>
      <c r="Q78" s="128">
        <v>0</v>
      </c>
      <c r="R78" s="128">
        <v>0</v>
      </c>
      <c r="S78" s="128">
        <f t="shared" si="1"/>
        <v>3859190.52</v>
      </c>
      <c r="T78" s="128">
        <f t="shared" si="6"/>
        <v>832.4935867290809</v>
      </c>
      <c r="U78" s="128">
        <v>1396.6848588131243</v>
      </c>
      <c r="V78" s="257">
        <f t="shared" si="2"/>
        <v>564.19127208404336</v>
      </c>
      <c r="W78" s="257">
        <f t="shared" si="3"/>
        <v>1575.440180770973</v>
      </c>
      <c r="X78" s="257">
        <v>0</v>
      </c>
      <c r="Y78" s="258">
        <v>0</v>
      </c>
      <c r="Z78" s="258">
        <v>0</v>
      </c>
      <c r="AA78" s="258">
        <v>0</v>
      </c>
      <c r="AB78" s="258">
        <v>0</v>
      </c>
      <c r="AC78" s="258">
        <v>0</v>
      </c>
      <c r="AD78" s="258">
        <v>0</v>
      </c>
      <c r="AE78" s="258">
        <v>1170.5999999999999</v>
      </c>
      <c r="AF78" s="257">
        <f>6238.91*AE78/I78</f>
        <v>1575.440180770973</v>
      </c>
      <c r="AG78" s="258">
        <v>0</v>
      </c>
      <c r="AH78" s="257">
        <v>0</v>
      </c>
      <c r="AI78" s="258">
        <v>0</v>
      </c>
      <c r="AJ78" s="257">
        <v>0</v>
      </c>
      <c r="AK78" s="258">
        <v>0</v>
      </c>
      <c r="AL78" s="258">
        <v>0</v>
      </c>
      <c r="AM78" s="258">
        <v>0</v>
      </c>
      <c r="AN78" s="258"/>
      <c r="AO78" s="258">
        <v>0</v>
      </c>
    </row>
    <row r="79" spans="1:41" s="259" customFormat="1" ht="36" customHeight="1" x14ac:dyDescent="0.25">
      <c r="A79" s="259">
        <v>1</v>
      </c>
      <c r="B79" s="135">
        <f>SUBTOTAL(103,$A$16:A79)</f>
        <v>64</v>
      </c>
      <c r="C79" s="94" t="s">
        <v>1121</v>
      </c>
      <c r="D79" s="124">
        <v>1932</v>
      </c>
      <c r="E79" s="124"/>
      <c r="F79" s="129" t="s">
        <v>269</v>
      </c>
      <c r="G79" s="124">
        <v>4</v>
      </c>
      <c r="H79" s="124" t="s">
        <v>314</v>
      </c>
      <c r="I79" s="128">
        <v>2130.17</v>
      </c>
      <c r="J79" s="128">
        <v>1904.67</v>
      </c>
      <c r="K79" s="128">
        <v>1323.47</v>
      </c>
      <c r="L79" s="126">
        <v>68</v>
      </c>
      <c r="M79" s="124" t="s">
        <v>267</v>
      </c>
      <c r="N79" s="124" t="s">
        <v>271</v>
      </c>
      <c r="O79" s="127" t="s">
        <v>1328</v>
      </c>
      <c r="P79" s="128">
        <v>216770.67</v>
      </c>
      <c r="Q79" s="128">
        <v>0</v>
      </c>
      <c r="R79" s="128">
        <v>0</v>
      </c>
      <c r="S79" s="128">
        <f t="shared" si="1"/>
        <v>216770.67</v>
      </c>
      <c r="T79" s="128">
        <f t="shared" si="6"/>
        <v>101.76214574423638</v>
      </c>
      <c r="U79" s="128">
        <v>199.26</v>
      </c>
      <c r="V79" s="257">
        <f t="shared" si="2"/>
        <v>97.497854255763613</v>
      </c>
      <c r="W79" s="257">
        <f t="shared" si="3"/>
        <v>2770.6750447147406</v>
      </c>
      <c r="X79" s="257">
        <v>0</v>
      </c>
      <c r="Y79" s="258">
        <v>0</v>
      </c>
      <c r="Z79" s="258">
        <v>0</v>
      </c>
      <c r="AA79" s="258">
        <v>0</v>
      </c>
      <c r="AB79" s="258">
        <v>0</v>
      </c>
      <c r="AC79" s="258">
        <v>0</v>
      </c>
      <c r="AD79" s="258">
        <v>0</v>
      </c>
      <c r="AE79" s="258">
        <v>946</v>
      </c>
      <c r="AF79" s="257">
        <f>6238.91*AE79/I79</f>
        <v>2770.6750447147406</v>
      </c>
      <c r="AG79" s="258">
        <v>0</v>
      </c>
      <c r="AH79" s="257">
        <v>0</v>
      </c>
      <c r="AI79" s="258">
        <v>0</v>
      </c>
      <c r="AJ79" s="257">
        <v>0</v>
      </c>
      <c r="AK79" s="258">
        <v>0</v>
      </c>
      <c r="AL79" s="258">
        <v>0</v>
      </c>
      <c r="AM79" s="258">
        <v>0</v>
      </c>
      <c r="AN79" s="258"/>
      <c r="AO79" s="258">
        <v>0</v>
      </c>
    </row>
    <row r="80" spans="1:41" s="259" customFormat="1" ht="36" customHeight="1" x14ac:dyDescent="0.25">
      <c r="A80" s="259">
        <v>1</v>
      </c>
      <c r="B80" s="135">
        <f>SUBTOTAL(103,$A$16:A80)</f>
        <v>65</v>
      </c>
      <c r="C80" s="94" t="s">
        <v>1127</v>
      </c>
      <c r="D80" s="124">
        <v>1946</v>
      </c>
      <c r="E80" s="124"/>
      <c r="F80" s="129" t="s">
        <v>269</v>
      </c>
      <c r="G80" s="124">
        <v>3</v>
      </c>
      <c r="H80" s="124" t="s">
        <v>314</v>
      </c>
      <c r="I80" s="128">
        <v>2194.1999999999998</v>
      </c>
      <c r="J80" s="128">
        <v>1984.5</v>
      </c>
      <c r="K80" s="128">
        <v>1584.8</v>
      </c>
      <c r="L80" s="126">
        <v>44</v>
      </c>
      <c r="M80" s="124" t="s">
        <v>267</v>
      </c>
      <c r="N80" s="124" t="s">
        <v>271</v>
      </c>
      <c r="O80" s="127" t="s">
        <v>1653</v>
      </c>
      <c r="P80" s="128">
        <v>3764827.42</v>
      </c>
      <c r="Q80" s="128">
        <v>0</v>
      </c>
      <c r="R80" s="128">
        <v>0</v>
      </c>
      <c r="S80" s="128">
        <f t="shared" ref="S80:S119" si="7">P80-Q80-R80</f>
        <v>3764827.42</v>
      </c>
      <c r="T80" s="128">
        <f t="shared" si="6"/>
        <v>1715.8086865372347</v>
      </c>
      <c r="U80" s="128">
        <v>3349.4955154498225</v>
      </c>
      <c r="V80" s="257">
        <f t="shared" si="2"/>
        <v>1633.6868289125878</v>
      </c>
      <c r="W80" s="257">
        <f t="shared" si="3"/>
        <v>1039.249660468508</v>
      </c>
      <c r="X80" s="257">
        <v>0</v>
      </c>
      <c r="Y80" s="258">
        <v>0</v>
      </c>
      <c r="Z80" s="258">
        <v>0</v>
      </c>
      <c r="AA80" s="258">
        <v>0</v>
      </c>
      <c r="AB80" s="258">
        <v>0</v>
      </c>
      <c r="AC80" s="258">
        <v>0</v>
      </c>
      <c r="AD80" s="258">
        <v>0</v>
      </c>
      <c r="AE80" s="258">
        <v>365.5</v>
      </c>
      <c r="AF80" s="257">
        <f>6238.91*AE80/I80</f>
        <v>1039.249660468508</v>
      </c>
      <c r="AG80" s="258">
        <v>0</v>
      </c>
      <c r="AH80" s="257">
        <v>0</v>
      </c>
      <c r="AI80" s="258">
        <v>0</v>
      </c>
      <c r="AJ80" s="257">
        <v>0</v>
      </c>
      <c r="AK80" s="258">
        <v>0</v>
      </c>
      <c r="AL80" s="258">
        <v>0</v>
      </c>
      <c r="AM80" s="258">
        <v>0</v>
      </c>
      <c r="AN80" s="258"/>
      <c r="AO80" s="258">
        <v>0</v>
      </c>
    </row>
    <row r="81" spans="1:41" s="259" customFormat="1" ht="36" customHeight="1" x14ac:dyDescent="0.25">
      <c r="A81" s="259">
        <v>1</v>
      </c>
      <c r="B81" s="135">
        <f>SUBTOTAL(103,$A$16:A81)</f>
        <v>66</v>
      </c>
      <c r="C81" s="94" t="s">
        <v>1128</v>
      </c>
      <c r="D81" s="124">
        <v>1949</v>
      </c>
      <c r="E81" s="124"/>
      <c r="F81" s="129" t="s">
        <v>269</v>
      </c>
      <c r="G81" s="124" t="s">
        <v>305</v>
      </c>
      <c r="H81" s="124" t="s">
        <v>305</v>
      </c>
      <c r="I81" s="128">
        <v>939.7</v>
      </c>
      <c r="J81" s="128">
        <v>558</v>
      </c>
      <c r="K81" s="128">
        <v>558</v>
      </c>
      <c r="L81" s="126">
        <v>16</v>
      </c>
      <c r="M81" s="124" t="s">
        <v>267</v>
      </c>
      <c r="N81" s="124" t="s">
        <v>271</v>
      </c>
      <c r="O81" s="127" t="s">
        <v>1388</v>
      </c>
      <c r="P81" s="128">
        <v>3712372.02</v>
      </c>
      <c r="Q81" s="128">
        <v>0</v>
      </c>
      <c r="R81" s="128">
        <v>0</v>
      </c>
      <c r="S81" s="128">
        <f t="shared" si="7"/>
        <v>3712372.02</v>
      </c>
      <c r="T81" s="128">
        <f t="shared" si="6"/>
        <v>3950.5927636479728</v>
      </c>
      <c r="U81" s="128">
        <v>6491.499414706821</v>
      </c>
      <c r="V81" s="257">
        <f t="shared" ref="V81:V119" si="8">U81-T81</f>
        <v>2540.9066510588482</v>
      </c>
      <c r="W81" s="257">
        <f t="shared" ref="W81:W119" si="9">X81+Y81+Z81+AA81+AB81+AD81+AF81+AH81+AJ81+AL81+AN81+AO81</f>
        <v>2376.8540810897093</v>
      </c>
      <c r="X81" s="257">
        <v>0</v>
      </c>
      <c r="Y81" s="258">
        <v>0</v>
      </c>
      <c r="Z81" s="258">
        <v>0</v>
      </c>
      <c r="AA81" s="258">
        <v>0</v>
      </c>
      <c r="AB81" s="258">
        <v>0</v>
      </c>
      <c r="AC81" s="258">
        <v>0</v>
      </c>
      <c r="AD81" s="258">
        <v>0</v>
      </c>
      <c r="AE81" s="258">
        <v>358</v>
      </c>
      <c r="AF81" s="257">
        <f>6238.91*AE81/I81</f>
        <v>2376.8540810897093</v>
      </c>
      <c r="AG81" s="258">
        <v>0</v>
      </c>
      <c r="AH81" s="257">
        <v>0</v>
      </c>
      <c r="AI81" s="258">
        <v>0</v>
      </c>
      <c r="AJ81" s="257">
        <v>0</v>
      </c>
      <c r="AK81" s="258">
        <v>0</v>
      </c>
      <c r="AL81" s="258">
        <v>0</v>
      </c>
      <c r="AM81" s="258">
        <v>0</v>
      </c>
      <c r="AN81" s="258"/>
      <c r="AO81" s="258">
        <v>0</v>
      </c>
    </row>
    <row r="82" spans="1:41" s="259" customFormat="1" ht="36" customHeight="1" x14ac:dyDescent="0.25">
      <c r="A82" s="259">
        <v>1</v>
      </c>
      <c r="B82" s="135">
        <f>SUBTOTAL(103,$A$16:A82)</f>
        <v>67</v>
      </c>
      <c r="C82" s="94" t="s">
        <v>1129</v>
      </c>
      <c r="D82" s="124">
        <v>1958</v>
      </c>
      <c r="E82" s="124"/>
      <c r="F82" s="129" t="s">
        <v>269</v>
      </c>
      <c r="G82" s="124">
        <v>2</v>
      </c>
      <c r="H82" s="124" t="s">
        <v>306</v>
      </c>
      <c r="I82" s="128">
        <v>429.9</v>
      </c>
      <c r="J82" s="128">
        <v>389.3</v>
      </c>
      <c r="K82" s="128">
        <v>389.3</v>
      </c>
      <c r="L82" s="126">
        <v>24</v>
      </c>
      <c r="M82" s="124" t="s">
        <v>267</v>
      </c>
      <c r="N82" s="124" t="s">
        <v>271</v>
      </c>
      <c r="O82" s="127" t="s">
        <v>1328</v>
      </c>
      <c r="P82" s="128">
        <v>1900391.55</v>
      </c>
      <c r="Q82" s="128">
        <v>0</v>
      </c>
      <c r="R82" s="128">
        <v>0</v>
      </c>
      <c r="S82" s="128">
        <f t="shared" si="7"/>
        <v>1900391.55</v>
      </c>
      <c r="T82" s="128">
        <f t="shared" si="6"/>
        <v>4420.5432658757854</v>
      </c>
      <c r="U82" s="128">
        <v>8928.9965108164688</v>
      </c>
      <c r="V82" s="257">
        <f t="shared" si="8"/>
        <v>4508.4532449406834</v>
      </c>
      <c r="W82" s="257">
        <f t="shared" si="9"/>
        <v>12383.61944638288</v>
      </c>
      <c r="X82" s="257">
        <v>0</v>
      </c>
      <c r="Y82" s="258">
        <v>0</v>
      </c>
      <c r="Z82" s="258">
        <v>0</v>
      </c>
      <c r="AA82" s="258">
        <v>0</v>
      </c>
      <c r="AB82" s="258">
        <v>0</v>
      </c>
      <c r="AC82" s="258">
        <v>2</v>
      </c>
      <c r="AD82" s="257">
        <f>2661859*AC82/I82</f>
        <v>12383.61944638288</v>
      </c>
      <c r="AE82" s="258">
        <v>0</v>
      </c>
      <c r="AF82" s="257">
        <v>0</v>
      </c>
      <c r="AG82" s="258">
        <v>0</v>
      </c>
      <c r="AH82" s="257">
        <v>0</v>
      </c>
      <c r="AI82" s="258">
        <v>0</v>
      </c>
      <c r="AJ82" s="257">
        <v>0</v>
      </c>
      <c r="AK82" s="258">
        <v>0</v>
      </c>
      <c r="AL82" s="258">
        <v>0</v>
      </c>
      <c r="AM82" s="258">
        <v>0</v>
      </c>
      <c r="AN82" s="258"/>
      <c r="AO82" s="258">
        <v>0</v>
      </c>
    </row>
    <row r="83" spans="1:41" s="259" customFormat="1" ht="36" customHeight="1" x14ac:dyDescent="0.25">
      <c r="A83" s="259">
        <v>1</v>
      </c>
      <c r="B83" s="135">
        <f>SUBTOTAL(103,$A$16:A83)</f>
        <v>68</v>
      </c>
      <c r="C83" s="94" t="s">
        <v>1130</v>
      </c>
      <c r="D83" s="124">
        <v>1958</v>
      </c>
      <c r="E83" s="124"/>
      <c r="F83" s="129" t="s">
        <v>269</v>
      </c>
      <c r="G83" s="124">
        <v>2</v>
      </c>
      <c r="H83" s="124" t="s">
        <v>306</v>
      </c>
      <c r="I83" s="128">
        <v>447.3</v>
      </c>
      <c r="J83" s="128">
        <v>384.9</v>
      </c>
      <c r="K83" s="128">
        <v>384.9</v>
      </c>
      <c r="L83" s="126">
        <v>21</v>
      </c>
      <c r="M83" s="124" t="s">
        <v>267</v>
      </c>
      <c r="N83" s="124" t="s">
        <v>271</v>
      </c>
      <c r="O83" s="127" t="s">
        <v>1328</v>
      </c>
      <c r="P83" s="128">
        <v>2106147.9500000002</v>
      </c>
      <c r="Q83" s="128">
        <v>0</v>
      </c>
      <c r="R83" s="128">
        <v>0</v>
      </c>
      <c r="S83" s="128">
        <f t="shared" si="7"/>
        <v>2106147.9500000002</v>
      </c>
      <c r="T83" s="128">
        <f t="shared" si="6"/>
        <v>4708.5802593337803</v>
      </c>
      <c r="U83" s="128">
        <v>9296.7961099932945</v>
      </c>
      <c r="V83" s="257">
        <f t="shared" si="8"/>
        <v>4588.2158506595142</v>
      </c>
      <c r="W83" s="257">
        <f t="shared" si="9"/>
        <v>14474.875922199866</v>
      </c>
      <c r="X83" s="257">
        <v>0</v>
      </c>
      <c r="Y83" s="258">
        <v>0</v>
      </c>
      <c r="Z83" s="258">
        <v>0</v>
      </c>
      <c r="AA83" s="258">
        <v>0</v>
      </c>
      <c r="AB83" s="258">
        <v>0</v>
      </c>
      <c r="AC83" s="258">
        <v>2</v>
      </c>
      <c r="AD83" s="257">
        <f>3237306*AC83/I83</f>
        <v>14474.875922199866</v>
      </c>
      <c r="AE83" s="258">
        <v>0</v>
      </c>
      <c r="AF83" s="257">
        <v>0</v>
      </c>
      <c r="AG83" s="258">
        <v>0</v>
      </c>
      <c r="AH83" s="257">
        <v>0</v>
      </c>
      <c r="AI83" s="258">
        <v>0</v>
      </c>
      <c r="AJ83" s="257">
        <v>0</v>
      </c>
      <c r="AK83" s="258">
        <v>0</v>
      </c>
      <c r="AL83" s="258">
        <v>0</v>
      </c>
      <c r="AM83" s="258">
        <v>0</v>
      </c>
      <c r="AN83" s="258"/>
      <c r="AO83" s="258">
        <v>0</v>
      </c>
    </row>
    <row r="84" spans="1:41" s="259" customFormat="1" ht="36" customHeight="1" x14ac:dyDescent="0.25">
      <c r="A84" s="259">
        <v>1</v>
      </c>
      <c r="B84" s="135">
        <f>SUBTOTAL(103,$A$16:A84)</f>
        <v>69</v>
      </c>
      <c r="C84" s="94" t="s">
        <v>1131</v>
      </c>
      <c r="D84" s="124">
        <v>1963</v>
      </c>
      <c r="E84" s="124"/>
      <c r="F84" s="129" t="s">
        <v>269</v>
      </c>
      <c r="G84" s="124">
        <v>5</v>
      </c>
      <c r="H84" s="124" t="s">
        <v>305</v>
      </c>
      <c r="I84" s="128">
        <v>1750.2</v>
      </c>
      <c r="J84" s="128">
        <v>1623.4</v>
      </c>
      <c r="K84" s="128">
        <v>1623.4</v>
      </c>
      <c r="L84" s="126">
        <v>89</v>
      </c>
      <c r="M84" s="124" t="s">
        <v>267</v>
      </c>
      <c r="N84" s="124" t="s">
        <v>271</v>
      </c>
      <c r="O84" s="127" t="s">
        <v>1654</v>
      </c>
      <c r="P84" s="128">
        <v>2813385.7399999998</v>
      </c>
      <c r="Q84" s="128">
        <v>0</v>
      </c>
      <c r="R84" s="128">
        <v>0</v>
      </c>
      <c r="S84" s="128">
        <f t="shared" si="7"/>
        <v>2813385.7399999998</v>
      </c>
      <c r="T84" s="128">
        <f t="shared" si="6"/>
        <v>1607.4652839675464</v>
      </c>
      <c r="U84" s="128">
        <v>6472.552553993829</v>
      </c>
      <c r="V84" s="257">
        <f t="shared" si="8"/>
        <v>4865.0872700262826</v>
      </c>
      <c r="W84" s="257">
        <f t="shared" si="9"/>
        <v>286.52999999999997</v>
      </c>
      <c r="X84" s="257">
        <v>101.55</v>
      </c>
      <c r="Y84" s="258">
        <v>0</v>
      </c>
      <c r="Z84" s="258">
        <v>0</v>
      </c>
      <c r="AA84" s="258">
        <v>184.98</v>
      </c>
      <c r="AB84" s="258">
        <v>0</v>
      </c>
      <c r="AC84" s="258">
        <v>0</v>
      </c>
      <c r="AD84" s="258">
        <v>0</v>
      </c>
      <c r="AE84" s="258">
        <v>0</v>
      </c>
      <c r="AF84" s="257">
        <v>0</v>
      </c>
      <c r="AG84" s="258">
        <v>0</v>
      </c>
      <c r="AH84" s="257">
        <v>0</v>
      </c>
      <c r="AI84" s="258">
        <v>0</v>
      </c>
      <c r="AJ84" s="257">
        <v>0</v>
      </c>
      <c r="AK84" s="258">
        <v>0</v>
      </c>
      <c r="AL84" s="258">
        <v>0</v>
      </c>
      <c r="AM84" s="258">
        <v>0</v>
      </c>
      <c r="AN84" s="258"/>
      <c r="AO84" s="258">
        <v>0</v>
      </c>
    </row>
    <row r="85" spans="1:41" s="259" customFormat="1" ht="36" customHeight="1" x14ac:dyDescent="0.25">
      <c r="A85" s="259">
        <v>1</v>
      </c>
      <c r="B85" s="135">
        <f>SUBTOTAL(103,$A$16:A85)</f>
        <v>70</v>
      </c>
      <c r="C85" s="94" t="s">
        <v>1132</v>
      </c>
      <c r="D85" s="124">
        <v>1958</v>
      </c>
      <c r="E85" s="124"/>
      <c r="F85" s="129" t="s">
        <v>269</v>
      </c>
      <c r="G85" s="124">
        <v>3</v>
      </c>
      <c r="H85" s="124" t="s">
        <v>305</v>
      </c>
      <c r="I85" s="128">
        <v>1081</v>
      </c>
      <c r="J85" s="128">
        <v>633.6</v>
      </c>
      <c r="K85" s="128">
        <v>633.6</v>
      </c>
      <c r="L85" s="126">
        <v>48</v>
      </c>
      <c r="M85" s="124" t="s">
        <v>267</v>
      </c>
      <c r="N85" s="124" t="s">
        <v>271</v>
      </c>
      <c r="O85" s="127" t="s">
        <v>1388</v>
      </c>
      <c r="P85" s="128">
        <v>2278510.5799999996</v>
      </c>
      <c r="Q85" s="128">
        <v>0</v>
      </c>
      <c r="R85" s="128">
        <v>0</v>
      </c>
      <c r="S85" s="128">
        <f t="shared" si="7"/>
        <v>2278510.5799999996</v>
      </c>
      <c r="T85" s="128">
        <f t="shared" si="6"/>
        <v>2107.7803700277518</v>
      </c>
      <c r="U85" s="128">
        <v>3223.3318723404254</v>
      </c>
      <c r="V85" s="257">
        <f t="shared" si="8"/>
        <v>1115.5515023126736</v>
      </c>
      <c r="W85" s="257">
        <f t="shared" si="9"/>
        <v>6491.4098265494913</v>
      </c>
      <c r="X85" s="257">
        <v>0</v>
      </c>
      <c r="Y85" s="258">
        <v>0</v>
      </c>
      <c r="Z85" s="258">
        <v>0</v>
      </c>
      <c r="AA85" s="258">
        <v>0</v>
      </c>
      <c r="AB85" s="258">
        <v>0</v>
      </c>
      <c r="AC85" s="258">
        <v>0</v>
      </c>
      <c r="AD85" s="258">
        <v>0</v>
      </c>
      <c r="AE85" s="258">
        <v>1124.75</v>
      </c>
      <c r="AF85" s="257">
        <f>6238.91*AE85/I85</f>
        <v>6491.4098265494913</v>
      </c>
      <c r="AG85" s="258">
        <v>0</v>
      </c>
      <c r="AH85" s="257">
        <v>0</v>
      </c>
      <c r="AI85" s="258">
        <v>0</v>
      </c>
      <c r="AJ85" s="257">
        <v>0</v>
      </c>
      <c r="AK85" s="258">
        <v>0</v>
      </c>
      <c r="AL85" s="258">
        <v>0</v>
      </c>
      <c r="AM85" s="258">
        <v>0</v>
      </c>
      <c r="AN85" s="258"/>
      <c r="AO85" s="258">
        <v>0</v>
      </c>
    </row>
    <row r="86" spans="1:41" s="259" customFormat="1" ht="36" customHeight="1" x14ac:dyDescent="0.25">
      <c r="A86" s="259">
        <v>1</v>
      </c>
      <c r="B86" s="135">
        <f>SUBTOTAL(103,$A$16:A86)</f>
        <v>71</v>
      </c>
      <c r="C86" s="94" t="s">
        <v>1133</v>
      </c>
      <c r="D86" s="124">
        <v>1959</v>
      </c>
      <c r="E86" s="124"/>
      <c r="F86" s="129" t="s">
        <v>269</v>
      </c>
      <c r="G86" s="124">
        <v>2</v>
      </c>
      <c r="H86" s="124" t="s">
        <v>306</v>
      </c>
      <c r="I86" s="128">
        <v>495</v>
      </c>
      <c r="J86" s="128">
        <v>308.10000000000002</v>
      </c>
      <c r="K86" s="128">
        <v>308.10000000000002</v>
      </c>
      <c r="L86" s="126">
        <v>20</v>
      </c>
      <c r="M86" s="124" t="s">
        <v>267</v>
      </c>
      <c r="N86" s="124" t="s">
        <v>271</v>
      </c>
      <c r="O86" s="127" t="s">
        <v>1648</v>
      </c>
      <c r="P86" s="128">
        <v>2391493.25</v>
      </c>
      <c r="Q86" s="128">
        <v>0</v>
      </c>
      <c r="R86" s="128">
        <v>0</v>
      </c>
      <c r="S86" s="128">
        <f t="shared" si="7"/>
        <v>2391493.25</v>
      </c>
      <c r="T86" s="128">
        <f t="shared" si="6"/>
        <v>4831.2994949494951</v>
      </c>
      <c r="U86" s="128">
        <v>9762.5037575757578</v>
      </c>
      <c r="V86" s="257">
        <f t="shared" si="8"/>
        <v>4931.2042626262628</v>
      </c>
      <c r="W86" s="257">
        <f t="shared" si="9"/>
        <v>12323.357575757576</v>
      </c>
      <c r="X86" s="257">
        <v>0</v>
      </c>
      <c r="Y86" s="258">
        <v>0</v>
      </c>
      <c r="Z86" s="258">
        <v>0</v>
      </c>
      <c r="AA86" s="258">
        <v>0</v>
      </c>
      <c r="AB86" s="258">
        <v>0</v>
      </c>
      <c r="AC86" s="258">
        <v>0</v>
      </c>
      <c r="AD86" s="258">
        <v>0</v>
      </c>
      <c r="AE86" s="258">
        <v>0</v>
      </c>
      <c r="AF86" s="257">
        <v>0</v>
      </c>
      <c r="AG86" s="258">
        <v>0</v>
      </c>
      <c r="AH86" s="257">
        <v>0</v>
      </c>
      <c r="AI86" s="258">
        <v>820</v>
      </c>
      <c r="AJ86" s="257">
        <f>7439.1*AI86/I86</f>
        <v>12323.357575757576</v>
      </c>
      <c r="AK86" s="258">
        <v>0</v>
      </c>
      <c r="AL86" s="258">
        <v>0</v>
      </c>
      <c r="AM86" s="258">
        <v>0</v>
      </c>
      <c r="AN86" s="258"/>
      <c r="AO86" s="258">
        <v>0</v>
      </c>
    </row>
    <row r="87" spans="1:41" s="259" customFormat="1" ht="36" customHeight="1" x14ac:dyDescent="0.25">
      <c r="A87" s="259">
        <v>1</v>
      </c>
      <c r="B87" s="135">
        <f>SUBTOTAL(103,$A$16:A87)</f>
        <v>72</v>
      </c>
      <c r="C87" s="94" t="s">
        <v>1135</v>
      </c>
      <c r="D87" s="124">
        <v>1974</v>
      </c>
      <c r="E87" s="124"/>
      <c r="F87" s="129" t="s">
        <v>313</v>
      </c>
      <c r="G87" s="124">
        <v>5</v>
      </c>
      <c r="H87" s="124" t="s">
        <v>373</v>
      </c>
      <c r="I87" s="128">
        <v>5153.3999999999996</v>
      </c>
      <c r="J87" s="128">
        <v>4574.1000000000004</v>
      </c>
      <c r="K87" s="128">
        <v>4574.1000000000004</v>
      </c>
      <c r="L87" s="126">
        <v>190</v>
      </c>
      <c r="M87" s="124" t="s">
        <v>267</v>
      </c>
      <c r="N87" s="124" t="s">
        <v>271</v>
      </c>
      <c r="O87" s="127" t="s">
        <v>1326</v>
      </c>
      <c r="P87" s="128">
        <v>5161607.8099999996</v>
      </c>
      <c r="Q87" s="128">
        <v>0</v>
      </c>
      <c r="R87" s="128">
        <v>0</v>
      </c>
      <c r="S87" s="128">
        <f t="shared" si="7"/>
        <v>5161607.8099999996</v>
      </c>
      <c r="T87" s="128">
        <f t="shared" si="6"/>
        <v>1001.5926980246051</v>
      </c>
      <c r="U87" s="128">
        <v>1457.7226685295145</v>
      </c>
      <c r="V87" s="257">
        <f t="shared" si="8"/>
        <v>456.12997050490947</v>
      </c>
      <c r="W87" s="257">
        <f t="shared" si="9"/>
        <v>744.86273140062883</v>
      </c>
      <c r="X87" s="257">
        <v>0</v>
      </c>
      <c r="Y87" s="258">
        <v>0</v>
      </c>
      <c r="Z87" s="258">
        <v>0</v>
      </c>
      <c r="AA87" s="258">
        <v>0</v>
      </c>
      <c r="AB87" s="258">
        <v>0</v>
      </c>
      <c r="AC87" s="258">
        <v>0</v>
      </c>
      <c r="AD87" s="258">
        <v>0</v>
      </c>
      <c r="AE87" s="258">
        <v>0</v>
      </c>
      <c r="AF87" s="257">
        <v>0</v>
      </c>
      <c r="AG87" s="258">
        <v>0</v>
      </c>
      <c r="AH87" s="257">
        <v>0</v>
      </c>
      <c r="AI87" s="258">
        <v>516</v>
      </c>
      <c r="AJ87" s="257">
        <f>7439.1*AI87/I87</f>
        <v>744.86273140062883</v>
      </c>
      <c r="AK87" s="258">
        <v>0</v>
      </c>
      <c r="AL87" s="258">
        <v>0</v>
      </c>
      <c r="AM87" s="258">
        <v>0</v>
      </c>
      <c r="AN87" s="258"/>
      <c r="AO87" s="258">
        <v>0</v>
      </c>
    </row>
    <row r="88" spans="1:41" s="259" customFormat="1" ht="36" customHeight="1" x14ac:dyDescent="0.25">
      <c r="A88" s="259">
        <v>1</v>
      </c>
      <c r="B88" s="135">
        <f>SUBTOTAL(103,$A$16:A88)</f>
        <v>73</v>
      </c>
      <c r="C88" s="94" t="s">
        <v>1138</v>
      </c>
      <c r="D88" s="124">
        <v>1959</v>
      </c>
      <c r="E88" s="124"/>
      <c r="F88" s="129" t="s">
        <v>269</v>
      </c>
      <c r="G88" s="124">
        <v>2</v>
      </c>
      <c r="H88" s="124" t="s">
        <v>305</v>
      </c>
      <c r="I88" s="128">
        <v>572.79999999999995</v>
      </c>
      <c r="J88" s="128">
        <v>339.4</v>
      </c>
      <c r="K88" s="128">
        <v>339.4</v>
      </c>
      <c r="L88" s="126">
        <v>21</v>
      </c>
      <c r="M88" s="124" t="s">
        <v>267</v>
      </c>
      <c r="N88" s="124" t="s">
        <v>271</v>
      </c>
      <c r="O88" s="127" t="s">
        <v>1328</v>
      </c>
      <c r="P88" s="128">
        <v>1938049.3</v>
      </c>
      <c r="Q88" s="128">
        <v>0</v>
      </c>
      <c r="R88" s="128">
        <v>0</v>
      </c>
      <c r="S88" s="128">
        <f t="shared" si="7"/>
        <v>1938049.3</v>
      </c>
      <c r="T88" s="128">
        <f t="shared" si="6"/>
        <v>3383.4659567039112</v>
      </c>
      <c r="U88" s="128">
        <v>8831.4636714385488</v>
      </c>
      <c r="V88" s="257">
        <f t="shared" si="8"/>
        <v>5447.9977147346381</v>
      </c>
      <c r="W88" s="257">
        <f t="shared" si="9"/>
        <v>7259.8758729050296</v>
      </c>
      <c r="X88" s="257">
        <v>0</v>
      </c>
      <c r="Y88" s="258">
        <v>0</v>
      </c>
      <c r="Z88" s="258">
        <v>0</v>
      </c>
      <c r="AA88" s="258">
        <v>0</v>
      </c>
      <c r="AB88" s="258">
        <v>0</v>
      </c>
      <c r="AC88" s="258">
        <v>0</v>
      </c>
      <c r="AD88" s="258">
        <v>0</v>
      </c>
      <c r="AE88" s="258">
        <v>0</v>
      </c>
      <c r="AF88" s="257">
        <v>0</v>
      </c>
      <c r="AG88" s="258">
        <v>0</v>
      </c>
      <c r="AH88" s="257">
        <v>0</v>
      </c>
      <c r="AI88" s="258">
        <v>559</v>
      </c>
      <c r="AJ88" s="257">
        <f>7439.1*AI88/I88</f>
        <v>7259.8758729050296</v>
      </c>
      <c r="AK88" s="258">
        <v>0</v>
      </c>
      <c r="AL88" s="258">
        <v>0</v>
      </c>
      <c r="AM88" s="258">
        <v>0</v>
      </c>
      <c r="AN88" s="258"/>
      <c r="AO88" s="258">
        <v>0</v>
      </c>
    </row>
    <row r="89" spans="1:41" s="259" customFormat="1" ht="36" customHeight="1" x14ac:dyDescent="0.25">
      <c r="A89" s="259">
        <v>1</v>
      </c>
      <c r="B89" s="135">
        <f>SUBTOTAL(103,$A$16:A89)</f>
        <v>74</v>
      </c>
      <c r="C89" s="94" t="s">
        <v>1139</v>
      </c>
      <c r="D89" s="124">
        <v>1955</v>
      </c>
      <c r="E89" s="124"/>
      <c r="F89" s="129" t="s">
        <v>269</v>
      </c>
      <c r="G89" s="124">
        <v>2</v>
      </c>
      <c r="H89" s="124" t="s">
        <v>306</v>
      </c>
      <c r="I89" s="128">
        <v>727.66</v>
      </c>
      <c r="J89" s="128">
        <v>427.66</v>
      </c>
      <c r="K89" s="128">
        <v>427.66</v>
      </c>
      <c r="L89" s="126">
        <v>168</v>
      </c>
      <c r="M89" s="124" t="s">
        <v>267</v>
      </c>
      <c r="N89" s="124" t="s">
        <v>271</v>
      </c>
      <c r="O89" s="127" t="s">
        <v>1326</v>
      </c>
      <c r="P89" s="128">
        <v>1663097.88</v>
      </c>
      <c r="Q89" s="128">
        <v>0</v>
      </c>
      <c r="R89" s="128">
        <v>0</v>
      </c>
      <c r="S89" s="128">
        <f t="shared" si="7"/>
        <v>1663097.88</v>
      </c>
      <c r="T89" s="128">
        <f t="shared" si="6"/>
        <v>2285.5425336008575</v>
      </c>
      <c r="U89" s="128">
        <v>4231.1248618860463</v>
      </c>
      <c r="V89" s="257">
        <f t="shared" si="8"/>
        <v>1945.5823282851889</v>
      </c>
      <c r="W89" s="257">
        <f t="shared" si="9"/>
        <v>15568.069537971032</v>
      </c>
      <c r="X89" s="257">
        <v>0</v>
      </c>
      <c r="Y89" s="258">
        <v>0</v>
      </c>
      <c r="Z89" s="258">
        <v>0</v>
      </c>
      <c r="AA89" s="258">
        <v>0</v>
      </c>
      <c r="AB89" s="258">
        <v>0</v>
      </c>
      <c r="AC89" s="258">
        <v>0</v>
      </c>
      <c r="AD89" s="258">
        <v>0</v>
      </c>
      <c r="AE89" s="258">
        <v>0</v>
      </c>
      <c r="AF89" s="257">
        <v>0</v>
      </c>
      <c r="AG89" s="258">
        <v>0</v>
      </c>
      <c r="AH89" s="257">
        <v>0</v>
      </c>
      <c r="AI89" s="258">
        <v>1522.8</v>
      </c>
      <c r="AJ89" s="257">
        <f>7439.1*AI89/I89</f>
        <v>15568.069537971032</v>
      </c>
      <c r="AK89" s="258">
        <v>0</v>
      </c>
      <c r="AL89" s="258">
        <v>0</v>
      </c>
      <c r="AM89" s="258">
        <v>0</v>
      </c>
      <c r="AN89" s="258"/>
      <c r="AO89" s="258">
        <v>0</v>
      </c>
    </row>
    <row r="90" spans="1:41" s="259" customFormat="1" ht="36" customHeight="1" x14ac:dyDescent="0.25">
      <c r="A90" s="259">
        <v>1</v>
      </c>
      <c r="B90" s="135">
        <f>SUBTOTAL(103,$A$16:A90)</f>
        <v>75</v>
      </c>
      <c r="C90" s="94" t="s">
        <v>1555</v>
      </c>
      <c r="D90" s="124">
        <v>1949</v>
      </c>
      <c r="E90" s="124"/>
      <c r="F90" s="129" t="s">
        <v>269</v>
      </c>
      <c r="G90" s="124">
        <v>2</v>
      </c>
      <c r="H90" s="124" t="s">
        <v>306</v>
      </c>
      <c r="I90" s="128">
        <v>564.9</v>
      </c>
      <c r="J90" s="128">
        <v>519.9</v>
      </c>
      <c r="K90" s="128">
        <v>519.9</v>
      </c>
      <c r="L90" s="126">
        <v>22</v>
      </c>
      <c r="M90" s="124" t="s">
        <v>267</v>
      </c>
      <c r="N90" s="124" t="s">
        <v>271</v>
      </c>
      <c r="O90" s="127" t="s">
        <v>1387</v>
      </c>
      <c r="P90" s="128">
        <v>1677475.96</v>
      </c>
      <c r="Q90" s="128">
        <v>0</v>
      </c>
      <c r="R90" s="128">
        <v>0</v>
      </c>
      <c r="S90" s="128">
        <f t="shared" si="7"/>
        <v>1677475.96</v>
      </c>
      <c r="T90" s="128">
        <f t="shared" si="6"/>
        <v>2969.5095769162685</v>
      </c>
      <c r="U90" s="128">
        <v>5165.5156006372808</v>
      </c>
      <c r="V90" s="257">
        <f t="shared" si="8"/>
        <v>2196.0060237210123</v>
      </c>
      <c r="W90" s="257">
        <f t="shared" si="9"/>
        <v>6147.2425314214906</v>
      </c>
      <c r="X90" s="257">
        <v>0</v>
      </c>
      <c r="Y90" s="258">
        <v>0</v>
      </c>
      <c r="Z90" s="258">
        <v>0</v>
      </c>
      <c r="AA90" s="258">
        <v>0</v>
      </c>
      <c r="AB90" s="258">
        <v>0</v>
      </c>
      <c r="AC90" s="258">
        <v>0</v>
      </c>
      <c r="AD90" s="258">
        <v>0</v>
      </c>
      <c r="AE90" s="258">
        <v>556.6</v>
      </c>
      <c r="AF90" s="257">
        <f>6238.91*AE90/I90</f>
        <v>6147.2425314214906</v>
      </c>
      <c r="AG90" s="258">
        <v>0</v>
      </c>
      <c r="AH90" s="257">
        <v>0</v>
      </c>
      <c r="AI90" s="258">
        <v>0</v>
      </c>
      <c r="AJ90" s="257">
        <v>0</v>
      </c>
      <c r="AK90" s="258">
        <v>0</v>
      </c>
      <c r="AL90" s="258">
        <v>0</v>
      </c>
      <c r="AM90" s="258">
        <v>0</v>
      </c>
      <c r="AN90" s="258"/>
      <c r="AO90" s="258">
        <v>0</v>
      </c>
    </row>
    <row r="91" spans="1:41" s="259" customFormat="1" ht="36" customHeight="1" x14ac:dyDescent="0.25">
      <c r="A91" s="259">
        <v>1</v>
      </c>
      <c r="B91" s="135">
        <f>SUBTOTAL(103,$A$16:A91)</f>
        <v>76</v>
      </c>
      <c r="C91" s="94" t="s">
        <v>1551</v>
      </c>
      <c r="D91" s="124">
        <v>1969</v>
      </c>
      <c r="E91" s="124"/>
      <c r="F91" s="129" t="s">
        <v>269</v>
      </c>
      <c r="G91" s="124">
        <v>5</v>
      </c>
      <c r="H91" s="124" t="s">
        <v>314</v>
      </c>
      <c r="I91" s="128">
        <v>2989.1</v>
      </c>
      <c r="J91" s="128">
        <v>2769.1</v>
      </c>
      <c r="K91" s="128">
        <v>2016</v>
      </c>
      <c r="L91" s="126">
        <v>72</v>
      </c>
      <c r="M91" s="124" t="s">
        <v>267</v>
      </c>
      <c r="N91" s="124" t="s">
        <v>271</v>
      </c>
      <c r="O91" s="127" t="s">
        <v>1653</v>
      </c>
      <c r="P91" s="128">
        <v>3647517.81</v>
      </c>
      <c r="Q91" s="128">
        <v>0</v>
      </c>
      <c r="R91" s="128">
        <v>0</v>
      </c>
      <c r="S91" s="128">
        <f t="shared" si="7"/>
        <v>3647517.81</v>
      </c>
      <c r="T91" s="128">
        <f t="shared" si="6"/>
        <v>1220.2729283061792</v>
      </c>
      <c r="U91" s="128">
        <v>1799.0375731825634</v>
      </c>
      <c r="V91" s="257">
        <f t="shared" si="8"/>
        <v>578.76464487638418</v>
      </c>
      <c r="W91" s="257">
        <f t="shared" si="9"/>
        <v>1616.6870830684823</v>
      </c>
      <c r="X91" s="257">
        <v>0</v>
      </c>
      <c r="Y91" s="258">
        <v>0</v>
      </c>
      <c r="Z91" s="258">
        <v>0</v>
      </c>
      <c r="AA91" s="258">
        <v>0</v>
      </c>
      <c r="AB91" s="258">
        <v>0</v>
      </c>
      <c r="AC91" s="258">
        <v>0</v>
      </c>
      <c r="AD91" s="258">
        <v>0</v>
      </c>
      <c r="AE91" s="258">
        <v>0</v>
      </c>
      <c r="AF91" s="257">
        <v>0</v>
      </c>
      <c r="AG91" s="258">
        <v>0</v>
      </c>
      <c r="AH91" s="257">
        <v>0</v>
      </c>
      <c r="AI91" s="258">
        <v>649.6</v>
      </c>
      <c r="AJ91" s="257">
        <f>7439.1*AI91/I91</f>
        <v>1616.6870830684823</v>
      </c>
      <c r="AK91" s="258">
        <v>0</v>
      </c>
      <c r="AL91" s="258">
        <v>0</v>
      </c>
      <c r="AM91" s="258">
        <v>0</v>
      </c>
      <c r="AN91" s="258"/>
      <c r="AO91" s="258">
        <v>0</v>
      </c>
    </row>
    <row r="92" spans="1:41" s="259" customFormat="1" ht="36" customHeight="1" x14ac:dyDescent="0.25">
      <c r="A92" s="259">
        <v>1</v>
      </c>
      <c r="B92" s="135">
        <f>SUBTOTAL(103,$A$16:A92)</f>
        <v>77</v>
      </c>
      <c r="C92" s="94" t="s">
        <v>1554</v>
      </c>
      <c r="D92" s="124">
        <v>1938</v>
      </c>
      <c r="E92" s="124"/>
      <c r="F92" s="129" t="s">
        <v>269</v>
      </c>
      <c r="G92" s="124">
        <v>5</v>
      </c>
      <c r="H92" s="124" t="s">
        <v>310</v>
      </c>
      <c r="I92" s="128">
        <v>2927.1</v>
      </c>
      <c r="J92" s="128">
        <v>1576</v>
      </c>
      <c r="K92" s="128">
        <v>1576</v>
      </c>
      <c r="L92" s="126">
        <v>88</v>
      </c>
      <c r="M92" s="124" t="s">
        <v>267</v>
      </c>
      <c r="N92" s="124" t="s">
        <v>271</v>
      </c>
      <c r="O92" s="127" t="s">
        <v>1390</v>
      </c>
      <c r="P92" s="128">
        <v>5096776.0799999991</v>
      </c>
      <c r="Q92" s="128">
        <v>0</v>
      </c>
      <c r="R92" s="128">
        <v>0</v>
      </c>
      <c r="S92" s="128">
        <f t="shared" si="7"/>
        <v>5096776.0799999991</v>
      </c>
      <c r="T92" s="128">
        <f t="shared" si="6"/>
        <v>1741.2374295377674</v>
      </c>
      <c r="U92" s="128">
        <v>2147.8968320180379</v>
      </c>
      <c r="V92" s="257">
        <f t="shared" si="8"/>
        <v>406.6594024802705</v>
      </c>
      <c r="W92" s="257">
        <f t="shared" si="9"/>
        <v>2363.7322947627349</v>
      </c>
      <c r="X92" s="257">
        <v>0</v>
      </c>
      <c r="Y92" s="258">
        <v>0</v>
      </c>
      <c r="Z92" s="258">
        <v>0</v>
      </c>
      <c r="AA92" s="258">
        <v>0</v>
      </c>
      <c r="AB92" s="258">
        <v>0</v>
      </c>
      <c r="AC92" s="258">
        <v>0</v>
      </c>
      <c r="AD92" s="258">
        <v>0</v>
      </c>
      <c r="AE92" s="258">
        <v>0</v>
      </c>
      <c r="AF92" s="257">
        <v>0</v>
      </c>
      <c r="AG92" s="258">
        <v>780</v>
      </c>
      <c r="AH92" s="257">
        <f>8870.36*AG92/I92</f>
        <v>2363.7322947627349</v>
      </c>
      <c r="AI92" s="258">
        <v>0</v>
      </c>
      <c r="AJ92" s="257">
        <v>0</v>
      </c>
      <c r="AK92" s="258">
        <v>0</v>
      </c>
      <c r="AL92" s="258">
        <v>0</v>
      </c>
      <c r="AM92" s="258">
        <v>0</v>
      </c>
      <c r="AN92" s="258"/>
      <c r="AO92" s="258">
        <v>0</v>
      </c>
    </row>
    <row r="93" spans="1:41" s="259" customFormat="1" ht="36" customHeight="1" x14ac:dyDescent="0.25">
      <c r="A93" s="259">
        <v>1</v>
      </c>
      <c r="B93" s="135">
        <f>SUBTOTAL(103,$A$16:A93)</f>
        <v>78</v>
      </c>
      <c r="C93" s="94" t="s">
        <v>1550</v>
      </c>
      <c r="D93" s="124">
        <v>1962</v>
      </c>
      <c r="E93" s="124"/>
      <c r="F93" s="129" t="s">
        <v>269</v>
      </c>
      <c r="G93" s="124">
        <v>5</v>
      </c>
      <c r="H93" s="124" t="s">
        <v>310</v>
      </c>
      <c r="I93" s="128">
        <v>3481.5</v>
      </c>
      <c r="J93" s="128">
        <v>3181.1</v>
      </c>
      <c r="K93" s="128">
        <v>3181.1</v>
      </c>
      <c r="L93" s="126">
        <v>160</v>
      </c>
      <c r="M93" s="124" t="s">
        <v>267</v>
      </c>
      <c r="N93" s="124" t="s">
        <v>271</v>
      </c>
      <c r="O93" s="127" t="s">
        <v>1653</v>
      </c>
      <c r="P93" s="128">
        <v>3789473.9</v>
      </c>
      <c r="Q93" s="128">
        <v>0</v>
      </c>
      <c r="R93" s="128">
        <v>0</v>
      </c>
      <c r="S93" s="128">
        <f t="shared" si="7"/>
        <v>3789473.9</v>
      </c>
      <c r="T93" s="128">
        <f t="shared" si="6"/>
        <v>1088.460117765331</v>
      </c>
      <c r="U93" s="128">
        <v>1849.3768246445497</v>
      </c>
      <c r="V93" s="257">
        <f t="shared" si="8"/>
        <v>760.91670687921874</v>
      </c>
      <c r="W93" s="257">
        <f t="shared" si="9"/>
        <v>2150.4213700990954</v>
      </c>
      <c r="X93" s="257">
        <v>0</v>
      </c>
      <c r="Y93" s="258">
        <v>0</v>
      </c>
      <c r="Z93" s="258">
        <v>0</v>
      </c>
      <c r="AA93" s="258">
        <v>0</v>
      </c>
      <c r="AB93" s="258">
        <v>0</v>
      </c>
      <c r="AC93" s="258">
        <v>0</v>
      </c>
      <c r="AD93" s="258">
        <v>0</v>
      </c>
      <c r="AE93" s="258">
        <v>1200</v>
      </c>
      <c r="AF93" s="257">
        <f>6238.91*AE93/I93</f>
        <v>2150.4213700990954</v>
      </c>
      <c r="AG93" s="258">
        <v>0</v>
      </c>
      <c r="AH93" s="257">
        <v>0</v>
      </c>
      <c r="AI93" s="258">
        <v>0</v>
      </c>
      <c r="AJ93" s="257">
        <v>0</v>
      </c>
      <c r="AK93" s="258">
        <v>0</v>
      </c>
      <c r="AL93" s="258">
        <v>0</v>
      </c>
      <c r="AM93" s="258">
        <v>0</v>
      </c>
      <c r="AN93" s="258"/>
      <c r="AO93" s="258">
        <v>0</v>
      </c>
    </row>
    <row r="94" spans="1:41" s="259" customFormat="1" ht="36" customHeight="1" x14ac:dyDescent="0.25">
      <c r="A94" s="259">
        <v>1</v>
      </c>
      <c r="B94" s="135">
        <f>SUBTOTAL(103,$A$16:A94)</f>
        <v>79</v>
      </c>
      <c r="C94" s="94" t="s">
        <v>1540</v>
      </c>
      <c r="D94" s="124">
        <v>1970</v>
      </c>
      <c r="E94" s="124"/>
      <c r="F94" s="129" t="s">
        <v>269</v>
      </c>
      <c r="G94" s="124">
        <v>9</v>
      </c>
      <c r="H94" s="124" t="s">
        <v>306</v>
      </c>
      <c r="I94" s="128">
        <v>1920.2</v>
      </c>
      <c r="J94" s="128">
        <v>1163.2</v>
      </c>
      <c r="K94" s="128">
        <v>1163.2</v>
      </c>
      <c r="L94" s="126">
        <v>94</v>
      </c>
      <c r="M94" s="124" t="s">
        <v>267</v>
      </c>
      <c r="N94" s="124" t="s">
        <v>271</v>
      </c>
      <c r="O94" s="127" t="s">
        <v>1390</v>
      </c>
      <c r="P94" s="128">
        <v>597387.81000000006</v>
      </c>
      <c r="Q94" s="128">
        <v>0</v>
      </c>
      <c r="R94" s="128">
        <v>0</v>
      </c>
      <c r="S94" s="128">
        <f t="shared" si="7"/>
        <v>597387.81000000006</v>
      </c>
      <c r="T94" s="128">
        <f t="shared" si="6"/>
        <v>311.10707738777211</v>
      </c>
      <c r="U94" s="128">
        <v>1091.5069326111864</v>
      </c>
      <c r="V94" s="257">
        <f t="shared" si="8"/>
        <v>780.39985522341431</v>
      </c>
      <c r="W94" s="257">
        <f t="shared" si="9"/>
        <v>2634.4455738985521</v>
      </c>
      <c r="X94" s="257">
        <v>0</v>
      </c>
      <c r="Y94" s="258">
        <v>0</v>
      </c>
      <c r="Z94" s="258">
        <v>0</v>
      </c>
      <c r="AA94" s="258">
        <v>0</v>
      </c>
      <c r="AB94" s="258">
        <v>0</v>
      </c>
      <c r="AC94" s="258">
        <v>0</v>
      </c>
      <c r="AD94" s="258">
        <v>0</v>
      </c>
      <c r="AE94" s="258">
        <v>0</v>
      </c>
      <c r="AF94" s="257">
        <v>0</v>
      </c>
      <c r="AG94" s="258">
        <v>0</v>
      </c>
      <c r="AH94" s="257">
        <v>0</v>
      </c>
      <c r="AI94" s="258">
        <v>680.01</v>
      </c>
      <c r="AJ94" s="257">
        <f>7439.1*AI94/I94</f>
        <v>2634.4455738985521</v>
      </c>
      <c r="AK94" s="258">
        <v>0</v>
      </c>
      <c r="AL94" s="258">
        <v>0</v>
      </c>
      <c r="AM94" s="258">
        <v>0</v>
      </c>
      <c r="AN94" s="258"/>
      <c r="AO94" s="258">
        <v>0</v>
      </c>
    </row>
    <row r="95" spans="1:41" s="259" customFormat="1" ht="36" customHeight="1" x14ac:dyDescent="0.25">
      <c r="A95" s="259">
        <v>1</v>
      </c>
      <c r="B95" s="135">
        <f>SUBTOTAL(103,$A$16:A95)</f>
        <v>80</v>
      </c>
      <c r="C95" s="94" t="s">
        <v>1552</v>
      </c>
      <c r="D95" s="124">
        <v>1976</v>
      </c>
      <c r="E95" s="124"/>
      <c r="F95" s="129" t="s">
        <v>269</v>
      </c>
      <c r="G95" s="124">
        <v>5</v>
      </c>
      <c r="H95" s="124" t="s">
        <v>2294</v>
      </c>
      <c r="I95" s="128">
        <v>6239.3</v>
      </c>
      <c r="J95" s="128">
        <v>5776.2</v>
      </c>
      <c r="K95" s="128">
        <v>5061.7</v>
      </c>
      <c r="L95" s="126">
        <v>280</v>
      </c>
      <c r="M95" s="124" t="s">
        <v>267</v>
      </c>
      <c r="N95" s="124" t="s">
        <v>271</v>
      </c>
      <c r="O95" s="127" t="s">
        <v>1388</v>
      </c>
      <c r="P95" s="128">
        <v>4468866.21</v>
      </c>
      <c r="Q95" s="128">
        <v>0</v>
      </c>
      <c r="R95" s="128">
        <v>0</v>
      </c>
      <c r="S95" s="128">
        <f t="shared" si="7"/>
        <v>4468866.21</v>
      </c>
      <c r="T95" s="128">
        <f t="shared" si="6"/>
        <v>716.24480470565607</v>
      </c>
      <c r="U95" s="128">
        <v>1550.1728639430703</v>
      </c>
      <c r="V95" s="257">
        <f t="shared" si="8"/>
        <v>833.92805923741423</v>
      </c>
      <c r="W95" s="257">
        <f t="shared" si="9"/>
        <v>493.45604747327428</v>
      </c>
      <c r="X95" s="257">
        <v>0</v>
      </c>
      <c r="Y95" s="258">
        <v>0</v>
      </c>
      <c r="Z95" s="258">
        <v>0</v>
      </c>
      <c r="AA95" s="258">
        <v>0</v>
      </c>
      <c r="AB95" s="258">
        <v>0</v>
      </c>
      <c r="AC95" s="258">
        <v>0</v>
      </c>
      <c r="AD95" s="258">
        <v>0</v>
      </c>
      <c r="AE95" s="258">
        <v>0</v>
      </c>
      <c r="AF95" s="257">
        <v>0</v>
      </c>
      <c r="AG95" s="258">
        <v>0</v>
      </c>
      <c r="AH95" s="257">
        <v>0</v>
      </c>
      <c r="AI95" s="258">
        <v>413.87</v>
      </c>
      <c r="AJ95" s="257">
        <f>7439.1*AI95/I95</f>
        <v>493.45604747327428</v>
      </c>
      <c r="AK95" s="258">
        <v>0</v>
      </c>
      <c r="AL95" s="258">
        <v>0</v>
      </c>
      <c r="AM95" s="258">
        <v>0</v>
      </c>
      <c r="AN95" s="258"/>
      <c r="AO95" s="258">
        <v>0</v>
      </c>
    </row>
    <row r="96" spans="1:41" s="259" customFormat="1" ht="36" customHeight="1" x14ac:dyDescent="0.25">
      <c r="A96" s="259">
        <v>1</v>
      </c>
      <c r="B96" s="135">
        <f>SUBTOTAL(103,$A$16:A96)</f>
        <v>81</v>
      </c>
      <c r="C96" s="94" t="s">
        <v>1553</v>
      </c>
      <c r="D96" s="124">
        <v>1972</v>
      </c>
      <c r="E96" s="124"/>
      <c r="F96" s="129" t="s">
        <v>269</v>
      </c>
      <c r="G96" s="124">
        <v>5</v>
      </c>
      <c r="H96" s="124" t="s">
        <v>2293</v>
      </c>
      <c r="I96" s="128">
        <v>6466</v>
      </c>
      <c r="J96" s="128">
        <v>6466</v>
      </c>
      <c r="K96" s="128">
        <v>5918.8</v>
      </c>
      <c r="L96" s="126">
        <v>277</v>
      </c>
      <c r="M96" s="124" t="s">
        <v>267</v>
      </c>
      <c r="N96" s="124" t="s">
        <v>271</v>
      </c>
      <c r="O96" s="127" t="s">
        <v>1389</v>
      </c>
      <c r="P96" s="128">
        <v>6330505.6400000006</v>
      </c>
      <c r="Q96" s="128">
        <v>0</v>
      </c>
      <c r="R96" s="128">
        <v>0</v>
      </c>
      <c r="S96" s="128">
        <f t="shared" si="7"/>
        <v>6330505.6400000006</v>
      </c>
      <c r="T96" s="128">
        <f t="shared" si="6"/>
        <v>979.04510361892983</v>
      </c>
      <c r="U96" s="128">
        <v>1610.4546931642437</v>
      </c>
      <c r="V96" s="257">
        <f t="shared" si="8"/>
        <v>631.40958954531391</v>
      </c>
      <c r="W96" s="257">
        <f t="shared" si="9"/>
        <v>449.74957148159604</v>
      </c>
      <c r="X96" s="257">
        <v>0</v>
      </c>
      <c r="Y96" s="258">
        <v>0</v>
      </c>
      <c r="Z96" s="258">
        <v>0</v>
      </c>
      <c r="AA96" s="258">
        <v>0</v>
      </c>
      <c r="AB96" s="258">
        <v>0</v>
      </c>
      <c r="AC96" s="258">
        <v>0</v>
      </c>
      <c r="AD96" s="258">
        <v>0</v>
      </c>
      <c r="AE96" s="258">
        <v>466.12</v>
      </c>
      <c r="AF96" s="257">
        <f t="shared" ref="AF96:AF105" si="10">6238.91*AE96/I96</f>
        <v>449.74957148159604</v>
      </c>
      <c r="AG96" s="258">
        <v>0</v>
      </c>
      <c r="AH96" s="257">
        <v>0</v>
      </c>
      <c r="AI96" s="258">
        <v>0</v>
      </c>
      <c r="AJ96" s="257">
        <v>0</v>
      </c>
      <c r="AK96" s="258">
        <v>0</v>
      </c>
      <c r="AL96" s="258">
        <v>0</v>
      </c>
      <c r="AM96" s="258">
        <v>0</v>
      </c>
      <c r="AN96" s="258"/>
      <c r="AO96" s="258">
        <v>0</v>
      </c>
    </row>
    <row r="97" spans="1:41" s="259" customFormat="1" ht="36" customHeight="1" x14ac:dyDescent="0.25">
      <c r="A97" s="259">
        <v>1</v>
      </c>
      <c r="B97" s="135">
        <f>SUBTOTAL(103,$A$16:A97)</f>
        <v>82</v>
      </c>
      <c r="C97" s="94" t="s">
        <v>1541</v>
      </c>
      <c r="D97" s="124">
        <v>1976</v>
      </c>
      <c r="E97" s="124"/>
      <c r="F97" s="129" t="s">
        <v>269</v>
      </c>
      <c r="G97" s="124">
        <v>3</v>
      </c>
      <c r="H97" s="124" t="s">
        <v>305</v>
      </c>
      <c r="I97" s="128">
        <v>1178.4000000000001</v>
      </c>
      <c r="J97" s="128">
        <v>1080.5</v>
      </c>
      <c r="K97" s="128">
        <v>1080.5</v>
      </c>
      <c r="L97" s="126">
        <v>59</v>
      </c>
      <c r="M97" s="124" t="s">
        <v>267</v>
      </c>
      <c r="N97" s="124" t="s">
        <v>271</v>
      </c>
      <c r="O97" s="127" t="s">
        <v>1387</v>
      </c>
      <c r="P97" s="128">
        <v>1913423.73</v>
      </c>
      <c r="Q97" s="128">
        <v>0</v>
      </c>
      <c r="R97" s="128">
        <v>0</v>
      </c>
      <c r="S97" s="128">
        <f t="shared" si="7"/>
        <v>1913423.73</v>
      </c>
      <c r="T97" s="128">
        <f t="shared" si="6"/>
        <v>1623.7472250509163</v>
      </c>
      <c r="U97" s="128">
        <v>2698.7241344195518</v>
      </c>
      <c r="V97" s="257">
        <f t="shared" si="8"/>
        <v>1074.9769093686355</v>
      </c>
      <c r="W97" s="257">
        <f t="shared" si="9"/>
        <v>4547.8816106585191</v>
      </c>
      <c r="X97" s="257">
        <v>0</v>
      </c>
      <c r="Y97" s="258">
        <v>0</v>
      </c>
      <c r="Z97" s="258">
        <v>0</v>
      </c>
      <c r="AA97" s="258">
        <v>0</v>
      </c>
      <c r="AB97" s="258">
        <v>0</v>
      </c>
      <c r="AC97" s="258">
        <v>0</v>
      </c>
      <c r="AD97" s="258">
        <v>0</v>
      </c>
      <c r="AE97" s="258">
        <v>859</v>
      </c>
      <c r="AF97" s="257">
        <f t="shared" si="10"/>
        <v>4547.8816106585191</v>
      </c>
      <c r="AG97" s="258">
        <v>0</v>
      </c>
      <c r="AH97" s="257">
        <v>0</v>
      </c>
      <c r="AI97" s="258">
        <v>0</v>
      </c>
      <c r="AJ97" s="257">
        <v>0</v>
      </c>
      <c r="AK97" s="258">
        <v>0</v>
      </c>
      <c r="AL97" s="258">
        <v>0</v>
      </c>
      <c r="AM97" s="258">
        <v>0</v>
      </c>
      <c r="AN97" s="258"/>
      <c r="AO97" s="258">
        <v>0</v>
      </c>
    </row>
    <row r="98" spans="1:41" s="259" customFormat="1" ht="36" customHeight="1" x14ac:dyDescent="0.25">
      <c r="A98" s="259">
        <v>1</v>
      </c>
      <c r="B98" s="135">
        <f>SUBTOTAL(103,$A$16:A98)</f>
        <v>83</v>
      </c>
      <c r="C98" s="94" t="s">
        <v>1595</v>
      </c>
      <c r="D98" s="124">
        <v>1959</v>
      </c>
      <c r="E98" s="124"/>
      <c r="F98" s="129" t="s">
        <v>269</v>
      </c>
      <c r="G98" s="124">
        <v>2</v>
      </c>
      <c r="H98" s="124" t="s">
        <v>305</v>
      </c>
      <c r="I98" s="128">
        <v>595.5</v>
      </c>
      <c r="J98" s="128">
        <v>548.5</v>
      </c>
      <c r="K98" s="128">
        <v>548.5</v>
      </c>
      <c r="L98" s="126">
        <v>41</v>
      </c>
      <c r="M98" s="124" t="s">
        <v>267</v>
      </c>
      <c r="N98" s="124" t="s">
        <v>271</v>
      </c>
      <c r="O98" s="127" t="s">
        <v>1387</v>
      </c>
      <c r="P98" s="128">
        <v>2130978.9000000004</v>
      </c>
      <c r="Q98" s="128">
        <v>0</v>
      </c>
      <c r="R98" s="128">
        <v>0</v>
      </c>
      <c r="S98" s="128">
        <f t="shared" si="7"/>
        <v>2130978.9000000004</v>
      </c>
      <c r="T98" s="128">
        <f t="shared" si="6"/>
        <v>3578.4700251889176</v>
      </c>
      <c r="U98" s="128">
        <v>3742.4477581863976</v>
      </c>
      <c r="V98" s="257">
        <f t="shared" si="8"/>
        <v>163.97773299747996</v>
      </c>
      <c r="W98" s="257">
        <f t="shared" si="9"/>
        <v>10521.809089840468</v>
      </c>
      <c r="X98" s="257">
        <v>0</v>
      </c>
      <c r="Y98" s="258">
        <v>0</v>
      </c>
      <c r="Z98" s="258">
        <v>0</v>
      </c>
      <c r="AA98" s="258">
        <v>0</v>
      </c>
      <c r="AB98" s="258">
        <v>0</v>
      </c>
      <c r="AC98" s="258">
        <v>0</v>
      </c>
      <c r="AD98" s="258">
        <v>0</v>
      </c>
      <c r="AE98" s="258">
        <v>1004.3</v>
      </c>
      <c r="AF98" s="257">
        <f t="shared" si="10"/>
        <v>10521.809089840468</v>
      </c>
      <c r="AG98" s="258">
        <v>0</v>
      </c>
      <c r="AH98" s="257">
        <v>0</v>
      </c>
      <c r="AI98" s="258">
        <v>0</v>
      </c>
      <c r="AJ98" s="257">
        <v>0</v>
      </c>
      <c r="AK98" s="258">
        <v>0</v>
      </c>
      <c r="AL98" s="258">
        <v>0</v>
      </c>
      <c r="AM98" s="258">
        <v>0</v>
      </c>
      <c r="AN98" s="258"/>
      <c r="AO98" s="258">
        <v>0</v>
      </c>
    </row>
    <row r="99" spans="1:41" s="259" customFormat="1" ht="36" customHeight="1" x14ac:dyDescent="0.25">
      <c r="A99" s="259">
        <v>1</v>
      </c>
      <c r="B99" s="135">
        <f>SUBTOTAL(103,$A$16:A99)</f>
        <v>84</v>
      </c>
      <c r="C99" s="94" t="s">
        <v>1597</v>
      </c>
      <c r="D99" s="124">
        <v>1970</v>
      </c>
      <c r="E99" s="124"/>
      <c r="F99" s="129" t="s">
        <v>269</v>
      </c>
      <c r="G99" s="124">
        <v>5</v>
      </c>
      <c r="H99" s="124" t="s">
        <v>310</v>
      </c>
      <c r="I99" s="128">
        <v>12297.5</v>
      </c>
      <c r="J99" s="128">
        <v>3386.1</v>
      </c>
      <c r="K99" s="128">
        <v>3386.1</v>
      </c>
      <c r="L99" s="126">
        <v>153</v>
      </c>
      <c r="M99" s="124" t="s">
        <v>267</v>
      </c>
      <c r="N99" s="124" t="s">
        <v>271</v>
      </c>
      <c r="O99" s="127" t="s">
        <v>1601</v>
      </c>
      <c r="P99" s="128">
        <v>86742.97</v>
      </c>
      <c r="Q99" s="128">
        <v>0</v>
      </c>
      <c r="R99" s="128">
        <v>0</v>
      </c>
      <c r="S99" s="128">
        <f t="shared" si="7"/>
        <v>86742.97</v>
      </c>
      <c r="T99" s="128">
        <f t="shared" si="6"/>
        <v>7.0537076641593819</v>
      </c>
      <c r="U99" s="128">
        <v>7.0537076641593819</v>
      </c>
      <c r="V99" s="257">
        <f t="shared" si="8"/>
        <v>0</v>
      </c>
      <c r="W99" s="257">
        <f t="shared" si="9"/>
        <v>521.79052124415523</v>
      </c>
      <c r="X99" s="257">
        <v>0</v>
      </c>
      <c r="Y99" s="258">
        <v>0</v>
      </c>
      <c r="Z99" s="258">
        <v>0</v>
      </c>
      <c r="AA99" s="258">
        <v>0</v>
      </c>
      <c r="AB99" s="258">
        <v>0</v>
      </c>
      <c r="AC99" s="258">
        <v>0</v>
      </c>
      <c r="AD99" s="258">
        <v>0</v>
      </c>
      <c r="AE99" s="258">
        <v>1028.5</v>
      </c>
      <c r="AF99" s="257">
        <f t="shared" si="10"/>
        <v>521.79052124415523</v>
      </c>
      <c r="AG99" s="258">
        <v>0</v>
      </c>
      <c r="AH99" s="257">
        <v>0</v>
      </c>
      <c r="AI99" s="258">
        <v>0</v>
      </c>
      <c r="AJ99" s="257">
        <v>0</v>
      </c>
      <c r="AK99" s="258">
        <v>0</v>
      </c>
      <c r="AL99" s="258">
        <v>0</v>
      </c>
      <c r="AM99" s="258">
        <v>0</v>
      </c>
      <c r="AN99" s="258"/>
      <c r="AO99" s="258">
        <v>0</v>
      </c>
    </row>
    <row r="100" spans="1:41" s="259" customFormat="1" ht="36" customHeight="1" x14ac:dyDescent="0.25">
      <c r="A100" s="259">
        <v>1</v>
      </c>
      <c r="B100" s="135">
        <f>SUBTOTAL(103,$A$16:A100)</f>
        <v>85</v>
      </c>
      <c r="C100" s="94" t="s">
        <v>1599</v>
      </c>
      <c r="D100" s="124">
        <v>1961</v>
      </c>
      <c r="E100" s="124"/>
      <c r="F100" s="129" t="s">
        <v>269</v>
      </c>
      <c r="G100" s="124">
        <v>4</v>
      </c>
      <c r="H100" s="124" t="s">
        <v>305</v>
      </c>
      <c r="I100" s="128">
        <v>1732.3</v>
      </c>
      <c r="J100" s="128">
        <v>1276.7</v>
      </c>
      <c r="K100" s="128">
        <v>1276.7</v>
      </c>
      <c r="L100" s="126">
        <v>59</v>
      </c>
      <c r="M100" s="124" t="s">
        <v>267</v>
      </c>
      <c r="N100" s="124" t="s">
        <v>271</v>
      </c>
      <c r="O100" s="127" t="s">
        <v>1602</v>
      </c>
      <c r="P100" s="128">
        <v>70589.929999999993</v>
      </c>
      <c r="Q100" s="128">
        <v>0</v>
      </c>
      <c r="R100" s="128">
        <v>0</v>
      </c>
      <c r="S100" s="128">
        <f t="shared" si="7"/>
        <v>70589.929999999993</v>
      </c>
      <c r="T100" s="128">
        <f t="shared" si="6"/>
        <v>40.749252438953988</v>
      </c>
      <c r="U100" s="128">
        <v>40.749252438953988</v>
      </c>
      <c r="V100" s="257">
        <f t="shared" si="8"/>
        <v>0</v>
      </c>
      <c r="W100" s="257">
        <f t="shared" si="9"/>
        <v>1205.7882976389772</v>
      </c>
      <c r="X100" s="257">
        <v>0</v>
      </c>
      <c r="Y100" s="258">
        <v>0</v>
      </c>
      <c r="Z100" s="258">
        <v>0</v>
      </c>
      <c r="AA100" s="258">
        <v>0</v>
      </c>
      <c r="AB100" s="258">
        <v>0</v>
      </c>
      <c r="AC100" s="258">
        <v>0</v>
      </c>
      <c r="AD100" s="258">
        <v>0</v>
      </c>
      <c r="AE100" s="258">
        <v>334.8</v>
      </c>
      <c r="AF100" s="257">
        <f t="shared" si="10"/>
        <v>1205.7882976389772</v>
      </c>
      <c r="AG100" s="258">
        <v>0</v>
      </c>
      <c r="AH100" s="257">
        <v>0</v>
      </c>
      <c r="AI100" s="258">
        <v>0</v>
      </c>
      <c r="AJ100" s="257">
        <v>0</v>
      </c>
      <c r="AK100" s="258">
        <v>0</v>
      </c>
      <c r="AL100" s="258">
        <v>0</v>
      </c>
      <c r="AM100" s="258">
        <v>0</v>
      </c>
      <c r="AN100" s="258"/>
      <c r="AO100" s="258">
        <v>0</v>
      </c>
    </row>
    <row r="101" spans="1:41" s="259" customFormat="1" ht="36" customHeight="1" x14ac:dyDescent="0.25">
      <c r="A101" s="259">
        <v>1</v>
      </c>
      <c r="B101" s="135">
        <f>SUBTOTAL(103,$A$16:A101)</f>
        <v>86</v>
      </c>
      <c r="C101" s="94" t="s">
        <v>1600</v>
      </c>
      <c r="D101" s="124">
        <v>1953</v>
      </c>
      <c r="E101" s="124"/>
      <c r="F101" s="129" t="s">
        <v>269</v>
      </c>
      <c r="G101" s="124">
        <v>2</v>
      </c>
      <c r="H101" s="124" t="s">
        <v>305</v>
      </c>
      <c r="I101" s="128">
        <v>688.9</v>
      </c>
      <c r="J101" s="128">
        <v>620.29999999999995</v>
      </c>
      <c r="K101" s="128">
        <v>620.29999999999995</v>
      </c>
      <c r="L101" s="126">
        <v>39</v>
      </c>
      <c r="M101" s="124" t="s">
        <v>267</v>
      </c>
      <c r="N101" s="124" t="s">
        <v>271</v>
      </c>
      <c r="O101" s="127" t="s">
        <v>351</v>
      </c>
      <c r="P101" s="128">
        <v>2062889.94</v>
      </c>
      <c r="Q101" s="128">
        <v>0</v>
      </c>
      <c r="R101" s="128">
        <v>0</v>
      </c>
      <c r="S101" s="128">
        <f t="shared" si="7"/>
        <v>2062889.94</v>
      </c>
      <c r="T101" s="128">
        <f t="shared" si="6"/>
        <v>2994.4693569458559</v>
      </c>
      <c r="U101" s="128">
        <v>8422.8451154013655</v>
      </c>
      <c r="V101" s="257">
        <f t="shared" si="8"/>
        <v>5428.3757584555096</v>
      </c>
      <c r="W101" s="257">
        <f t="shared" si="9"/>
        <v>14354.292858179706</v>
      </c>
      <c r="X101" s="257">
        <v>0</v>
      </c>
      <c r="Y101" s="258">
        <v>0</v>
      </c>
      <c r="Z101" s="258">
        <v>0</v>
      </c>
      <c r="AA101" s="258">
        <v>0</v>
      </c>
      <c r="AB101" s="258">
        <v>0</v>
      </c>
      <c r="AC101" s="258">
        <v>0</v>
      </c>
      <c r="AD101" s="258">
        <v>0</v>
      </c>
      <c r="AE101" s="258">
        <v>1585</v>
      </c>
      <c r="AF101" s="257">
        <f t="shared" si="10"/>
        <v>14354.292858179706</v>
      </c>
      <c r="AG101" s="258">
        <v>0</v>
      </c>
      <c r="AH101" s="257">
        <v>0</v>
      </c>
      <c r="AI101" s="258">
        <v>0</v>
      </c>
      <c r="AJ101" s="257">
        <v>0</v>
      </c>
      <c r="AK101" s="258">
        <v>0</v>
      </c>
      <c r="AL101" s="258">
        <v>0</v>
      </c>
      <c r="AM101" s="258">
        <v>0</v>
      </c>
      <c r="AN101" s="258"/>
      <c r="AO101" s="258">
        <v>0</v>
      </c>
    </row>
    <row r="102" spans="1:41" s="259" customFormat="1" ht="36" customHeight="1" x14ac:dyDescent="0.25">
      <c r="A102" s="259">
        <v>1</v>
      </c>
      <c r="B102" s="135">
        <f>SUBTOTAL(103,$A$16:A102)</f>
        <v>87</v>
      </c>
      <c r="C102" s="94" t="s">
        <v>1622</v>
      </c>
      <c r="D102" s="124">
        <v>1959</v>
      </c>
      <c r="E102" s="124"/>
      <c r="F102" s="129" t="s">
        <v>269</v>
      </c>
      <c r="G102" s="124">
        <v>2</v>
      </c>
      <c r="H102" s="124" t="s">
        <v>306</v>
      </c>
      <c r="I102" s="128">
        <v>452.5</v>
      </c>
      <c r="J102" s="128">
        <v>412.6</v>
      </c>
      <c r="K102" s="128">
        <v>412.6</v>
      </c>
      <c r="L102" s="126">
        <v>20</v>
      </c>
      <c r="M102" s="124" t="s">
        <v>267</v>
      </c>
      <c r="N102" s="124" t="s">
        <v>271</v>
      </c>
      <c r="O102" s="127" t="s">
        <v>1390</v>
      </c>
      <c r="P102" s="128">
        <v>1538390.57</v>
      </c>
      <c r="Q102" s="128">
        <v>0</v>
      </c>
      <c r="R102" s="128">
        <v>0</v>
      </c>
      <c r="S102" s="128">
        <f t="shared" si="7"/>
        <v>1538390.57</v>
      </c>
      <c r="T102" s="128">
        <f t="shared" si="6"/>
        <v>3399.7581657458563</v>
      </c>
      <c r="U102" s="128">
        <v>5229.5067845303865</v>
      </c>
      <c r="V102" s="257">
        <f t="shared" si="8"/>
        <v>1829.7486187845302</v>
      </c>
      <c r="W102" s="257">
        <f t="shared" si="9"/>
        <v>22934.37103646409</v>
      </c>
      <c r="X102" s="257">
        <v>0</v>
      </c>
      <c r="Y102" s="258">
        <v>0</v>
      </c>
      <c r="Z102" s="258">
        <v>0</v>
      </c>
      <c r="AA102" s="258">
        <v>0</v>
      </c>
      <c r="AB102" s="258">
        <v>0</v>
      </c>
      <c r="AC102" s="258">
        <v>0</v>
      </c>
      <c r="AD102" s="258">
        <v>0</v>
      </c>
      <c r="AE102" s="258">
        <v>1663.4</v>
      </c>
      <c r="AF102" s="257">
        <f t="shared" si="10"/>
        <v>22934.37103646409</v>
      </c>
      <c r="AG102" s="258">
        <v>0</v>
      </c>
      <c r="AH102" s="257">
        <v>0</v>
      </c>
      <c r="AI102" s="258">
        <v>0</v>
      </c>
      <c r="AJ102" s="257">
        <v>0</v>
      </c>
      <c r="AK102" s="258">
        <v>0</v>
      </c>
      <c r="AL102" s="258">
        <v>0</v>
      </c>
      <c r="AM102" s="258">
        <v>0</v>
      </c>
      <c r="AN102" s="258"/>
      <c r="AO102" s="258">
        <v>0</v>
      </c>
    </row>
    <row r="103" spans="1:41" s="259" customFormat="1" ht="36" customHeight="1" x14ac:dyDescent="0.25">
      <c r="A103" s="259">
        <v>1</v>
      </c>
      <c r="B103" s="135">
        <f>SUBTOTAL(103,$A$16:A103)</f>
        <v>88</v>
      </c>
      <c r="C103" s="94" t="s">
        <v>1623</v>
      </c>
      <c r="D103" s="124">
        <v>1984</v>
      </c>
      <c r="E103" s="124"/>
      <c r="F103" s="129" t="s">
        <v>313</v>
      </c>
      <c r="G103" s="124">
        <v>14</v>
      </c>
      <c r="H103" s="124" t="s">
        <v>306</v>
      </c>
      <c r="I103" s="128">
        <v>4285.8999999999996</v>
      </c>
      <c r="J103" s="128">
        <v>4285.8999999999996</v>
      </c>
      <c r="K103" s="128">
        <v>4230</v>
      </c>
      <c r="L103" s="126">
        <v>208</v>
      </c>
      <c r="M103" s="124" t="s">
        <v>267</v>
      </c>
      <c r="N103" s="124" t="s">
        <v>271</v>
      </c>
      <c r="O103" s="127" t="s">
        <v>1389</v>
      </c>
      <c r="P103" s="128">
        <v>2359648.1800000002</v>
      </c>
      <c r="Q103" s="128">
        <v>0</v>
      </c>
      <c r="R103" s="128">
        <v>0</v>
      </c>
      <c r="S103" s="128">
        <f t="shared" si="7"/>
        <v>2359648.1800000002</v>
      </c>
      <c r="T103" s="128">
        <f t="shared" si="6"/>
        <v>550.56071770223298</v>
      </c>
      <c r="U103" s="128">
        <v>712.14704029492066</v>
      </c>
      <c r="V103" s="257">
        <f t="shared" si="8"/>
        <v>161.58632259268768</v>
      </c>
      <c r="W103" s="257">
        <f t="shared" si="9"/>
        <v>739.48675424064959</v>
      </c>
      <c r="X103" s="257">
        <v>0</v>
      </c>
      <c r="Y103" s="258">
        <v>0</v>
      </c>
      <c r="Z103" s="258">
        <v>0</v>
      </c>
      <c r="AA103" s="258">
        <v>0</v>
      </c>
      <c r="AB103" s="258">
        <v>0</v>
      </c>
      <c r="AC103" s="258">
        <v>0</v>
      </c>
      <c r="AD103" s="258">
        <v>0</v>
      </c>
      <c r="AE103" s="258">
        <v>508</v>
      </c>
      <c r="AF103" s="257">
        <f t="shared" si="10"/>
        <v>739.48675424064959</v>
      </c>
      <c r="AG103" s="258">
        <v>0</v>
      </c>
      <c r="AH103" s="257">
        <v>0</v>
      </c>
      <c r="AI103" s="258">
        <v>0</v>
      </c>
      <c r="AJ103" s="257">
        <v>0</v>
      </c>
      <c r="AK103" s="258">
        <v>0</v>
      </c>
      <c r="AL103" s="258">
        <v>0</v>
      </c>
      <c r="AM103" s="258">
        <v>0</v>
      </c>
      <c r="AN103" s="258"/>
      <c r="AO103" s="258">
        <v>0</v>
      </c>
    </row>
    <row r="104" spans="1:41" s="259" customFormat="1" ht="36" customHeight="1" x14ac:dyDescent="0.25">
      <c r="A104" s="259">
        <v>1</v>
      </c>
      <c r="B104" s="135">
        <f>SUBTOTAL(103,$A$16:A104)</f>
        <v>89</v>
      </c>
      <c r="C104" s="94" t="s">
        <v>1126</v>
      </c>
      <c r="D104" s="124">
        <v>1962</v>
      </c>
      <c r="E104" s="124"/>
      <c r="F104" s="129" t="s">
        <v>269</v>
      </c>
      <c r="G104" s="124">
        <v>4</v>
      </c>
      <c r="H104" s="124" t="s">
        <v>314</v>
      </c>
      <c r="I104" s="128">
        <v>2135.9</v>
      </c>
      <c r="J104" s="128">
        <v>1990.6</v>
      </c>
      <c r="K104" s="128">
        <v>1990.6</v>
      </c>
      <c r="L104" s="126">
        <v>103</v>
      </c>
      <c r="M104" s="124" t="s">
        <v>267</v>
      </c>
      <c r="N104" s="124" t="s">
        <v>271</v>
      </c>
      <c r="O104" s="127" t="s">
        <v>1654</v>
      </c>
      <c r="P104" s="128">
        <v>3284906.54</v>
      </c>
      <c r="Q104" s="128">
        <v>0</v>
      </c>
      <c r="R104" s="128">
        <v>0</v>
      </c>
      <c r="S104" s="128">
        <f t="shared" si="7"/>
        <v>3284906.54</v>
      </c>
      <c r="T104" s="128">
        <f t="shared" si="6"/>
        <v>1537.9495950184933</v>
      </c>
      <c r="U104" s="128">
        <v>6194.315908984503</v>
      </c>
      <c r="V104" s="257">
        <f t="shared" si="8"/>
        <v>4656.3663139660093</v>
      </c>
      <c r="W104" s="257">
        <f t="shared" si="9"/>
        <v>1039.8670162460789</v>
      </c>
      <c r="X104" s="257">
        <v>0</v>
      </c>
      <c r="Y104" s="258">
        <v>0</v>
      </c>
      <c r="Z104" s="258">
        <v>0</v>
      </c>
      <c r="AA104" s="258">
        <v>0</v>
      </c>
      <c r="AB104" s="258">
        <v>0</v>
      </c>
      <c r="AC104" s="258">
        <v>0</v>
      </c>
      <c r="AD104" s="258">
        <v>0</v>
      </c>
      <c r="AE104" s="258">
        <v>356</v>
      </c>
      <c r="AF104" s="257">
        <f t="shared" si="10"/>
        <v>1039.8670162460789</v>
      </c>
      <c r="AG104" s="258">
        <v>0</v>
      </c>
      <c r="AH104" s="257">
        <v>0</v>
      </c>
      <c r="AI104" s="258">
        <v>0</v>
      </c>
      <c r="AJ104" s="257">
        <v>0</v>
      </c>
      <c r="AK104" s="258">
        <v>0</v>
      </c>
      <c r="AL104" s="258">
        <v>0</v>
      </c>
      <c r="AM104" s="258">
        <v>0</v>
      </c>
      <c r="AN104" s="258"/>
      <c r="AO104" s="258">
        <v>0</v>
      </c>
    </row>
    <row r="105" spans="1:41" s="259" customFormat="1" ht="36" customHeight="1" x14ac:dyDescent="0.25">
      <c r="A105" s="259">
        <v>1</v>
      </c>
      <c r="B105" s="135">
        <f>SUBTOTAL(103,$A$16:A105)</f>
        <v>90</v>
      </c>
      <c r="C105" s="94" t="s">
        <v>534</v>
      </c>
      <c r="D105" s="124">
        <v>1994</v>
      </c>
      <c r="E105" s="124"/>
      <c r="F105" s="129" t="s">
        <v>313</v>
      </c>
      <c r="G105" s="124">
        <v>9</v>
      </c>
      <c r="H105" s="124" t="s">
        <v>306</v>
      </c>
      <c r="I105" s="128">
        <v>2342.1999999999998</v>
      </c>
      <c r="J105" s="128">
        <v>2320.3000000000002</v>
      </c>
      <c r="K105" s="128">
        <v>2280.8000000000002</v>
      </c>
      <c r="L105" s="126">
        <v>147</v>
      </c>
      <c r="M105" s="124" t="s">
        <v>267</v>
      </c>
      <c r="N105" s="124" t="s">
        <v>271</v>
      </c>
      <c r="O105" s="127" t="s">
        <v>1389</v>
      </c>
      <c r="P105" s="128">
        <v>1843496.65</v>
      </c>
      <c r="Q105" s="128">
        <v>0</v>
      </c>
      <c r="R105" s="128">
        <v>0</v>
      </c>
      <c r="S105" s="128">
        <f t="shared" si="7"/>
        <v>1843496.65</v>
      </c>
      <c r="T105" s="128">
        <f t="shared" si="6"/>
        <v>787.07909230637858</v>
      </c>
      <c r="U105" s="128">
        <v>1049.355306976347</v>
      </c>
      <c r="V105" s="257">
        <f t="shared" si="8"/>
        <v>262.27621466996845</v>
      </c>
      <c r="W105" s="257">
        <f t="shared" si="9"/>
        <v>2980.676411066519</v>
      </c>
      <c r="X105" s="257">
        <v>0</v>
      </c>
      <c r="Y105" s="258">
        <v>0</v>
      </c>
      <c r="Z105" s="258">
        <v>0</v>
      </c>
      <c r="AA105" s="258">
        <v>0</v>
      </c>
      <c r="AB105" s="258">
        <v>0</v>
      </c>
      <c r="AC105" s="258">
        <v>0</v>
      </c>
      <c r="AD105" s="258">
        <v>0</v>
      </c>
      <c r="AE105" s="258">
        <v>1119</v>
      </c>
      <c r="AF105" s="257">
        <f t="shared" si="10"/>
        <v>2980.676411066519</v>
      </c>
      <c r="AG105" s="258">
        <v>0</v>
      </c>
      <c r="AH105" s="257">
        <v>0</v>
      </c>
      <c r="AI105" s="258">
        <v>0</v>
      </c>
      <c r="AJ105" s="257">
        <v>0</v>
      </c>
      <c r="AK105" s="258">
        <v>0</v>
      </c>
      <c r="AL105" s="258">
        <v>0</v>
      </c>
      <c r="AM105" s="258">
        <v>0</v>
      </c>
      <c r="AN105" s="258"/>
      <c r="AO105" s="258">
        <v>0</v>
      </c>
    </row>
    <row r="106" spans="1:41" s="259" customFormat="1" ht="36" customHeight="1" x14ac:dyDescent="0.25">
      <c r="A106" s="259">
        <v>1</v>
      </c>
      <c r="B106" s="135">
        <f>SUBTOTAL(103,$A$16:A106)</f>
        <v>91</v>
      </c>
      <c r="C106" s="94" t="s">
        <v>535</v>
      </c>
      <c r="D106" s="124">
        <v>1995</v>
      </c>
      <c r="E106" s="124"/>
      <c r="F106" s="129" t="s">
        <v>313</v>
      </c>
      <c r="G106" s="124">
        <v>9</v>
      </c>
      <c r="H106" s="124" t="s">
        <v>306</v>
      </c>
      <c r="I106" s="128">
        <v>3212.7</v>
      </c>
      <c r="J106" s="128">
        <v>2297.9</v>
      </c>
      <c r="K106" s="128">
        <v>2290.8000000000002</v>
      </c>
      <c r="L106" s="126">
        <v>116</v>
      </c>
      <c r="M106" s="124" t="s">
        <v>267</v>
      </c>
      <c r="N106" s="124" t="s">
        <v>271</v>
      </c>
      <c r="O106" s="127" t="s">
        <v>1389</v>
      </c>
      <c r="P106" s="128">
        <v>1838816.0899999999</v>
      </c>
      <c r="Q106" s="128">
        <v>0</v>
      </c>
      <c r="R106" s="128">
        <v>0</v>
      </c>
      <c r="S106" s="128">
        <f t="shared" si="7"/>
        <v>1838816.0899999999</v>
      </c>
      <c r="T106" s="128">
        <f t="shared" si="6"/>
        <v>572.35848040588917</v>
      </c>
      <c r="U106" s="128">
        <v>765.02630186447539</v>
      </c>
      <c r="V106" s="257">
        <f t="shared" si="8"/>
        <v>192.66782145858622</v>
      </c>
      <c r="W106" s="257">
        <f t="shared" si="9"/>
        <v>3042.6050985152679</v>
      </c>
      <c r="X106" s="257">
        <v>0</v>
      </c>
      <c r="Y106" s="258">
        <v>0</v>
      </c>
      <c r="Z106" s="258">
        <v>0</v>
      </c>
      <c r="AA106" s="258">
        <v>0</v>
      </c>
      <c r="AB106" s="258">
        <v>0</v>
      </c>
      <c r="AC106" s="258">
        <v>0</v>
      </c>
      <c r="AD106" s="258">
        <v>0</v>
      </c>
      <c r="AE106" s="258">
        <v>0</v>
      </c>
      <c r="AF106" s="257">
        <v>0</v>
      </c>
      <c r="AG106" s="258">
        <v>0</v>
      </c>
      <c r="AH106" s="257">
        <v>0</v>
      </c>
      <c r="AI106" s="258">
        <v>1314</v>
      </c>
      <c r="AJ106" s="257">
        <f>7439.1*AI106/I106</f>
        <v>3042.6050985152679</v>
      </c>
      <c r="AK106" s="258">
        <v>0</v>
      </c>
      <c r="AL106" s="258">
        <v>0</v>
      </c>
      <c r="AM106" s="258">
        <v>0</v>
      </c>
      <c r="AN106" s="258"/>
      <c r="AO106" s="258">
        <v>0</v>
      </c>
    </row>
    <row r="107" spans="1:41" s="259" customFormat="1" ht="36" customHeight="1" x14ac:dyDescent="0.25">
      <c r="A107" s="259">
        <v>1</v>
      </c>
      <c r="B107" s="135">
        <f>SUBTOTAL(103,$A$16:A107)</f>
        <v>92</v>
      </c>
      <c r="C107" s="94" t="s">
        <v>1380</v>
      </c>
      <c r="D107" s="124">
        <v>1986</v>
      </c>
      <c r="E107" s="124"/>
      <c r="F107" s="129" t="s">
        <v>313</v>
      </c>
      <c r="G107" s="124">
        <v>9</v>
      </c>
      <c r="H107" s="124" t="s">
        <v>373</v>
      </c>
      <c r="I107" s="128">
        <v>14807.8</v>
      </c>
      <c r="J107" s="128">
        <v>11520.6</v>
      </c>
      <c r="K107" s="128">
        <v>11520.6</v>
      </c>
      <c r="L107" s="126">
        <v>529</v>
      </c>
      <c r="M107" s="124" t="s">
        <v>267</v>
      </c>
      <c r="N107" s="124" t="s">
        <v>271</v>
      </c>
      <c r="O107" s="127" t="s">
        <v>1093</v>
      </c>
      <c r="P107" s="128">
        <v>10746088.879999999</v>
      </c>
      <c r="Q107" s="128">
        <v>0</v>
      </c>
      <c r="R107" s="128">
        <v>0</v>
      </c>
      <c r="S107" s="128">
        <f t="shared" si="7"/>
        <v>10746088.879999999</v>
      </c>
      <c r="T107" s="128">
        <f t="shared" si="6"/>
        <v>725.70462053782467</v>
      </c>
      <c r="U107" s="128">
        <v>995.88054944015994</v>
      </c>
      <c r="V107" s="257">
        <f t="shared" si="8"/>
        <v>270.17592890233527</v>
      </c>
      <c r="W107" s="257">
        <f t="shared" si="9"/>
        <v>297.87742743689137</v>
      </c>
      <c r="X107" s="257">
        <v>0</v>
      </c>
      <c r="Y107" s="258">
        <v>0</v>
      </c>
      <c r="Z107" s="258">
        <v>0</v>
      </c>
      <c r="AA107" s="258">
        <v>0</v>
      </c>
      <c r="AB107" s="258">
        <v>0</v>
      </c>
      <c r="AC107" s="258">
        <v>0</v>
      </c>
      <c r="AD107" s="258">
        <v>0</v>
      </c>
      <c r="AE107" s="258">
        <v>707</v>
      </c>
      <c r="AF107" s="257">
        <f>6238.91*AE107/I107</f>
        <v>297.87742743689137</v>
      </c>
      <c r="AG107" s="258">
        <v>0</v>
      </c>
      <c r="AH107" s="257">
        <v>0</v>
      </c>
      <c r="AI107" s="258">
        <v>0</v>
      </c>
      <c r="AJ107" s="257">
        <v>0</v>
      </c>
      <c r="AK107" s="258">
        <v>0</v>
      </c>
      <c r="AL107" s="258">
        <v>0</v>
      </c>
      <c r="AM107" s="258">
        <v>0</v>
      </c>
      <c r="AN107" s="258"/>
      <c r="AO107" s="258">
        <v>0</v>
      </c>
    </row>
    <row r="108" spans="1:41" s="259" customFormat="1" ht="36" customHeight="1" x14ac:dyDescent="0.25">
      <c r="A108" s="259">
        <v>1</v>
      </c>
      <c r="B108" s="135">
        <f>SUBTOTAL(103,$A$16:A108)</f>
        <v>93</v>
      </c>
      <c r="C108" s="94" t="s">
        <v>549</v>
      </c>
      <c r="D108" s="124">
        <v>1993</v>
      </c>
      <c r="E108" s="124"/>
      <c r="F108" s="129" t="s">
        <v>269</v>
      </c>
      <c r="G108" s="124" t="s">
        <v>2295</v>
      </c>
      <c r="H108" s="124" t="s">
        <v>359</v>
      </c>
      <c r="I108" s="128">
        <v>14780.2</v>
      </c>
      <c r="J108" s="128">
        <v>12472.3</v>
      </c>
      <c r="K108" s="128">
        <v>9302.2999999999993</v>
      </c>
      <c r="L108" s="126">
        <v>342</v>
      </c>
      <c r="M108" s="124" t="s">
        <v>267</v>
      </c>
      <c r="N108" s="124" t="s">
        <v>271</v>
      </c>
      <c r="O108" s="127" t="s">
        <v>1093</v>
      </c>
      <c r="P108" s="128">
        <v>2078209.55</v>
      </c>
      <c r="Q108" s="128">
        <v>0</v>
      </c>
      <c r="R108" s="128">
        <v>0</v>
      </c>
      <c r="S108" s="128">
        <f t="shared" si="7"/>
        <v>2078209.55</v>
      </c>
      <c r="T108" s="128">
        <f t="shared" si="6"/>
        <v>140.60767445636731</v>
      </c>
      <c r="U108" s="128">
        <v>180.0962774522672</v>
      </c>
      <c r="V108" s="257">
        <f t="shared" si="8"/>
        <v>39.488602995899896</v>
      </c>
      <c r="W108" s="257">
        <f t="shared" si="9"/>
        <v>322.62507273243938</v>
      </c>
      <c r="X108" s="257">
        <v>0</v>
      </c>
      <c r="Y108" s="258">
        <v>0</v>
      </c>
      <c r="Z108" s="258">
        <v>0</v>
      </c>
      <c r="AA108" s="258">
        <v>0</v>
      </c>
      <c r="AB108" s="258">
        <v>0</v>
      </c>
      <c r="AC108" s="258">
        <v>0</v>
      </c>
      <c r="AD108" s="258">
        <v>0</v>
      </c>
      <c r="AE108" s="258">
        <v>0</v>
      </c>
      <c r="AF108" s="257">
        <v>0</v>
      </c>
      <c r="AG108" s="258">
        <v>0</v>
      </c>
      <c r="AH108" s="257">
        <v>0</v>
      </c>
      <c r="AI108" s="258">
        <v>641</v>
      </c>
      <c r="AJ108" s="257">
        <f>7439.1*AI108/I108</f>
        <v>322.62507273243938</v>
      </c>
      <c r="AK108" s="258"/>
      <c r="AL108" s="258">
        <v>0</v>
      </c>
      <c r="AM108" s="258">
        <v>0</v>
      </c>
      <c r="AN108" s="258"/>
      <c r="AO108" s="258">
        <v>0</v>
      </c>
    </row>
    <row r="109" spans="1:41" s="259" customFormat="1" ht="36" customHeight="1" x14ac:dyDescent="0.25">
      <c r="A109" s="259">
        <v>1</v>
      </c>
      <c r="B109" s="135">
        <f>SUBTOTAL(103,$A$16:A109)</f>
        <v>94</v>
      </c>
      <c r="C109" s="94" t="s">
        <v>1092</v>
      </c>
      <c r="D109" s="124">
        <v>1989</v>
      </c>
      <c r="E109" s="124"/>
      <c r="F109" s="129" t="s">
        <v>313</v>
      </c>
      <c r="G109" s="124">
        <v>9</v>
      </c>
      <c r="H109" s="124" t="s">
        <v>310</v>
      </c>
      <c r="I109" s="128">
        <v>10574</v>
      </c>
      <c r="J109" s="128">
        <v>7454.7</v>
      </c>
      <c r="K109" s="128">
        <v>7439.2</v>
      </c>
      <c r="L109" s="126">
        <v>312</v>
      </c>
      <c r="M109" s="124" t="s">
        <v>267</v>
      </c>
      <c r="N109" s="124" t="s">
        <v>271</v>
      </c>
      <c r="O109" s="127" t="s">
        <v>1093</v>
      </c>
      <c r="P109" s="128">
        <v>8533423.2400000002</v>
      </c>
      <c r="Q109" s="128">
        <v>0</v>
      </c>
      <c r="R109" s="128">
        <v>0</v>
      </c>
      <c r="S109" s="128">
        <f t="shared" si="7"/>
        <v>8533423.2400000002</v>
      </c>
      <c r="T109" s="128">
        <f t="shared" si="6"/>
        <v>807.01940987327407</v>
      </c>
      <c r="U109" s="128">
        <v>929.75222243238136</v>
      </c>
      <c r="V109" s="257">
        <f t="shared" si="8"/>
        <v>122.73281255910729</v>
      </c>
      <c r="W109" s="257">
        <f t="shared" si="9"/>
        <v>223.02893701532059</v>
      </c>
      <c r="X109" s="257">
        <v>0</v>
      </c>
      <c r="Y109" s="258">
        <v>0</v>
      </c>
      <c r="Z109" s="258">
        <v>0</v>
      </c>
      <c r="AA109" s="258">
        <v>0</v>
      </c>
      <c r="AB109" s="258">
        <v>0</v>
      </c>
      <c r="AC109" s="258">
        <v>0</v>
      </c>
      <c r="AD109" s="258">
        <v>0</v>
      </c>
      <c r="AE109" s="258">
        <v>378</v>
      </c>
      <c r="AF109" s="257">
        <f>6238.91*AE109/I109</f>
        <v>223.02893701532059</v>
      </c>
      <c r="AG109" s="258">
        <v>0</v>
      </c>
      <c r="AH109" s="257">
        <v>0</v>
      </c>
      <c r="AI109" s="258">
        <v>0</v>
      </c>
      <c r="AJ109" s="257">
        <v>0</v>
      </c>
      <c r="AK109" s="258">
        <v>0</v>
      </c>
      <c r="AL109" s="258">
        <v>0</v>
      </c>
      <c r="AM109" s="258">
        <v>0</v>
      </c>
      <c r="AN109" s="258"/>
      <c r="AO109" s="258">
        <v>0</v>
      </c>
    </row>
    <row r="110" spans="1:41" s="259" customFormat="1" ht="36" customHeight="1" x14ac:dyDescent="0.25">
      <c r="A110" s="259">
        <v>1</v>
      </c>
      <c r="B110" s="135">
        <f>SUBTOTAL(103,$A$16:A110)</f>
        <v>95</v>
      </c>
      <c r="C110" s="94" t="s">
        <v>557</v>
      </c>
      <c r="D110" s="124">
        <v>1973</v>
      </c>
      <c r="E110" s="124"/>
      <c r="F110" s="129" t="s">
        <v>313</v>
      </c>
      <c r="G110" s="124">
        <v>9</v>
      </c>
      <c r="H110" s="124" t="s">
        <v>306</v>
      </c>
      <c r="I110" s="128">
        <v>1914.68</v>
      </c>
      <c r="J110" s="128">
        <v>1914.68</v>
      </c>
      <c r="K110" s="128">
        <v>1914.68</v>
      </c>
      <c r="L110" s="126">
        <v>103</v>
      </c>
      <c r="M110" s="124" t="s">
        <v>267</v>
      </c>
      <c r="N110" s="124" t="s">
        <v>271</v>
      </c>
      <c r="O110" s="127" t="s">
        <v>1389</v>
      </c>
      <c r="P110" s="128">
        <v>2063785.08</v>
      </c>
      <c r="Q110" s="128">
        <v>0</v>
      </c>
      <c r="R110" s="128">
        <v>0</v>
      </c>
      <c r="S110" s="128">
        <f t="shared" si="7"/>
        <v>2063785.08</v>
      </c>
      <c r="T110" s="128">
        <f t="shared" si="6"/>
        <v>1077.8746735746965</v>
      </c>
      <c r="U110" s="128">
        <v>1283.6609772912445</v>
      </c>
      <c r="V110" s="257">
        <f t="shared" si="8"/>
        <v>205.78630371654799</v>
      </c>
      <c r="W110" s="257">
        <f t="shared" si="9"/>
        <v>1594.0997973551716</v>
      </c>
      <c r="X110" s="257">
        <v>0</v>
      </c>
      <c r="Y110" s="258">
        <v>0</v>
      </c>
      <c r="Z110" s="258">
        <v>0</v>
      </c>
      <c r="AA110" s="258">
        <v>0</v>
      </c>
      <c r="AB110" s="258">
        <v>0</v>
      </c>
      <c r="AC110" s="258">
        <v>1</v>
      </c>
      <c r="AD110" s="257">
        <f>3052191*AC110/I110</f>
        <v>1594.0997973551716</v>
      </c>
      <c r="AE110" s="258">
        <v>0</v>
      </c>
      <c r="AF110" s="257">
        <v>0</v>
      </c>
      <c r="AG110" s="258">
        <v>0</v>
      </c>
      <c r="AH110" s="257">
        <v>0</v>
      </c>
      <c r="AI110" s="258">
        <v>0</v>
      </c>
      <c r="AJ110" s="257">
        <v>0</v>
      </c>
      <c r="AK110" s="258">
        <v>0</v>
      </c>
      <c r="AL110" s="258">
        <v>0</v>
      </c>
      <c r="AM110" s="258">
        <v>0</v>
      </c>
      <c r="AN110" s="258"/>
      <c r="AO110" s="258">
        <v>0</v>
      </c>
    </row>
    <row r="111" spans="1:41" s="259" customFormat="1" ht="36" customHeight="1" x14ac:dyDescent="0.25">
      <c r="A111" s="259">
        <v>1</v>
      </c>
      <c r="B111" s="135">
        <f>SUBTOTAL(103,$A$16:A111)</f>
        <v>96</v>
      </c>
      <c r="C111" s="94" t="s">
        <v>1123</v>
      </c>
      <c r="D111" s="124">
        <v>1960</v>
      </c>
      <c r="E111" s="124"/>
      <c r="F111" s="129" t="s">
        <v>1585</v>
      </c>
      <c r="G111" s="124" t="s">
        <v>314</v>
      </c>
      <c r="H111" s="124" t="s">
        <v>305</v>
      </c>
      <c r="I111" s="125">
        <v>969.7</v>
      </c>
      <c r="J111" s="125">
        <v>627.4</v>
      </c>
      <c r="K111" s="125">
        <v>627.4</v>
      </c>
      <c r="L111" s="126">
        <v>38</v>
      </c>
      <c r="M111" s="124" t="s">
        <v>267</v>
      </c>
      <c r="N111" s="124" t="s">
        <v>271</v>
      </c>
      <c r="O111" s="127" t="s">
        <v>2296</v>
      </c>
      <c r="P111" s="128">
        <v>1772415.75</v>
      </c>
      <c r="Q111" s="128">
        <v>0</v>
      </c>
      <c r="R111" s="128">
        <v>0</v>
      </c>
      <c r="S111" s="128">
        <f t="shared" si="7"/>
        <v>1772415.75</v>
      </c>
      <c r="T111" s="128">
        <f t="shared" si="6"/>
        <v>1827.7980303186553</v>
      </c>
      <c r="U111" s="128">
        <v>3382.7104838609876</v>
      </c>
      <c r="V111" s="257">
        <f t="shared" si="8"/>
        <v>1554.9124535423323</v>
      </c>
      <c r="W111" s="257">
        <f t="shared" si="9"/>
        <v>13643.84794266268</v>
      </c>
      <c r="X111" s="257">
        <v>0</v>
      </c>
      <c r="Y111" s="258">
        <v>0</v>
      </c>
      <c r="Z111" s="258">
        <v>0</v>
      </c>
      <c r="AA111" s="258">
        <v>0</v>
      </c>
      <c r="AB111" s="258">
        <v>0</v>
      </c>
      <c r="AC111" s="258">
        <v>0</v>
      </c>
      <c r="AD111" s="258">
        <v>0</v>
      </c>
      <c r="AE111" s="258">
        <v>0</v>
      </c>
      <c r="AF111" s="257">
        <v>0</v>
      </c>
      <c r="AG111" s="258">
        <v>0</v>
      </c>
      <c r="AH111" s="257">
        <v>0</v>
      </c>
      <c r="AI111" s="258">
        <v>1778.5</v>
      </c>
      <c r="AJ111" s="257">
        <f>7439.1*AI111/I111</f>
        <v>13643.84794266268</v>
      </c>
      <c r="AK111" s="258">
        <v>0</v>
      </c>
      <c r="AL111" s="258">
        <v>0</v>
      </c>
      <c r="AM111" s="258">
        <v>0</v>
      </c>
      <c r="AN111" s="258"/>
      <c r="AO111" s="258">
        <v>0</v>
      </c>
    </row>
    <row r="112" spans="1:41" s="259" customFormat="1" ht="36" customHeight="1" x14ac:dyDescent="0.25">
      <c r="A112" s="259">
        <v>1</v>
      </c>
      <c r="B112" s="135">
        <f>SUBTOTAL(103,$A$16:A112)</f>
        <v>97</v>
      </c>
      <c r="C112" s="94" t="s">
        <v>1136</v>
      </c>
      <c r="D112" s="124">
        <v>1962</v>
      </c>
      <c r="E112" s="124"/>
      <c r="F112" s="129" t="s">
        <v>269</v>
      </c>
      <c r="G112" s="124">
        <v>2</v>
      </c>
      <c r="H112" s="124" t="s">
        <v>305</v>
      </c>
      <c r="I112" s="125">
        <v>628.29999999999995</v>
      </c>
      <c r="J112" s="125">
        <v>628.29999999999995</v>
      </c>
      <c r="K112" s="125">
        <v>628.29999999999995</v>
      </c>
      <c r="L112" s="126">
        <v>38</v>
      </c>
      <c r="M112" s="124" t="s">
        <v>267</v>
      </c>
      <c r="N112" s="124" t="s">
        <v>268</v>
      </c>
      <c r="O112" s="127" t="s">
        <v>1327</v>
      </c>
      <c r="P112" s="128">
        <v>52271.7</v>
      </c>
      <c r="Q112" s="128">
        <v>0</v>
      </c>
      <c r="R112" s="128">
        <v>0</v>
      </c>
      <c r="S112" s="128">
        <f t="shared" si="7"/>
        <v>52271.7</v>
      </c>
      <c r="T112" s="128">
        <f t="shared" si="6"/>
        <v>83.195448034378487</v>
      </c>
      <c r="U112" s="128">
        <v>83.195448034378487</v>
      </c>
      <c r="V112" s="257">
        <f t="shared" si="8"/>
        <v>0</v>
      </c>
      <c r="W112" s="257">
        <f t="shared" si="9"/>
        <v>9112.6017937291108</v>
      </c>
      <c r="X112" s="257">
        <v>0</v>
      </c>
      <c r="Y112" s="258">
        <v>0</v>
      </c>
      <c r="Z112" s="258">
        <v>0</v>
      </c>
      <c r="AA112" s="258">
        <v>0</v>
      </c>
      <c r="AB112" s="258">
        <v>0</v>
      </c>
      <c r="AC112" s="258">
        <v>0</v>
      </c>
      <c r="AD112" s="258">
        <v>0</v>
      </c>
      <c r="AE112" s="258">
        <v>917.7</v>
      </c>
      <c r="AF112" s="257">
        <f>6238.91*AE112/I112</f>
        <v>9112.6017937291108</v>
      </c>
      <c r="AG112" s="258">
        <v>0</v>
      </c>
      <c r="AH112" s="257">
        <v>0</v>
      </c>
      <c r="AI112" s="258">
        <v>0</v>
      </c>
      <c r="AJ112" s="257">
        <v>0</v>
      </c>
      <c r="AK112" s="258">
        <v>0</v>
      </c>
      <c r="AL112" s="258">
        <v>0</v>
      </c>
      <c r="AM112" s="258">
        <v>0</v>
      </c>
      <c r="AN112" s="258"/>
      <c r="AO112" s="258">
        <v>0</v>
      </c>
    </row>
    <row r="113" spans="1:41" s="259" customFormat="1" ht="36" customHeight="1" x14ac:dyDescent="0.25">
      <c r="A113" s="259">
        <v>1</v>
      </c>
      <c r="B113" s="135">
        <f>SUBTOTAL(103,$A$16:A113)</f>
        <v>98</v>
      </c>
      <c r="C113" s="94" t="s">
        <v>487</v>
      </c>
      <c r="D113" s="124">
        <v>1969</v>
      </c>
      <c r="E113" s="124"/>
      <c r="F113" s="129" t="s">
        <v>269</v>
      </c>
      <c r="G113" s="124">
        <v>5</v>
      </c>
      <c r="H113" s="124" t="s">
        <v>310</v>
      </c>
      <c r="I113" s="125">
        <v>3463.9</v>
      </c>
      <c r="J113" s="125">
        <v>3172.1</v>
      </c>
      <c r="K113" s="125">
        <v>3012</v>
      </c>
      <c r="L113" s="126">
        <v>132</v>
      </c>
      <c r="M113" s="124" t="s">
        <v>267</v>
      </c>
      <c r="N113" s="124" t="s">
        <v>271</v>
      </c>
      <c r="O113" s="127" t="s">
        <v>1093</v>
      </c>
      <c r="P113" s="128">
        <v>83051.86</v>
      </c>
      <c r="Q113" s="128">
        <v>0</v>
      </c>
      <c r="R113" s="128">
        <v>0</v>
      </c>
      <c r="S113" s="128">
        <f t="shared" si="7"/>
        <v>83051.86</v>
      </c>
      <c r="T113" s="128">
        <f t="shared" si="6"/>
        <v>23.976402321083171</v>
      </c>
      <c r="U113" s="128">
        <v>23.976402321083171</v>
      </c>
      <c r="V113" s="257">
        <f t="shared" si="8"/>
        <v>0</v>
      </c>
      <c r="W113" s="257">
        <f t="shared" si="9"/>
        <v>709.54704235110717</v>
      </c>
      <c r="X113" s="257">
        <v>0</v>
      </c>
      <c r="Y113" s="258">
        <v>0</v>
      </c>
      <c r="Z113" s="258">
        <v>0</v>
      </c>
      <c r="AA113" s="258">
        <v>0</v>
      </c>
      <c r="AB113" s="258">
        <v>0</v>
      </c>
      <c r="AC113" s="258">
        <v>1</v>
      </c>
      <c r="AD113" s="257">
        <f t="shared" ref="AD113:AD118" si="11">2457800*AC113/I113</f>
        <v>709.54704235110717</v>
      </c>
      <c r="AE113" s="258">
        <v>0</v>
      </c>
      <c r="AF113" s="257">
        <v>0</v>
      </c>
      <c r="AG113" s="258">
        <v>0</v>
      </c>
      <c r="AH113" s="257">
        <v>0</v>
      </c>
      <c r="AI113" s="258">
        <v>0</v>
      </c>
      <c r="AJ113" s="257">
        <v>0</v>
      </c>
      <c r="AK113" s="258">
        <v>0</v>
      </c>
      <c r="AL113" s="258">
        <v>0</v>
      </c>
      <c r="AM113" s="258">
        <v>0</v>
      </c>
      <c r="AN113" s="258"/>
      <c r="AO113" s="258">
        <v>0</v>
      </c>
    </row>
    <row r="114" spans="1:41" s="259" customFormat="1" ht="36" customHeight="1" x14ac:dyDescent="0.25">
      <c r="A114" s="259">
        <v>1</v>
      </c>
      <c r="B114" s="135">
        <f>SUBTOTAL(103,$A$16:A114)</f>
        <v>99</v>
      </c>
      <c r="C114" s="94" t="s">
        <v>1137</v>
      </c>
      <c r="D114" s="124">
        <v>1964</v>
      </c>
      <c r="E114" s="124"/>
      <c r="F114" s="129" t="s">
        <v>269</v>
      </c>
      <c r="G114" s="124">
        <v>2</v>
      </c>
      <c r="H114" s="124" t="s">
        <v>305</v>
      </c>
      <c r="I114" s="125">
        <v>669.2</v>
      </c>
      <c r="J114" s="125">
        <v>667</v>
      </c>
      <c r="K114" s="125">
        <v>667</v>
      </c>
      <c r="L114" s="126">
        <v>30</v>
      </c>
      <c r="M114" s="124" t="s">
        <v>267</v>
      </c>
      <c r="N114" s="124" t="s">
        <v>271</v>
      </c>
      <c r="O114" s="127" t="s">
        <v>1327</v>
      </c>
      <c r="P114" s="128">
        <v>50689.120000000003</v>
      </c>
      <c r="Q114" s="128">
        <v>0</v>
      </c>
      <c r="R114" s="128">
        <v>0</v>
      </c>
      <c r="S114" s="128">
        <f t="shared" si="7"/>
        <v>50689.120000000003</v>
      </c>
      <c r="T114" s="128">
        <f t="shared" si="6"/>
        <v>75.745845786013149</v>
      </c>
      <c r="U114" s="128">
        <v>75.745845786013149</v>
      </c>
      <c r="V114" s="257">
        <f t="shared" si="8"/>
        <v>0</v>
      </c>
      <c r="W114" s="257">
        <f t="shared" si="9"/>
        <v>3672.7435744172144</v>
      </c>
      <c r="X114" s="257">
        <v>0</v>
      </c>
      <c r="Y114" s="258">
        <v>0</v>
      </c>
      <c r="Z114" s="258">
        <v>0</v>
      </c>
      <c r="AA114" s="258">
        <v>0</v>
      </c>
      <c r="AB114" s="258">
        <v>0</v>
      </c>
      <c r="AC114" s="258">
        <v>1</v>
      </c>
      <c r="AD114" s="257">
        <f t="shared" si="11"/>
        <v>3672.7435744172144</v>
      </c>
      <c r="AE114" s="258">
        <v>0</v>
      </c>
      <c r="AF114" s="257">
        <v>0</v>
      </c>
      <c r="AG114" s="258">
        <v>0</v>
      </c>
      <c r="AH114" s="257">
        <v>0</v>
      </c>
      <c r="AI114" s="258">
        <v>0</v>
      </c>
      <c r="AJ114" s="257">
        <v>0</v>
      </c>
      <c r="AK114" s="258">
        <v>0</v>
      </c>
      <c r="AL114" s="258">
        <v>0</v>
      </c>
      <c r="AM114" s="258">
        <v>0</v>
      </c>
      <c r="AN114" s="258"/>
      <c r="AO114" s="258">
        <v>0</v>
      </c>
    </row>
    <row r="115" spans="1:41" s="259" customFormat="1" ht="36" customHeight="1" x14ac:dyDescent="0.25">
      <c r="A115" s="259">
        <v>1</v>
      </c>
      <c r="B115" s="135">
        <f>SUBTOTAL(103,$A$16:A115)</f>
        <v>100</v>
      </c>
      <c r="C115" s="94" t="s">
        <v>501</v>
      </c>
      <c r="D115" s="124">
        <v>1960</v>
      </c>
      <c r="E115" s="124"/>
      <c r="F115" s="129" t="s">
        <v>269</v>
      </c>
      <c r="G115" s="124">
        <v>5</v>
      </c>
      <c r="H115" s="124" t="s">
        <v>314</v>
      </c>
      <c r="I115" s="125">
        <v>3202.4</v>
      </c>
      <c r="J115" s="125">
        <v>2438.9</v>
      </c>
      <c r="K115" s="125">
        <v>2438.9</v>
      </c>
      <c r="L115" s="126">
        <v>120</v>
      </c>
      <c r="M115" s="124" t="s">
        <v>267</v>
      </c>
      <c r="N115" s="124" t="s">
        <v>271</v>
      </c>
      <c r="O115" s="127" t="s">
        <v>1093</v>
      </c>
      <c r="P115" s="128">
        <v>95587.09</v>
      </c>
      <c r="Q115" s="128">
        <v>0</v>
      </c>
      <c r="R115" s="128">
        <v>0</v>
      </c>
      <c r="S115" s="128">
        <f t="shared" si="7"/>
        <v>95587.09</v>
      </c>
      <c r="T115" s="128">
        <f t="shared" si="6"/>
        <v>29.848579190607044</v>
      </c>
      <c r="U115" s="128">
        <v>29.848579190607044</v>
      </c>
      <c r="V115" s="257">
        <f t="shared" si="8"/>
        <v>0</v>
      </c>
      <c r="W115" s="257">
        <f t="shared" si="9"/>
        <v>4604.9213090182366</v>
      </c>
      <c r="X115" s="257">
        <v>0</v>
      </c>
      <c r="Y115" s="258">
        <v>0</v>
      </c>
      <c r="Z115" s="258">
        <v>0</v>
      </c>
      <c r="AA115" s="258">
        <v>0</v>
      </c>
      <c r="AB115" s="258">
        <v>0</v>
      </c>
      <c r="AC115" s="258">
        <v>6</v>
      </c>
      <c r="AD115" s="257">
        <f t="shared" si="11"/>
        <v>4604.9213090182366</v>
      </c>
      <c r="AE115" s="258">
        <v>0</v>
      </c>
      <c r="AF115" s="257">
        <v>0</v>
      </c>
      <c r="AG115" s="258">
        <v>0</v>
      </c>
      <c r="AH115" s="257">
        <v>0</v>
      </c>
      <c r="AI115" s="258">
        <v>0</v>
      </c>
      <c r="AJ115" s="257">
        <v>0</v>
      </c>
      <c r="AK115" s="258">
        <v>0</v>
      </c>
      <c r="AL115" s="258">
        <v>0</v>
      </c>
      <c r="AM115" s="258">
        <v>0</v>
      </c>
      <c r="AN115" s="258"/>
      <c r="AO115" s="258">
        <v>0</v>
      </c>
    </row>
    <row r="116" spans="1:41" s="259" customFormat="1" ht="36" customHeight="1" x14ac:dyDescent="0.25">
      <c r="A116" s="259">
        <v>1</v>
      </c>
      <c r="B116" s="135">
        <f>SUBTOTAL(103,$A$16:A116)</f>
        <v>101</v>
      </c>
      <c r="C116" s="94" t="s">
        <v>1071</v>
      </c>
      <c r="D116" s="124">
        <v>1941</v>
      </c>
      <c r="E116" s="124"/>
      <c r="F116" s="129" t="s">
        <v>269</v>
      </c>
      <c r="G116" s="124">
        <v>3</v>
      </c>
      <c r="H116" s="124" t="s">
        <v>305</v>
      </c>
      <c r="I116" s="125">
        <v>1265</v>
      </c>
      <c r="J116" s="125">
        <v>1152.5999999999999</v>
      </c>
      <c r="K116" s="125">
        <v>1105.5</v>
      </c>
      <c r="L116" s="126">
        <v>60</v>
      </c>
      <c r="M116" s="124" t="s">
        <v>267</v>
      </c>
      <c r="N116" s="124" t="s">
        <v>271</v>
      </c>
      <c r="O116" s="127" t="s">
        <v>1079</v>
      </c>
      <c r="P116" s="128">
        <v>79784.160000000003</v>
      </c>
      <c r="Q116" s="128">
        <v>0</v>
      </c>
      <c r="R116" s="128">
        <v>0</v>
      </c>
      <c r="S116" s="128">
        <f t="shared" si="7"/>
        <v>79784.160000000003</v>
      </c>
      <c r="T116" s="128">
        <f t="shared" si="6"/>
        <v>63.070482213438737</v>
      </c>
      <c r="U116" s="128">
        <v>63.070482213438737</v>
      </c>
      <c r="V116" s="257">
        <f t="shared" si="8"/>
        <v>0</v>
      </c>
      <c r="W116" s="257">
        <f t="shared" si="9"/>
        <v>1942.9249011857708</v>
      </c>
      <c r="X116" s="257">
        <v>0</v>
      </c>
      <c r="Y116" s="258">
        <v>0</v>
      </c>
      <c r="Z116" s="258">
        <v>0</v>
      </c>
      <c r="AA116" s="258">
        <v>0</v>
      </c>
      <c r="AB116" s="258">
        <v>0</v>
      </c>
      <c r="AC116" s="258">
        <v>1</v>
      </c>
      <c r="AD116" s="257">
        <f t="shared" si="11"/>
        <v>1942.9249011857708</v>
      </c>
      <c r="AE116" s="258">
        <v>0</v>
      </c>
      <c r="AF116" s="257">
        <v>0</v>
      </c>
      <c r="AG116" s="258">
        <v>0</v>
      </c>
      <c r="AH116" s="257">
        <v>0</v>
      </c>
      <c r="AI116" s="258">
        <v>0</v>
      </c>
      <c r="AJ116" s="257">
        <v>0</v>
      </c>
      <c r="AK116" s="258">
        <v>0</v>
      </c>
      <c r="AL116" s="258">
        <v>0</v>
      </c>
      <c r="AM116" s="258">
        <v>0</v>
      </c>
      <c r="AN116" s="258"/>
      <c r="AO116" s="258">
        <v>0</v>
      </c>
    </row>
    <row r="117" spans="1:41" s="259" customFormat="1" ht="36" customHeight="1" x14ac:dyDescent="0.25">
      <c r="A117" s="259">
        <v>1</v>
      </c>
      <c r="B117" s="135">
        <f>SUBTOTAL(103,$A$16:A117)</f>
        <v>102</v>
      </c>
      <c r="C117" s="94" t="s">
        <v>1404</v>
      </c>
      <c r="D117" s="124">
        <v>1961</v>
      </c>
      <c r="E117" s="124"/>
      <c r="F117" s="129" t="s">
        <v>269</v>
      </c>
      <c r="G117" s="124" t="s">
        <v>373</v>
      </c>
      <c r="H117" s="124" t="s">
        <v>314</v>
      </c>
      <c r="I117" s="125">
        <v>2941.6</v>
      </c>
      <c r="J117" s="125">
        <v>2564.1</v>
      </c>
      <c r="K117" s="125">
        <v>2365.9</v>
      </c>
      <c r="L117" s="126">
        <v>130</v>
      </c>
      <c r="M117" s="124" t="s">
        <v>267</v>
      </c>
      <c r="N117" s="124" t="s">
        <v>271</v>
      </c>
      <c r="O117" s="127" t="s">
        <v>1388</v>
      </c>
      <c r="P117" s="128">
        <v>71679.100000000006</v>
      </c>
      <c r="Q117" s="128">
        <v>0</v>
      </c>
      <c r="R117" s="128">
        <v>0</v>
      </c>
      <c r="S117" s="128">
        <f t="shared" si="7"/>
        <v>71679.100000000006</v>
      </c>
      <c r="T117" s="128">
        <f t="shared" si="6"/>
        <v>24.367385096546101</v>
      </c>
      <c r="U117" s="128">
        <v>24.367385096546101</v>
      </c>
      <c r="V117" s="257">
        <f t="shared" si="8"/>
        <v>0</v>
      </c>
      <c r="W117" s="257">
        <f t="shared" si="9"/>
        <v>3342.12673375034</v>
      </c>
      <c r="X117" s="257">
        <v>0</v>
      </c>
      <c r="Y117" s="258">
        <v>0</v>
      </c>
      <c r="Z117" s="258">
        <v>0</v>
      </c>
      <c r="AA117" s="258">
        <v>0</v>
      </c>
      <c r="AB117" s="258">
        <v>0</v>
      </c>
      <c r="AC117" s="258">
        <v>4</v>
      </c>
      <c r="AD117" s="257">
        <f t="shared" si="11"/>
        <v>3342.12673375034</v>
      </c>
      <c r="AE117" s="258">
        <v>0</v>
      </c>
      <c r="AF117" s="257">
        <v>0</v>
      </c>
      <c r="AG117" s="258">
        <v>0</v>
      </c>
      <c r="AH117" s="257">
        <v>0</v>
      </c>
      <c r="AI117" s="258">
        <v>0</v>
      </c>
      <c r="AJ117" s="257">
        <v>0</v>
      </c>
      <c r="AK117" s="258">
        <v>0</v>
      </c>
      <c r="AL117" s="258">
        <v>0</v>
      </c>
      <c r="AM117" s="258">
        <v>0</v>
      </c>
      <c r="AN117" s="258"/>
      <c r="AO117" s="258">
        <v>0</v>
      </c>
    </row>
    <row r="118" spans="1:41" s="259" customFormat="1" ht="36" customHeight="1" x14ac:dyDescent="0.25">
      <c r="A118" s="259">
        <v>1</v>
      </c>
      <c r="B118" s="135">
        <f>SUBTOTAL(103,$A$16:A118)</f>
        <v>103</v>
      </c>
      <c r="C118" s="94" t="s">
        <v>1377</v>
      </c>
      <c r="D118" s="124">
        <v>1973</v>
      </c>
      <c r="E118" s="124"/>
      <c r="F118" s="129" t="s">
        <v>269</v>
      </c>
      <c r="G118" s="124">
        <v>9</v>
      </c>
      <c r="H118" s="124" t="s">
        <v>306</v>
      </c>
      <c r="I118" s="125">
        <v>1958.4</v>
      </c>
      <c r="J118" s="125">
        <v>1958.4</v>
      </c>
      <c r="K118" s="125">
        <v>1941.8</v>
      </c>
      <c r="L118" s="126">
        <v>92</v>
      </c>
      <c r="M118" s="124" t="s">
        <v>267</v>
      </c>
      <c r="N118" s="124" t="s">
        <v>271</v>
      </c>
      <c r="O118" s="127" t="s">
        <v>1389</v>
      </c>
      <c r="P118" s="128">
        <v>55904.38</v>
      </c>
      <c r="Q118" s="128">
        <v>0</v>
      </c>
      <c r="R118" s="128">
        <v>0</v>
      </c>
      <c r="S118" s="128">
        <f t="shared" si="7"/>
        <v>55904.38</v>
      </c>
      <c r="T118" s="128">
        <f t="shared" si="6"/>
        <v>28.545945669934639</v>
      </c>
      <c r="U118" s="128">
        <v>28.545945669934639</v>
      </c>
      <c r="V118" s="257">
        <f t="shared" si="8"/>
        <v>0</v>
      </c>
      <c r="W118" s="257">
        <f t="shared" si="9"/>
        <v>1255.0040849673203</v>
      </c>
      <c r="X118" s="257">
        <v>0</v>
      </c>
      <c r="Y118" s="258">
        <v>0</v>
      </c>
      <c r="Z118" s="258">
        <v>0</v>
      </c>
      <c r="AA118" s="258">
        <v>0</v>
      </c>
      <c r="AB118" s="258">
        <v>0</v>
      </c>
      <c r="AC118" s="258">
        <v>1</v>
      </c>
      <c r="AD118" s="257">
        <f t="shared" si="11"/>
        <v>1255.0040849673203</v>
      </c>
      <c r="AE118" s="258">
        <v>0</v>
      </c>
      <c r="AF118" s="257">
        <v>0</v>
      </c>
      <c r="AG118" s="258">
        <v>0</v>
      </c>
      <c r="AH118" s="257">
        <v>0</v>
      </c>
      <c r="AI118" s="258">
        <v>0</v>
      </c>
      <c r="AJ118" s="257">
        <v>0</v>
      </c>
      <c r="AK118" s="258">
        <v>0</v>
      </c>
      <c r="AL118" s="258">
        <v>0</v>
      </c>
      <c r="AM118" s="258">
        <v>0</v>
      </c>
      <c r="AN118" s="258"/>
      <c r="AO118" s="258">
        <v>0</v>
      </c>
    </row>
    <row r="119" spans="1:41" s="259" customFormat="1" ht="36" customHeight="1" x14ac:dyDescent="0.25">
      <c r="A119" s="259">
        <v>1</v>
      </c>
      <c r="B119" s="135">
        <f>SUBTOTAL(103,$A$16:A119)</f>
        <v>104</v>
      </c>
      <c r="C119" s="94" t="s">
        <v>1700</v>
      </c>
      <c r="D119" s="124">
        <v>1989</v>
      </c>
      <c r="E119" s="124"/>
      <c r="F119" s="129" t="s">
        <v>320</v>
      </c>
      <c r="G119" s="124">
        <v>7</v>
      </c>
      <c r="H119" s="124" t="s">
        <v>305</v>
      </c>
      <c r="I119" s="125">
        <v>4121.3999999999996</v>
      </c>
      <c r="J119" s="125">
        <v>3057</v>
      </c>
      <c r="K119" s="125">
        <v>3057</v>
      </c>
      <c r="L119" s="126">
        <v>163</v>
      </c>
      <c r="M119" s="124" t="s">
        <v>267</v>
      </c>
      <c r="N119" s="124" t="s">
        <v>271</v>
      </c>
      <c r="O119" s="127" t="s">
        <v>1703</v>
      </c>
      <c r="P119" s="128">
        <v>100382.56</v>
      </c>
      <c r="Q119" s="128">
        <v>0</v>
      </c>
      <c r="R119" s="128">
        <v>0</v>
      </c>
      <c r="S119" s="128">
        <f t="shared" si="7"/>
        <v>100382.56</v>
      </c>
      <c r="T119" s="128">
        <f t="shared" si="6"/>
        <v>24.356422574853205</v>
      </c>
      <c r="U119" s="128">
        <v>24.356422574853205</v>
      </c>
      <c r="V119" s="257">
        <f t="shared" si="8"/>
        <v>0</v>
      </c>
      <c r="W119" s="257">
        <f t="shared" si="9"/>
        <v>1329.1024845926142</v>
      </c>
      <c r="X119" s="257">
        <v>0</v>
      </c>
      <c r="Y119" s="258">
        <v>0</v>
      </c>
      <c r="Z119" s="258">
        <v>0</v>
      </c>
      <c r="AA119" s="258">
        <v>0</v>
      </c>
      <c r="AB119" s="258">
        <v>0</v>
      </c>
      <c r="AC119" s="258">
        <v>0</v>
      </c>
      <c r="AD119" s="258">
        <v>0</v>
      </c>
      <c r="AE119" s="258">
        <v>878</v>
      </c>
      <c r="AF119" s="257">
        <f>6238.91*AE119/I119</f>
        <v>1329.1024845926142</v>
      </c>
      <c r="AG119" s="258">
        <v>0</v>
      </c>
      <c r="AH119" s="257">
        <v>0</v>
      </c>
      <c r="AI119" s="258">
        <v>0</v>
      </c>
      <c r="AJ119" s="257">
        <v>0</v>
      </c>
      <c r="AK119" s="258">
        <v>0</v>
      </c>
      <c r="AL119" s="258">
        <v>0</v>
      </c>
      <c r="AM119" s="258">
        <v>0</v>
      </c>
      <c r="AN119" s="258"/>
      <c r="AO119" s="258">
        <v>0</v>
      </c>
    </row>
    <row r="120" spans="1:41" s="259" customFormat="1" ht="36" customHeight="1" x14ac:dyDescent="0.25">
      <c r="B120" s="94" t="s">
        <v>762</v>
      </c>
      <c r="C120" s="261"/>
      <c r="D120" s="124" t="s">
        <v>896</v>
      </c>
      <c r="E120" s="124" t="s">
        <v>896</v>
      </c>
      <c r="F120" s="124" t="s">
        <v>896</v>
      </c>
      <c r="G120" s="124" t="s">
        <v>896</v>
      </c>
      <c r="H120" s="124" t="s">
        <v>896</v>
      </c>
      <c r="I120" s="125">
        <f>SUM(I121:I150)</f>
        <v>55241.1</v>
      </c>
      <c r="J120" s="125">
        <f>SUM(J121:J150)</f>
        <v>51576.500000000007</v>
      </c>
      <c r="K120" s="125">
        <f>SUM(K121:K150)</f>
        <v>48670.000000000007</v>
      </c>
      <c r="L120" s="126">
        <f>SUM(L121:L150)</f>
        <v>2194</v>
      </c>
      <c r="M120" s="124" t="s">
        <v>896</v>
      </c>
      <c r="N120" s="124" t="s">
        <v>896</v>
      </c>
      <c r="O120" s="127" t="s">
        <v>896</v>
      </c>
      <c r="P120" s="125">
        <v>52540905.469999999</v>
      </c>
      <c r="Q120" s="125">
        <f>SUM(Q121:Q150)</f>
        <v>0</v>
      </c>
      <c r="R120" s="125">
        <f>SUM(R121:R150)</f>
        <v>0</v>
      </c>
      <c r="S120" s="125">
        <f>SUM(S121:S150)</f>
        <v>52540905.469999999</v>
      </c>
      <c r="T120" s="128">
        <f t="shared" si="6"/>
        <v>951.11982690424338</v>
      </c>
      <c r="U120" s="128">
        <f>MAX(U121:U150)</f>
        <v>8884.540477465418</v>
      </c>
      <c r="V120" s="257">
        <f t="shared" ref="V120:V141" si="12">U120-T120</f>
        <v>7933.4206505611746</v>
      </c>
      <c r="W120" s="257"/>
      <c r="X120" s="257"/>
      <c r="Y120" s="258"/>
      <c r="Z120" s="258"/>
      <c r="AA120" s="258"/>
      <c r="AB120" s="258"/>
      <c r="AC120" s="258"/>
      <c r="AD120" s="258"/>
      <c r="AE120" s="258"/>
      <c r="AF120" s="258"/>
      <c r="AG120" s="258"/>
      <c r="AH120" s="258"/>
      <c r="AI120" s="258"/>
      <c r="AJ120" s="258"/>
      <c r="AK120" s="258"/>
      <c r="AL120" s="258"/>
      <c r="AM120" s="258"/>
      <c r="AN120" s="258"/>
      <c r="AO120" s="258"/>
    </row>
    <row r="121" spans="1:41" s="259" customFormat="1" ht="61.5" x14ac:dyDescent="0.25">
      <c r="A121" s="259">
        <v>1</v>
      </c>
      <c r="B121" s="135">
        <f>SUBTOTAL(103,$A$16:A121)</f>
        <v>105</v>
      </c>
      <c r="C121" s="94" t="s">
        <v>444</v>
      </c>
      <c r="D121" s="124">
        <v>1966</v>
      </c>
      <c r="E121" s="124"/>
      <c r="F121" s="129" t="s">
        <v>269</v>
      </c>
      <c r="G121" s="124">
        <v>2</v>
      </c>
      <c r="H121" s="124" t="s">
        <v>305</v>
      </c>
      <c r="I121" s="128">
        <v>766.7</v>
      </c>
      <c r="J121" s="128">
        <v>707.3</v>
      </c>
      <c r="K121" s="128">
        <v>707.3</v>
      </c>
      <c r="L121" s="126">
        <v>39</v>
      </c>
      <c r="M121" s="124" t="s">
        <v>267</v>
      </c>
      <c r="N121" s="124" t="s">
        <v>271</v>
      </c>
      <c r="O121" s="127" t="s">
        <v>342</v>
      </c>
      <c r="P121" s="128">
        <v>2291514.0300000003</v>
      </c>
      <c r="Q121" s="128">
        <v>0</v>
      </c>
      <c r="R121" s="128">
        <v>0</v>
      </c>
      <c r="S121" s="128">
        <f t="shared" ref="S121:S150" si="13">P121-Q121-R121</f>
        <v>2291514.0300000003</v>
      </c>
      <c r="T121" s="128">
        <f t="shared" si="6"/>
        <v>2988.8013955914962</v>
      </c>
      <c r="U121" s="128">
        <v>5194.7247683578971</v>
      </c>
      <c r="V121" s="257">
        <f t="shared" si="12"/>
        <v>2205.9233727664009</v>
      </c>
      <c r="W121" s="257">
        <f t="shared" ref="W121:W148" si="14">X121+Y121+Z121+AA121+AB121+AD121+AF121+AH121+AJ121+AL121+AN121+AO121</f>
        <v>4866.138228772661</v>
      </c>
      <c r="X121" s="257">
        <v>0</v>
      </c>
      <c r="Y121" s="258">
        <v>0</v>
      </c>
      <c r="Z121" s="258">
        <v>0</v>
      </c>
      <c r="AA121" s="258">
        <v>0</v>
      </c>
      <c r="AB121" s="258">
        <v>0</v>
      </c>
      <c r="AC121" s="258">
        <v>0</v>
      </c>
      <c r="AD121" s="258">
        <v>0</v>
      </c>
      <c r="AE121" s="258">
        <v>598</v>
      </c>
      <c r="AF121" s="257">
        <f>6238.91*AE121/I121</f>
        <v>4866.138228772661</v>
      </c>
      <c r="AG121" s="258">
        <v>0</v>
      </c>
      <c r="AH121" s="257">
        <v>0</v>
      </c>
      <c r="AI121" s="258">
        <v>0</v>
      </c>
      <c r="AJ121" s="257">
        <v>0</v>
      </c>
      <c r="AK121" s="258">
        <v>0</v>
      </c>
      <c r="AL121" s="258">
        <v>0</v>
      </c>
      <c r="AM121" s="258">
        <v>0</v>
      </c>
      <c r="AN121" s="258"/>
      <c r="AO121" s="258">
        <v>0</v>
      </c>
    </row>
    <row r="122" spans="1:41" s="259" customFormat="1" ht="36" customHeight="1" x14ac:dyDescent="0.25">
      <c r="A122" s="259">
        <v>1</v>
      </c>
      <c r="B122" s="135">
        <f>SUBTOTAL(103,$A$16:A122)</f>
        <v>106</v>
      </c>
      <c r="C122" s="94" t="s">
        <v>445</v>
      </c>
      <c r="D122" s="124">
        <v>1959</v>
      </c>
      <c r="E122" s="124"/>
      <c r="F122" s="129" t="s">
        <v>269</v>
      </c>
      <c r="G122" s="124">
        <v>2</v>
      </c>
      <c r="H122" s="124" t="s">
        <v>305</v>
      </c>
      <c r="I122" s="128">
        <v>680.5</v>
      </c>
      <c r="J122" s="128">
        <v>632.1</v>
      </c>
      <c r="K122" s="128">
        <v>632.1</v>
      </c>
      <c r="L122" s="126">
        <v>38</v>
      </c>
      <c r="M122" s="124" t="s">
        <v>267</v>
      </c>
      <c r="N122" s="124" t="s">
        <v>268</v>
      </c>
      <c r="O122" s="127" t="s">
        <v>270</v>
      </c>
      <c r="P122" s="128">
        <v>2189911.6500000004</v>
      </c>
      <c r="Q122" s="128">
        <v>0</v>
      </c>
      <c r="R122" s="128">
        <v>0</v>
      </c>
      <c r="S122" s="128">
        <f t="shared" si="13"/>
        <v>2189911.6500000004</v>
      </c>
      <c r="T122" s="128">
        <f t="shared" si="6"/>
        <v>3218.09206465834</v>
      </c>
      <c r="U122" s="128">
        <v>5387.075183100661</v>
      </c>
      <c r="V122" s="257">
        <f t="shared" si="12"/>
        <v>2168.983118442321</v>
      </c>
      <c r="W122" s="257">
        <f t="shared" si="14"/>
        <v>5429.3644408523151</v>
      </c>
      <c r="X122" s="257">
        <v>0</v>
      </c>
      <c r="Y122" s="258">
        <v>0</v>
      </c>
      <c r="Z122" s="258">
        <v>0</v>
      </c>
      <c r="AA122" s="258">
        <v>0</v>
      </c>
      <c r="AB122" s="258">
        <v>0</v>
      </c>
      <c r="AC122" s="258">
        <v>0</v>
      </c>
      <c r="AD122" s="258">
        <v>0</v>
      </c>
      <c r="AE122" s="258">
        <v>592.20000000000005</v>
      </c>
      <c r="AF122" s="257">
        <f>6238.91*AE122/I122</f>
        <v>5429.3644408523151</v>
      </c>
      <c r="AG122" s="258">
        <v>0</v>
      </c>
      <c r="AH122" s="257">
        <v>0</v>
      </c>
      <c r="AI122" s="258">
        <v>0</v>
      </c>
      <c r="AJ122" s="257">
        <v>0</v>
      </c>
      <c r="AK122" s="258">
        <v>0</v>
      </c>
      <c r="AL122" s="258">
        <v>0</v>
      </c>
      <c r="AM122" s="258">
        <v>0</v>
      </c>
      <c r="AN122" s="258"/>
      <c r="AO122" s="258">
        <v>0</v>
      </c>
    </row>
    <row r="123" spans="1:41" s="259" customFormat="1" ht="36" customHeight="1" x14ac:dyDescent="0.25">
      <c r="A123" s="259">
        <v>1</v>
      </c>
      <c r="B123" s="135">
        <f>SUBTOTAL(103,$A$16:A123)</f>
        <v>107</v>
      </c>
      <c r="C123" s="94" t="s">
        <v>446</v>
      </c>
      <c r="D123" s="124">
        <v>1958</v>
      </c>
      <c r="E123" s="124"/>
      <c r="F123" s="129" t="s">
        <v>269</v>
      </c>
      <c r="G123" s="124">
        <v>2</v>
      </c>
      <c r="H123" s="124" t="s">
        <v>305</v>
      </c>
      <c r="I123" s="128">
        <v>615</v>
      </c>
      <c r="J123" s="128">
        <v>568.29999999999995</v>
      </c>
      <c r="K123" s="128">
        <v>568.29999999999995</v>
      </c>
      <c r="L123" s="126">
        <v>25</v>
      </c>
      <c r="M123" s="124" t="s">
        <v>267</v>
      </c>
      <c r="N123" s="124" t="s">
        <v>268</v>
      </c>
      <c r="O123" s="127" t="s">
        <v>270</v>
      </c>
      <c r="P123" s="128">
        <v>3676534.89</v>
      </c>
      <c r="Q123" s="128">
        <v>0</v>
      </c>
      <c r="R123" s="128">
        <v>0</v>
      </c>
      <c r="S123" s="128">
        <f t="shared" si="13"/>
        <v>3676534.89</v>
      </c>
      <c r="T123" s="128">
        <f t="shared" si="6"/>
        <v>5978.1055121951222</v>
      </c>
      <c r="U123" s="128">
        <v>5246.1410117073165</v>
      </c>
      <c r="V123" s="257">
        <f t="shared" si="12"/>
        <v>-731.96450048780571</v>
      </c>
      <c r="W123" s="257">
        <f t="shared" si="14"/>
        <v>5477.0528601626011</v>
      </c>
      <c r="X123" s="257">
        <v>0</v>
      </c>
      <c r="Y123" s="258">
        <v>0</v>
      </c>
      <c r="Z123" s="258">
        <v>0</v>
      </c>
      <c r="AA123" s="258">
        <v>0</v>
      </c>
      <c r="AB123" s="258">
        <v>0</v>
      </c>
      <c r="AC123" s="258">
        <v>0</v>
      </c>
      <c r="AD123" s="258">
        <v>0</v>
      </c>
      <c r="AE123" s="258">
        <v>539.9</v>
      </c>
      <c r="AF123" s="257">
        <f>6238.91*AE123/I123</f>
        <v>5477.0528601626011</v>
      </c>
      <c r="AG123" s="258">
        <v>0</v>
      </c>
      <c r="AH123" s="257">
        <v>0</v>
      </c>
      <c r="AI123" s="258">
        <v>0</v>
      </c>
      <c r="AJ123" s="257">
        <v>0</v>
      </c>
      <c r="AK123" s="258">
        <v>0</v>
      </c>
      <c r="AL123" s="258">
        <v>0</v>
      </c>
      <c r="AM123" s="258">
        <v>0</v>
      </c>
      <c r="AN123" s="258"/>
      <c r="AO123" s="258">
        <v>0</v>
      </c>
    </row>
    <row r="124" spans="1:41" s="259" customFormat="1" ht="36" customHeight="1" x14ac:dyDescent="0.25">
      <c r="A124" s="259">
        <v>1</v>
      </c>
      <c r="B124" s="135">
        <f>SUBTOTAL(103,$A$16:A124)</f>
        <v>108</v>
      </c>
      <c r="C124" s="94" t="s">
        <v>447</v>
      </c>
      <c r="D124" s="124">
        <v>1969</v>
      </c>
      <c r="E124" s="124"/>
      <c r="F124" s="129" t="s">
        <v>269</v>
      </c>
      <c r="G124" s="124">
        <v>2</v>
      </c>
      <c r="H124" s="124" t="s">
        <v>305</v>
      </c>
      <c r="I124" s="128">
        <v>725.2</v>
      </c>
      <c r="J124" s="128">
        <v>674.9</v>
      </c>
      <c r="K124" s="128">
        <v>674.9</v>
      </c>
      <c r="L124" s="126">
        <v>25</v>
      </c>
      <c r="M124" s="124" t="s">
        <v>267</v>
      </c>
      <c r="N124" s="124" t="s">
        <v>268</v>
      </c>
      <c r="O124" s="127" t="s">
        <v>270</v>
      </c>
      <c r="P124" s="128">
        <v>55080.59</v>
      </c>
      <c r="Q124" s="128">
        <v>0</v>
      </c>
      <c r="R124" s="128">
        <v>0</v>
      </c>
      <c r="S124" s="128">
        <f t="shared" si="13"/>
        <v>55080.59</v>
      </c>
      <c r="T124" s="128">
        <f t="shared" si="6"/>
        <v>75.952275234418082</v>
      </c>
      <c r="U124" s="128">
        <v>75.952275234418082</v>
      </c>
      <c r="V124" s="257">
        <f t="shared" si="12"/>
        <v>0</v>
      </c>
      <c r="W124" s="257">
        <f>T124</f>
        <v>75.952275234418082</v>
      </c>
      <c r="X124" s="257">
        <v>0</v>
      </c>
      <c r="Y124" s="258">
        <v>0</v>
      </c>
      <c r="Z124" s="258">
        <v>0</v>
      </c>
      <c r="AA124" s="258">
        <v>0</v>
      </c>
      <c r="AB124" s="258">
        <v>0</v>
      </c>
      <c r="AC124" s="258">
        <v>0</v>
      </c>
      <c r="AD124" s="258">
        <v>0</v>
      </c>
      <c r="AE124" s="258">
        <v>0</v>
      </c>
      <c r="AF124" s="257">
        <v>0</v>
      </c>
      <c r="AG124" s="258">
        <v>0</v>
      </c>
      <c r="AH124" s="257">
        <v>0</v>
      </c>
      <c r="AI124" s="258">
        <v>0</v>
      </c>
      <c r="AJ124" s="257">
        <v>0</v>
      </c>
      <c r="AK124" s="258">
        <v>0</v>
      </c>
      <c r="AL124" s="258">
        <v>0</v>
      </c>
      <c r="AM124" s="258">
        <v>0</v>
      </c>
      <c r="AN124" s="258"/>
      <c r="AO124" s="258">
        <v>0</v>
      </c>
    </row>
    <row r="125" spans="1:41" s="259" customFormat="1" ht="36" customHeight="1" x14ac:dyDescent="0.25">
      <c r="A125" s="259">
        <v>1</v>
      </c>
      <c r="B125" s="135">
        <f>SUBTOTAL(103,$A$16:A125)</f>
        <v>109</v>
      </c>
      <c r="C125" s="94" t="s">
        <v>448</v>
      </c>
      <c r="D125" s="124">
        <v>1959</v>
      </c>
      <c r="E125" s="124"/>
      <c r="F125" s="129" t="s">
        <v>269</v>
      </c>
      <c r="G125" s="124">
        <v>2</v>
      </c>
      <c r="H125" s="124" t="s">
        <v>305</v>
      </c>
      <c r="I125" s="128">
        <v>654.20000000000005</v>
      </c>
      <c r="J125" s="128">
        <v>602.9</v>
      </c>
      <c r="K125" s="128">
        <v>602.9</v>
      </c>
      <c r="L125" s="126">
        <v>34</v>
      </c>
      <c r="M125" s="124" t="s">
        <v>267</v>
      </c>
      <c r="N125" s="124" t="s">
        <v>268</v>
      </c>
      <c r="O125" s="127" t="s">
        <v>270</v>
      </c>
      <c r="P125" s="128">
        <v>2500155.3199999998</v>
      </c>
      <c r="Q125" s="128">
        <v>0</v>
      </c>
      <c r="R125" s="128">
        <v>0</v>
      </c>
      <c r="S125" s="128">
        <f t="shared" si="13"/>
        <v>2500155.3199999998</v>
      </c>
      <c r="T125" s="128">
        <f t="shared" si="6"/>
        <v>3821.6987465606844</v>
      </c>
      <c r="U125" s="128">
        <v>5720.7725278202379</v>
      </c>
      <c r="V125" s="257">
        <f t="shared" si="12"/>
        <v>1899.0737812595535</v>
      </c>
      <c r="W125" s="257">
        <f t="shared" si="14"/>
        <v>5757.4019506267196</v>
      </c>
      <c r="X125" s="257">
        <v>0</v>
      </c>
      <c r="Y125" s="258">
        <v>0</v>
      </c>
      <c r="Z125" s="258">
        <v>0</v>
      </c>
      <c r="AA125" s="258">
        <v>0</v>
      </c>
      <c r="AB125" s="258">
        <v>0</v>
      </c>
      <c r="AC125" s="258">
        <v>0</v>
      </c>
      <c r="AD125" s="258">
        <v>0</v>
      </c>
      <c r="AE125" s="258">
        <v>603.71</v>
      </c>
      <c r="AF125" s="257">
        <f t="shared" ref="AF125:AF132" si="15">6238.91*AE125/I125</f>
        <v>5757.4019506267196</v>
      </c>
      <c r="AG125" s="258">
        <v>0</v>
      </c>
      <c r="AH125" s="257">
        <v>0</v>
      </c>
      <c r="AI125" s="258">
        <v>0</v>
      </c>
      <c r="AJ125" s="257">
        <v>0</v>
      </c>
      <c r="AK125" s="258">
        <v>0</v>
      </c>
      <c r="AL125" s="258">
        <v>0</v>
      </c>
      <c r="AM125" s="258">
        <v>0</v>
      </c>
      <c r="AN125" s="258"/>
      <c r="AO125" s="258">
        <v>0</v>
      </c>
    </row>
    <row r="126" spans="1:41" s="259" customFormat="1" ht="61.5" x14ac:dyDescent="0.25">
      <c r="A126" s="259">
        <v>1</v>
      </c>
      <c r="B126" s="135">
        <f>SUBTOTAL(103,$A$16:A126)</f>
        <v>110</v>
      </c>
      <c r="C126" s="94" t="s">
        <v>449</v>
      </c>
      <c r="D126" s="124">
        <v>1959</v>
      </c>
      <c r="E126" s="124"/>
      <c r="F126" s="129" t="s">
        <v>269</v>
      </c>
      <c r="G126" s="124">
        <v>2</v>
      </c>
      <c r="H126" s="124" t="s">
        <v>305</v>
      </c>
      <c r="I126" s="128">
        <v>673.3</v>
      </c>
      <c r="J126" s="128">
        <v>622.29999999999995</v>
      </c>
      <c r="K126" s="128">
        <v>622.29999999999995</v>
      </c>
      <c r="L126" s="126">
        <v>42</v>
      </c>
      <c r="M126" s="124" t="s">
        <v>267</v>
      </c>
      <c r="N126" s="124" t="s">
        <v>271</v>
      </c>
      <c r="O126" s="127" t="s">
        <v>342</v>
      </c>
      <c r="P126" s="128">
        <v>2128855.41</v>
      </c>
      <c r="Q126" s="128">
        <v>0</v>
      </c>
      <c r="R126" s="128">
        <v>0</v>
      </c>
      <c r="S126" s="128">
        <f t="shared" si="13"/>
        <v>2128855.41</v>
      </c>
      <c r="T126" s="128">
        <f t="shared" si="6"/>
        <v>3161.8229763849699</v>
      </c>
      <c r="U126" s="128">
        <v>5747.6967981583239</v>
      </c>
      <c r="V126" s="257">
        <f t="shared" si="12"/>
        <v>2585.8738217733539</v>
      </c>
      <c r="W126" s="257">
        <f t="shared" si="14"/>
        <v>5728.1588946977572</v>
      </c>
      <c r="X126" s="257">
        <v>0</v>
      </c>
      <c r="Y126" s="258">
        <v>0</v>
      </c>
      <c r="Z126" s="258">
        <v>0</v>
      </c>
      <c r="AA126" s="258">
        <v>0</v>
      </c>
      <c r="AB126" s="258">
        <v>0</v>
      </c>
      <c r="AC126" s="258">
        <v>0</v>
      </c>
      <c r="AD126" s="258">
        <v>0</v>
      </c>
      <c r="AE126" s="258">
        <v>618.17999999999995</v>
      </c>
      <c r="AF126" s="257">
        <f t="shared" si="15"/>
        <v>5728.1588946977572</v>
      </c>
      <c r="AG126" s="258">
        <v>0</v>
      </c>
      <c r="AH126" s="257">
        <v>0</v>
      </c>
      <c r="AI126" s="258">
        <v>0</v>
      </c>
      <c r="AJ126" s="257">
        <v>0</v>
      </c>
      <c r="AK126" s="258">
        <v>0</v>
      </c>
      <c r="AL126" s="258">
        <v>0</v>
      </c>
      <c r="AM126" s="258">
        <v>0</v>
      </c>
      <c r="AN126" s="258"/>
      <c r="AO126" s="258">
        <v>0</v>
      </c>
    </row>
    <row r="127" spans="1:41" s="259" customFormat="1" ht="61.5" x14ac:dyDescent="0.25">
      <c r="A127" s="259">
        <v>1</v>
      </c>
      <c r="B127" s="135">
        <f>SUBTOTAL(103,$A$16:A127)</f>
        <v>111</v>
      </c>
      <c r="C127" s="94" t="s">
        <v>450</v>
      </c>
      <c r="D127" s="124">
        <v>1962</v>
      </c>
      <c r="E127" s="124"/>
      <c r="F127" s="129" t="s">
        <v>269</v>
      </c>
      <c r="G127" s="124">
        <v>3</v>
      </c>
      <c r="H127" s="124" t="s">
        <v>305</v>
      </c>
      <c r="I127" s="128">
        <v>1048.8</v>
      </c>
      <c r="J127" s="128">
        <v>975.2</v>
      </c>
      <c r="K127" s="128">
        <v>975.2</v>
      </c>
      <c r="L127" s="126">
        <v>56</v>
      </c>
      <c r="M127" s="124" t="s">
        <v>267</v>
      </c>
      <c r="N127" s="124" t="s">
        <v>271</v>
      </c>
      <c r="O127" s="127" t="s">
        <v>348</v>
      </c>
      <c r="P127" s="128">
        <v>2561299.4900000002</v>
      </c>
      <c r="Q127" s="128">
        <v>0</v>
      </c>
      <c r="R127" s="128">
        <v>0</v>
      </c>
      <c r="S127" s="128">
        <f t="shared" si="13"/>
        <v>2561299.4900000002</v>
      </c>
      <c r="T127" s="128">
        <f t="shared" si="6"/>
        <v>2442.1238463005343</v>
      </c>
      <c r="U127" s="128">
        <v>3315.0714379290616</v>
      </c>
      <c r="V127" s="257">
        <f t="shared" si="12"/>
        <v>872.94759162852733</v>
      </c>
      <c r="W127" s="257">
        <f t="shared" si="14"/>
        <v>3303.8026553203663</v>
      </c>
      <c r="X127" s="257">
        <v>0</v>
      </c>
      <c r="Y127" s="258">
        <v>0</v>
      </c>
      <c r="Z127" s="258">
        <v>0</v>
      </c>
      <c r="AA127" s="258">
        <v>0</v>
      </c>
      <c r="AB127" s="258">
        <v>0</v>
      </c>
      <c r="AC127" s="258">
        <v>0</v>
      </c>
      <c r="AD127" s="258">
        <v>0</v>
      </c>
      <c r="AE127" s="258">
        <v>555.39</v>
      </c>
      <c r="AF127" s="257">
        <f t="shared" si="15"/>
        <v>3303.8026553203663</v>
      </c>
      <c r="AG127" s="258">
        <v>0</v>
      </c>
      <c r="AH127" s="257">
        <v>0</v>
      </c>
      <c r="AI127" s="258">
        <v>0</v>
      </c>
      <c r="AJ127" s="257">
        <v>0</v>
      </c>
      <c r="AK127" s="258">
        <v>0</v>
      </c>
      <c r="AL127" s="258">
        <v>0</v>
      </c>
      <c r="AM127" s="258">
        <v>0</v>
      </c>
      <c r="AN127" s="258"/>
      <c r="AO127" s="258">
        <v>0</v>
      </c>
    </row>
    <row r="128" spans="1:41" s="259" customFormat="1" ht="61.5" x14ac:dyDescent="0.25">
      <c r="A128" s="259">
        <v>1</v>
      </c>
      <c r="B128" s="135">
        <f>SUBTOTAL(103,$A$16:A128)</f>
        <v>112</v>
      </c>
      <c r="C128" s="94" t="s">
        <v>451</v>
      </c>
      <c r="D128" s="124">
        <v>1962</v>
      </c>
      <c r="E128" s="124"/>
      <c r="F128" s="129" t="s">
        <v>269</v>
      </c>
      <c r="G128" s="124">
        <v>2</v>
      </c>
      <c r="H128" s="124" t="s">
        <v>305</v>
      </c>
      <c r="I128" s="128">
        <v>679.6</v>
      </c>
      <c r="J128" s="128">
        <v>631.6</v>
      </c>
      <c r="K128" s="128">
        <v>631.6</v>
      </c>
      <c r="L128" s="126">
        <v>42</v>
      </c>
      <c r="M128" s="124" t="s">
        <v>267</v>
      </c>
      <c r="N128" s="124" t="s">
        <v>271</v>
      </c>
      <c r="O128" s="127" t="s">
        <v>342</v>
      </c>
      <c r="P128" s="128">
        <v>2317566.0299999998</v>
      </c>
      <c r="Q128" s="128">
        <v>0</v>
      </c>
      <c r="R128" s="128">
        <v>0</v>
      </c>
      <c r="S128" s="128">
        <f t="shared" si="13"/>
        <v>2317566.0299999998</v>
      </c>
      <c r="T128" s="128">
        <f t="shared" si="6"/>
        <v>3410.1913331371393</v>
      </c>
      <c r="U128" s="128">
        <v>5171.749666862861</v>
      </c>
      <c r="V128" s="257">
        <f t="shared" si="12"/>
        <v>1761.5583337257217</v>
      </c>
      <c r="W128" s="257">
        <f t="shared" si="14"/>
        <v>5297.0145232489695</v>
      </c>
      <c r="X128" s="257">
        <v>0</v>
      </c>
      <c r="Y128" s="258">
        <v>0</v>
      </c>
      <c r="Z128" s="258">
        <v>0</v>
      </c>
      <c r="AA128" s="258">
        <v>0</v>
      </c>
      <c r="AB128" s="258">
        <v>0</v>
      </c>
      <c r="AC128" s="258">
        <v>0</v>
      </c>
      <c r="AD128" s="258">
        <v>0</v>
      </c>
      <c r="AE128" s="258">
        <v>577</v>
      </c>
      <c r="AF128" s="257">
        <f t="shared" si="15"/>
        <v>5297.0145232489695</v>
      </c>
      <c r="AG128" s="258">
        <v>0</v>
      </c>
      <c r="AH128" s="257">
        <v>0</v>
      </c>
      <c r="AI128" s="258">
        <v>0</v>
      </c>
      <c r="AJ128" s="257">
        <v>0</v>
      </c>
      <c r="AK128" s="258">
        <v>0</v>
      </c>
      <c r="AL128" s="258">
        <v>0</v>
      </c>
      <c r="AM128" s="258">
        <v>0</v>
      </c>
      <c r="AN128" s="258"/>
      <c r="AO128" s="258">
        <v>0</v>
      </c>
    </row>
    <row r="129" spans="1:41" s="259" customFormat="1" ht="61.5" x14ac:dyDescent="0.25">
      <c r="A129" s="259">
        <v>1</v>
      </c>
      <c r="B129" s="135">
        <f>SUBTOTAL(103,$A$16:A129)</f>
        <v>113</v>
      </c>
      <c r="C129" s="94" t="s">
        <v>452</v>
      </c>
      <c r="D129" s="124">
        <v>1962</v>
      </c>
      <c r="E129" s="124"/>
      <c r="F129" s="129" t="s">
        <v>269</v>
      </c>
      <c r="G129" s="124">
        <v>2</v>
      </c>
      <c r="H129" s="124" t="s">
        <v>305</v>
      </c>
      <c r="I129" s="128">
        <v>696.3</v>
      </c>
      <c r="J129" s="128">
        <v>645.29999999999995</v>
      </c>
      <c r="K129" s="128">
        <v>645.29999999999995</v>
      </c>
      <c r="L129" s="126">
        <v>42</v>
      </c>
      <c r="M129" s="124" t="s">
        <v>267</v>
      </c>
      <c r="N129" s="124" t="s">
        <v>271</v>
      </c>
      <c r="O129" s="127" t="s">
        <v>342</v>
      </c>
      <c r="P129" s="128">
        <v>2392182.6</v>
      </c>
      <c r="Q129" s="128">
        <v>0</v>
      </c>
      <c r="R129" s="128">
        <v>0</v>
      </c>
      <c r="S129" s="128">
        <f t="shared" si="13"/>
        <v>2392182.6</v>
      </c>
      <c r="T129" s="128">
        <f t="shared" si="6"/>
        <v>3435.5631193451104</v>
      </c>
      <c r="U129" s="128">
        <v>5267.7120822921152</v>
      </c>
      <c r="V129" s="257">
        <f t="shared" si="12"/>
        <v>1832.1489629470047</v>
      </c>
      <c r="W129" s="257">
        <f t="shared" si="14"/>
        <v>5249.8057706448371</v>
      </c>
      <c r="X129" s="257">
        <v>0</v>
      </c>
      <c r="Y129" s="258">
        <v>0</v>
      </c>
      <c r="Z129" s="258">
        <v>0</v>
      </c>
      <c r="AA129" s="258">
        <v>0</v>
      </c>
      <c r="AB129" s="258">
        <v>0</v>
      </c>
      <c r="AC129" s="258">
        <v>0</v>
      </c>
      <c r="AD129" s="258">
        <v>0</v>
      </c>
      <c r="AE129" s="258">
        <v>585.91</v>
      </c>
      <c r="AF129" s="257">
        <f t="shared" si="15"/>
        <v>5249.8057706448371</v>
      </c>
      <c r="AG129" s="258">
        <v>0</v>
      </c>
      <c r="AH129" s="257">
        <v>0</v>
      </c>
      <c r="AI129" s="258">
        <v>0</v>
      </c>
      <c r="AJ129" s="257">
        <v>0</v>
      </c>
      <c r="AK129" s="258">
        <v>0</v>
      </c>
      <c r="AL129" s="258">
        <v>0</v>
      </c>
      <c r="AM129" s="258">
        <v>0</v>
      </c>
      <c r="AN129" s="258"/>
      <c r="AO129" s="258">
        <v>0</v>
      </c>
    </row>
    <row r="130" spans="1:41" s="259" customFormat="1" ht="61.5" x14ac:dyDescent="0.25">
      <c r="A130" s="259">
        <v>1</v>
      </c>
      <c r="B130" s="135">
        <f>SUBTOTAL(103,$A$16:A130)</f>
        <v>114</v>
      </c>
      <c r="C130" s="94" t="s">
        <v>453</v>
      </c>
      <c r="D130" s="124">
        <v>1963</v>
      </c>
      <c r="E130" s="124"/>
      <c r="F130" s="129" t="s">
        <v>269</v>
      </c>
      <c r="G130" s="124">
        <v>4</v>
      </c>
      <c r="H130" s="124" t="s">
        <v>314</v>
      </c>
      <c r="I130" s="128">
        <v>2252.4</v>
      </c>
      <c r="J130" s="128">
        <v>2107.9</v>
      </c>
      <c r="K130" s="128">
        <v>1530.2</v>
      </c>
      <c r="L130" s="126">
        <v>83</v>
      </c>
      <c r="M130" s="124" t="s">
        <v>267</v>
      </c>
      <c r="N130" s="124" t="s">
        <v>271</v>
      </c>
      <c r="O130" s="127" t="s">
        <v>348</v>
      </c>
      <c r="P130" s="128">
        <v>3326185.79</v>
      </c>
      <c r="Q130" s="128">
        <v>0</v>
      </c>
      <c r="R130" s="128">
        <v>0</v>
      </c>
      <c r="S130" s="128">
        <f t="shared" si="13"/>
        <v>3326185.79</v>
      </c>
      <c r="T130" s="128">
        <f t="shared" si="6"/>
        <v>1476.7296172971053</v>
      </c>
      <c r="U130" s="128">
        <v>2356.2427971497063</v>
      </c>
      <c r="V130" s="257">
        <f t="shared" si="12"/>
        <v>879.51317985260107</v>
      </c>
      <c r="W130" s="257">
        <f t="shared" si="14"/>
        <v>2396.2909870360504</v>
      </c>
      <c r="X130" s="257">
        <v>0</v>
      </c>
      <c r="Y130" s="258">
        <v>0</v>
      </c>
      <c r="Z130" s="258">
        <v>0</v>
      </c>
      <c r="AA130" s="258">
        <v>0</v>
      </c>
      <c r="AB130" s="258">
        <v>0</v>
      </c>
      <c r="AC130" s="258">
        <v>0</v>
      </c>
      <c r="AD130" s="258">
        <v>0</v>
      </c>
      <c r="AE130" s="258">
        <v>865.12</v>
      </c>
      <c r="AF130" s="257">
        <f t="shared" si="15"/>
        <v>2396.2909870360504</v>
      </c>
      <c r="AG130" s="258">
        <v>0</v>
      </c>
      <c r="AH130" s="257">
        <v>0</v>
      </c>
      <c r="AI130" s="258">
        <v>0</v>
      </c>
      <c r="AJ130" s="257">
        <v>0</v>
      </c>
      <c r="AK130" s="258">
        <v>0</v>
      </c>
      <c r="AL130" s="258">
        <v>0</v>
      </c>
      <c r="AM130" s="258">
        <v>0</v>
      </c>
      <c r="AN130" s="258"/>
      <c r="AO130" s="258">
        <v>0</v>
      </c>
    </row>
    <row r="131" spans="1:41" s="259" customFormat="1" ht="61.5" x14ac:dyDescent="0.25">
      <c r="A131" s="259">
        <v>1</v>
      </c>
      <c r="B131" s="135">
        <f>SUBTOTAL(103,$A$16:A131)</f>
        <v>115</v>
      </c>
      <c r="C131" s="94" t="s">
        <v>454</v>
      </c>
      <c r="D131" s="124">
        <v>1961</v>
      </c>
      <c r="E131" s="124"/>
      <c r="F131" s="129" t="s">
        <v>269</v>
      </c>
      <c r="G131" s="124">
        <v>2</v>
      </c>
      <c r="H131" s="124" t="s">
        <v>305</v>
      </c>
      <c r="I131" s="128">
        <v>695.8</v>
      </c>
      <c r="J131" s="128">
        <v>646.6</v>
      </c>
      <c r="K131" s="128">
        <v>646.6</v>
      </c>
      <c r="L131" s="126">
        <v>42</v>
      </c>
      <c r="M131" s="124" t="s">
        <v>267</v>
      </c>
      <c r="N131" s="124" t="s">
        <v>271</v>
      </c>
      <c r="O131" s="127" t="s">
        <v>342</v>
      </c>
      <c r="P131" s="128">
        <v>2218259.69</v>
      </c>
      <c r="Q131" s="128">
        <v>0</v>
      </c>
      <c r="R131" s="128">
        <v>0</v>
      </c>
      <c r="S131" s="128">
        <f t="shared" si="13"/>
        <v>2218259.69</v>
      </c>
      <c r="T131" s="128">
        <f t="shared" si="6"/>
        <v>3188.0708393216441</v>
      </c>
      <c r="U131" s="128">
        <v>5227.9514275653928</v>
      </c>
      <c r="V131" s="257">
        <f t="shared" si="12"/>
        <v>2039.8805882437487</v>
      </c>
      <c r="W131" s="257">
        <f t="shared" si="14"/>
        <v>4992.5626444380569</v>
      </c>
      <c r="X131" s="257">
        <v>0</v>
      </c>
      <c r="Y131" s="258">
        <v>0</v>
      </c>
      <c r="Z131" s="258">
        <v>0</v>
      </c>
      <c r="AA131" s="258">
        <v>0</v>
      </c>
      <c r="AB131" s="258">
        <v>0</v>
      </c>
      <c r="AC131" s="258">
        <v>0</v>
      </c>
      <c r="AD131" s="258">
        <v>0</v>
      </c>
      <c r="AE131" s="258">
        <v>556.79999999999995</v>
      </c>
      <c r="AF131" s="257">
        <f t="shared" si="15"/>
        <v>4992.5626444380569</v>
      </c>
      <c r="AG131" s="258">
        <v>0</v>
      </c>
      <c r="AH131" s="257">
        <v>0</v>
      </c>
      <c r="AI131" s="258">
        <v>0</v>
      </c>
      <c r="AJ131" s="257">
        <v>0</v>
      </c>
      <c r="AK131" s="258">
        <v>0</v>
      </c>
      <c r="AL131" s="258">
        <v>0</v>
      </c>
      <c r="AM131" s="258">
        <v>0</v>
      </c>
      <c r="AN131" s="258"/>
      <c r="AO131" s="258">
        <v>0</v>
      </c>
    </row>
    <row r="132" spans="1:41" s="259" customFormat="1" ht="36" customHeight="1" x14ac:dyDescent="0.25">
      <c r="A132" s="259">
        <v>1</v>
      </c>
      <c r="B132" s="135">
        <f>SUBTOTAL(103,$A$16:A132)</f>
        <v>116</v>
      </c>
      <c r="C132" s="94" t="s">
        <v>455</v>
      </c>
      <c r="D132" s="124">
        <v>1962</v>
      </c>
      <c r="E132" s="124"/>
      <c r="F132" s="129" t="s">
        <v>269</v>
      </c>
      <c r="G132" s="124" t="s">
        <v>314</v>
      </c>
      <c r="H132" s="124" t="s">
        <v>314</v>
      </c>
      <c r="I132" s="128">
        <v>1651.8</v>
      </c>
      <c r="J132" s="128">
        <v>1537.5</v>
      </c>
      <c r="K132" s="128">
        <v>1462.9</v>
      </c>
      <c r="L132" s="126">
        <v>58</v>
      </c>
      <c r="M132" s="124" t="s">
        <v>267</v>
      </c>
      <c r="N132" s="124" t="s">
        <v>343</v>
      </c>
      <c r="O132" s="127" t="s">
        <v>349</v>
      </c>
      <c r="P132" s="128">
        <v>91764.43</v>
      </c>
      <c r="Q132" s="128">
        <v>0</v>
      </c>
      <c r="R132" s="128">
        <v>0</v>
      </c>
      <c r="S132" s="128">
        <f t="shared" si="13"/>
        <v>91764.43</v>
      </c>
      <c r="T132" s="128">
        <f t="shared" si="6"/>
        <v>55.554201477176413</v>
      </c>
      <c r="U132" s="128">
        <f>T132</f>
        <v>55.554201477176413</v>
      </c>
      <c r="V132" s="257">
        <f t="shared" si="12"/>
        <v>0</v>
      </c>
      <c r="W132" s="257">
        <f t="shared" si="14"/>
        <v>3251.6890713766797</v>
      </c>
      <c r="X132" s="257">
        <v>0</v>
      </c>
      <c r="Y132" s="258">
        <v>0</v>
      </c>
      <c r="Z132" s="258">
        <v>0</v>
      </c>
      <c r="AA132" s="258">
        <v>0</v>
      </c>
      <c r="AB132" s="258">
        <v>0</v>
      </c>
      <c r="AC132" s="258">
        <v>0</v>
      </c>
      <c r="AD132" s="258">
        <v>0</v>
      </c>
      <c r="AE132" s="258">
        <v>860.91</v>
      </c>
      <c r="AF132" s="257">
        <f t="shared" si="15"/>
        <v>3251.6890713766797</v>
      </c>
      <c r="AG132" s="258">
        <v>0</v>
      </c>
      <c r="AH132" s="257">
        <v>0</v>
      </c>
      <c r="AI132" s="258">
        <v>0</v>
      </c>
      <c r="AJ132" s="257">
        <v>0</v>
      </c>
      <c r="AK132" s="258">
        <v>0</v>
      </c>
      <c r="AL132" s="258">
        <v>0</v>
      </c>
      <c r="AM132" s="258">
        <v>0</v>
      </c>
      <c r="AN132" s="258"/>
      <c r="AO132" s="258">
        <v>0</v>
      </c>
    </row>
    <row r="133" spans="1:41" s="259" customFormat="1" ht="36" customHeight="1" x14ac:dyDescent="0.25">
      <c r="A133" s="259">
        <v>1</v>
      </c>
      <c r="B133" s="135">
        <f>SUBTOTAL(103,$A$16:A133)</f>
        <v>117</v>
      </c>
      <c r="C133" s="94" t="s">
        <v>456</v>
      </c>
      <c r="D133" s="124">
        <v>1937</v>
      </c>
      <c r="E133" s="124">
        <v>2010</v>
      </c>
      <c r="F133" s="129" t="s">
        <v>332</v>
      </c>
      <c r="G133" s="124">
        <v>2</v>
      </c>
      <c r="H133" s="124" t="s">
        <v>305</v>
      </c>
      <c r="I133" s="128">
        <v>522</v>
      </c>
      <c r="J133" s="128">
        <v>471.4</v>
      </c>
      <c r="K133" s="128">
        <v>471.4</v>
      </c>
      <c r="L133" s="126">
        <v>22</v>
      </c>
      <c r="M133" s="124" t="s">
        <v>267</v>
      </c>
      <c r="N133" s="124" t="s">
        <v>268</v>
      </c>
      <c r="O133" s="127" t="s">
        <v>270</v>
      </c>
      <c r="P133" s="128">
        <v>45369.9</v>
      </c>
      <c r="Q133" s="128">
        <v>0</v>
      </c>
      <c r="R133" s="128">
        <v>0</v>
      </c>
      <c r="S133" s="128">
        <f t="shared" si="13"/>
        <v>45369.9</v>
      </c>
      <c r="T133" s="128">
        <f t="shared" si="6"/>
        <v>86.91551724137932</v>
      </c>
      <c r="U133" s="128">
        <v>86.91551724137932</v>
      </c>
      <c r="V133" s="257">
        <f t="shared" si="12"/>
        <v>0</v>
      </c>
      <c r="W133" s="257">
        <f>T133</f>
        <v>86.91551724137932</v>
      </c>
      <c r="X133" s="257">
        <v>0</v>
      </c>
      <c r="Y133" s="258">
        <v>0</v>
      </c>
      <c r="Z133" s="258">
        <v>0</v>
      </c>
      <c r="AA133" s="258">
        <v>0</v>
      </c>
      <c r="AB133" s="258">
        <v>0</v>
      </c>
      <c r="AC133" s="258">
        <v>0</v>
      </c>
      <c r="AD133" s="258">
        <v>0</v>
      </c>
      <c r="AE133" s="258">
        <v>0</v>
      </c>
      <c r="AF133" s="257">
        <v>0</v>
      </c>
      <c r="AG133" s="258">
        <v>0</v>
      </c>
      <c r="AH133" s="257">
        <v>0</v>
      </c>
      <c r="AI133" s="258">
        <v>0</v>
      </c>
      <c r="AJ133" s="257">
        <v>0</v>
      </c>
      <c r="AK133" s="258">
        <v>0</v>
      </c>
      <c r="AL133" s="258">
        <v>0</v>
      </c>
      <c r="AM133" s="258">
        <v>0</v>
      </c>
      <c r="AN133" s="258"/>
      <c r="AO133" s="258">
        <v>0</v>
      </c>
    </row>
    <row r="134" spans="1:41" s="259" customFormat="1" ht="36" customHeight="1" x14ac:dyDescent="0.25">
      <c r="A134" s="259">
        <v>1</v>
      </c>
      <c r="B134" s="135">
        <f>SUBTOTAL(103,$A$16:A134)</f>
        <v>118</v>
      </c>
      <c r="C134" s="94" t="s">
        <v>1140</v>
      </c>
      <c r="D134" s="124">
        <v>1979</v>
      </c>
      <c r="E134" s="124">
        <v>2008</v>
      </c>
      <c r="F134" s="129" t="s">
        <v>313</v>
      </c>
      <c r="G134" s="124">
        <v>5</v>
      </c>
      <c r="H134" s="124" t="s">
        <v>373</v>
      </c>
      <c r="I134" s="128">
        <v>5005</v>
      </c>
      <c r="J134" s="128">
        <v>4545.8</v>
      </c>
      <c r="K134" s="128">
        <v>4545.8</v>
      </c>
      <c r="L134" s="126">
        <v>153</v>
      </c>
      <c r="M134" s="124" t="s">
        <v>267</v>
      </c>
      <c r="N134" s="124" t="s">
        <v>271</v>
      </c>
      <c r="O134" s="127" t="s">
        <v>1306</v>
      </c>
      <c r="P134" s="128">
        <v>2879103.97</v>
      </c>
      <c r="Q134" s="128">
        <v>0</v>
      </c>
      <c r="R134" s="128">
        <v>0</v>
      </c>
      <c r="S134" s="128">
        <f t="shared" si="13"/>
        <v>2879103.97</v>
      </c>
      <c r="T134" s="128">
        <f t="shared" si="6"/>
        <v>575.24554845154853</v>
      </c>
      <c r="U134" s="128">
        <v>4070.12</v>
      </c>
      <c r="V134" s="257">
        <f t="shared" si="12"/>
        <v>3494.8744515484514</v>
      </c>
      <c r="W134" s="257">
        <f t="shared" si="14"/>
        <v>4054.97</v>
      </c>
      <c r="X134" s="257">
        <v>0</v>
      </c>
      <c r="Y134" s="258">
        <v>0</v>
      </c>
      <c r="Z134" s="258">
        <v>3259.66</v>
      </c>
      <c r="AA134" s="258">
        <v>0</v>
      </c>
      <c r="AB134" s="258">
        <v>795.31</v>
      </c>
      <c r="AC134" s="258">
        <v>0</v>
      </c>
      <c r="AD134" s="258">
        <v>0</v>
      </c>
      <c r="AE134" s="258">
        <v>0</v>
      </c>
      <c r="AF134" s="257">
        <v>0</v>
      </c>
      <c r="AG134" s="258">
        <v>0</v>
      </c>
      <c r="AH134" s="257">
        <v>0</v>
      </c>
      <c r="AI134" s="258">
        <v>0</v>
      </c>
      <c r="AJ134" s="257">
        <v>0</v>
      </c>
      <c r="AK134" s="258">
        <v>0</v>
      </c>
      <c r="AL134" s="258">
        <v>0</v>
      </c>
      <c r="AM134" s="258">
        <v>0</v>
      </c>
      <c r="AN134" s="258"/>
      <c r="AO134" s="258">
        <v>0</v>
      </c>
    </row>
    <row r="135" spans="1:41" s="259" customFormat="1" ht="36" customHeight="1" x14ac:dyDescent="0.25">
      <c r="A135" s="259">
        <v>1</v>
      </c>
      <c r="B135" s="135">
        <f>SUBTOTAL(103,$A$16:A135)</f>
        <v>119</v>
      </c>
      <c r="C135" s="94" t="s">
        <v>1141</v>
      </c>
      <c r="D135" s="124">
        <v>1933</v>
      </c>
      <c r="E135" s="124">
        <v>2008</v>
      </c>
      <c r="F135" s="129" t="s">
        <v>269</v>
      </c>
      <c r="G135" s="124">
        <v>3</v>
      </c>
      <c r="H135" s="124" t="s">
        <v>310</v>
      </c>
      <c r="I135" s="128">
        <v>1863.4</v>
      </c>
      <c r="J135" s="128">
        <v>1677.4</v>
      </c>
      <c r="K135" s="128">
        <v>1677.4</v>
      </c>
      <c r="L135" s="126">
        <v>86</v>
      </c>
      <c r="M135" s="124" t="s">
        <v>267</v>
      </c>
      <c r="N135" s="124" t="s">
        <v>271</v>
      </c>
      <c r="O135" s="127" t="s">
        <v>348</v>
      </c>
      <c r="P135" s="128">
        <v>994785.73</v>
      </c>
      <c r="Q135" s="128">
        <v>0</v>
      </c>
      <c r="R135" s="128">
        <v>0</v>
      </c>
      <c r="S135" s="128">
        <f t="shared" si="13"/>
        <v>994785.73</v>
      </c>
      <c r="T135" s="128">
        <f t="shared" si="6"/>
        <v>533.85517333905761</v>
      </c>
      <c r="U135" s="128">
        <v>810.46</v>
      </c>
      <c r="V135" s="257">
        <f t="shared" si="12"/>
        <v>276.60482666094242</v>
      </c>
      <c r="W135" s="257">
        <f t="shared" si="14"/>
        <v>795.31</v>
      </c>
      <c r="X135" s="257">
        <v>0</v>
      </c>
      <c r="Y135" s="258">
        <v>0</v>
      </c>
      <c r="Z135" s="258">
        <v>0</v>
      </c>
      <c r="AA135" s="258">
        <v>0</v>
      </c>
      <c r="AB135" s="258">
        <v>795.31</v>
      </c>
      <c r="AC135" s="258">
        <v>0</v>
      </c>
      <c r="AD135" s="258">
        <v>0</v>
      </c>
      <c r="AE135" s="258">
        <v>0</v>
      </c>
      <c r="AF135" s="257">
        <v>0</v>
      </c>
      <c r="AG135" s="258">
        <v>0</v>
      </c>
      <c r="AH135" s="257">
        <v>0</v>
      </c>
      <c r="AI135" s="258">
        <v>0</v>
      </c>
      <c r="AJ135" s="257">
        <v>0</v>
      </c>
      <c r="AK135" s="258">
        <v>0</v>
      </c>
      <c r="AL135" s="258">
        <v>0</v>
      </c>
      <c r="AM135" s="258">
        <v>0</v>
      </c>
      <c r="AN135" s="258"/>
      <c r="AO135" s="258">
        <v>0</v>
      </c>
    </row>
    <row r="136" spans="1:41" s="259" customFormat="1" ht="36" customHeight="1" x14ac:dyDescent="0.25">
      <c r="A136" s="259">
        <v>1</v>
      </c>
      <c r="B136" s="135">
        <f>SUBTOTAL(103,$A$16:A136)</f>
        <v>120</v>
      </c>
      <c r="C136" s="94" t="s">
        <v>1143</v>
      </c>
      <c r="D136" s="124" t="s">
        <v>1332</v>
      </c>
      <c r="E136" s="124"/>
      <c r="F136" s="129" t="s">
        <v>269</v>
      </c>
      <c r="G136" s="124" t="s">
        <v>305</v>
      </c>
      <c r="H136" s="124" t="s">
        <v>305</v>
      </c>
      <c r="I136" s="128">
        <v>823.9</v>
      </c>
      <c r="J136" s="128">
        <v>758.2</v>
      </c>
      <c r="K136" s="128">
        <v>758.2</v>
      </c>
      <c r="L136" s="126">
        <v>35</v>
      </c>
      <c r="M136" s="124" t="s">
        <v>267</v>
      </c>
      <c r="N136" s="124" t="s">
        <v>271</v>
      </c>
      <c r="O136" s="127" t="s">
        <v>348</v>
      </c>
      <c r="P136" s="128">
        <v>1804069.72</v>
      </c>
      <c r="Q136" s="128">
        <v>0</v>
      </c>
      <c r="R136" s="128">
        <v>0</v>
      </c>
      <c r="S136" s="128">
        <f t="shared" si="13"/>
        <v>1804069.72</v>
      </c>
      <c r="T136" s="128">
        <f t="shared" si="6"/>
        <v>2189.6707367398958</v>
      </c>
      <c r="U136" s="128">
        <v>7820.6710231824245</v>
      </c>
      <c r="V136" s="257">
        <f t="shared" si="12"/>
        <v>5631.0002864425287</v>
      </c>
      <c r="W136" s="257">
        <f t="shared" si="14"/>
        <v>6698.1696128170897</v>
      </c>
      <c r="X136" s="257">
        <v>0</v>
      </c>
      <c r="Y136" s="258">
        <v>0</v>
      </c>
      <c r="Z136" s="258">
        <v>0</v>
      </c>
      <c r="AA136" s="258">
        <v>0</v>
      </c>
      <c r="AB136" s="258">
        <v>0</v>
      </c>
      <c r="AC136" s="258">
        <v>0</v>
      </c>
      <c r="AD136" s="258">
        <v>0</v>
      </c>
      <c r="AE136" s="258">
        <v>0</v>
      </c>
      <c r="AF136" s="257">
        <v>0</v>
      </c>
      <c r="AG136" s="258">
        <v>0</v>
      </c>
      <c r="AH136" s="257">
        <v>0</v>
      </c>
      <c r="AI136" s="258">
        <v>741.84</v>
      </c>
      <c r="AJ136" s="257">
        <f>7439.1*AI136/I136</f>
        <v>6698.1696128170897</v>
      </c>
      <c r="AK136" s="258">
        <v>0</v>
      </c>
      <c r="AL136" s="258">
        <v>0</v>
      </c>
      <c r="AM136" s="258">
        <v>0</v>
      </c>
      <c r="AN136" s="258"/>
      <c r="AO136" s="258">
        <v>0</v>
      </c>
    </row>
    <row r="137" spans="1:41" s="259" customFormat="1" ht="36" customHeight="1" x14ac:dyDescent="0.25">
      <c r="A137" s="259">
        <v>1</v>
      </c>
      <c r="B137" s="135">
        <f>SUBTOTAL(103,$A$16:A137)</f>
        <v>121</v>
      </c>
      <c r="C137" s="94" t="s">
        <v>1144</v>
      </c>
      <c r="D137" s="124">
        <v>1956</v>
      </c>
      <c r="E137" s="124"/>
      <c r="F137" s="129" t="s">
        <v>269</v>
      </c>
      <c r="G137" s="124">
        <v>2</v>
      </c>
      <c r="H137" s="124" t="s">
        <v>306</v>
      </c>
      <c r="I137" s="128">
        <v>420.5</v>
      </c>
      <c r="J137" s="128">
        <v>420.5</v>
      </c>
      <c r="K137" s="128">
        <v>420.5</v>
      </c>
      <c r="L137" s="126">
        <v>20</v>
      </c>
      <c r="M137" s="124" t="s">
        <v>267</v>
      </c>
      <c r="N137" s="124" t="s">
        <v>268</v>
      </c>
      <c r="O137" s="127" t="s">
        <v>270</v>
      </c>
      <c r="P137" s="128">
        <v>121797.55</v>
      </c>
      <c r="Q137" s="128">
        <v>0</v>
      </c>
      <c r="R137" s="128">
        <v>0</v>
      </c>
      <c r="S137" s="128">
        <f t="shared" si="13"/>
        <v>121797.55</v>
      </c>
      <c r="T137" s="128">
        <f t="shared" si="6"/>
        <v>289.64934601664686</v>
      </c>
      <c r="U137" s="128">
        <v>810.46</v>
      </c>
      <c r="V137" s="257">
        <f t="shared" si="12"/>
        <v>520.81065398335318</v>
      </c>
      <c r="W137" s="257">
        <f t="shared" si="14"/>
        <v>15323.307624256837</v>
      </c>
      <c r="X137" s="257">
        <v>0</v>
      </c>
      <c r="Y137" s="258">
        <v>0</v>
      </c>
      <c r="Z137" s="258">
        <v>0</v>
      </c>
      <c r="AA137" s="258">
        <v>0</v>
      </c>
      <c r="AB137" s="258">
        <v>0</v>
      </c>
      <c r="AC137" s="258">
        <v>0</v>
      </c>
      <c r="AD137" s="258">
        <v>0</v>
      </c>
      <c r="AE137" s="258">
        <v>0</v>
      </c>
      <c r="AF137" s="257">
        <v>0</v>
      </c>
      <c r="AG137" s="258">
        <v>0</v>
      </c>
      <c r="AH137" s="257">
        <v>0</v>
      </c>
      <c r="AI137" s="258">
        <v>866.16</v>
      </c>
      <c r="AJ137" s="257">
        <f>7439.1*AI137/I137</f>
        <v>15323.307624256837</v>
      </c>
      <c r="AK137" s="258">
        <v>0</v>
      </c>
      <c r="AL137" s="258">
        <v>0</v>
      </c>
      <c r="AM137" s="258">
        <v>0</v>
      </c>
      <c r="AN137" s="258"/>
      <c r="AO137" s="258">
        <v>0</v>
      </c>
    </row>
    <row r="138" spans="1:41" s="259" customFormat="1" ht="36" customHeight="1" x14ac:dyDescent="0.25">
      <c r="A138" s="259">
        <v>1</v>
      </c>
      <c r="B138" s="135">
        <f>SUBTOTAL(103,$A$16:A138)</f>
        <v>122</v>
      </c>
      <c r="C138" s="94" t="s">
        <v>1145</v>
      </c>
      <c r="D138" s="124">
        <v>1949</v>
      </c>
      <c r="E138" s="124">
        <v>2008</v>
      </c>
      <c r="F138" s="129" t="s">
        <v>269</v>
      </c>
      <c r="G138" s="124" t="s">
        <v>305</v>
      </c>
      <c r="H138" s="124" t="s">
        <v>306</v>
      </c>
      <c r="I138" s="128">
        <v>446.3</v>
      </c>
      <c r="J138" s="128">
        <v>446.3</v>
      </c>
      <c r="K138" s="128">
        <v>446.3</v>
      </c>
      <c r="L138" s="126">
        <v>28</v>
      </c>
      <c r="M138" s="124" t="s">
        <v>267</v>
      </c>
      <c r="N138" s="124" t="s">
        <v>268</v>
      </c>
      <c r="O138" s="127" t="s">
        <v>270</v>
      </c>
      <c r="P138" s="128">
        <v>949317.13</v>
      </c>
      <c r="Q138" s="128">
        <v>0</v>
      </c>
      <c r="R138" s="128">
        <v>0</v>
      </c>
      <c r="S138" s="128">
        <f t="shared" si="13"/>
        <v>949317.13</v>
      </c>
      <c r="T138" s="128">
        <f t="shared" si="6"/>
        <v>2127.0829710956755</v>
      </c>
      <c r="U138" s="128">
        <v>7265.748801254761</v>
      </c>
      <c r="V138" s="257">
        <f t="shared" si="12"/>
        <v>5138.6658301590851</v>
      </c>
      <c r="W138" s="257">
        <f t="shared" si="14"/>
        <v>795.31</v>
      </c>
      <c r="X138" s="257">
        <v>0</v>
      </c>
      <c r="Y138" s="258">
        <v>0</v>
      </c>
      <c r="Z138" s="258">
        <v>0</v>
      </c>
      <c r="AA138" s="258">
        <v>0</v>
      </c>
      <c r="AB138" s="258">
        <v>795.31</v>
      </c>
      <c r="AC138" s="258">
        <v>0</v>
      </c>
      <c r="AD138" s="258">
        <v>0</v>
      </c>
      <c r="AE138" s="258">
        <v>0</v>
      </c>
      <c r="AF138" s="257">
        <v>0</v>
      </c>
      <c r="AG138" s="258">
        <v>0</v>
      </c>
      <c r="AH138" s="257">
        <v>0</v>
      </c>
      <c r="AI138" s="258">
        <v>0</v>
      </c>
      <c r="AJ138" s="257">
        <v>0</v>
      </c>
      <c r="AK138" s="258">
        <v>0</v>
      </c>
      <c r="AL138" s="258">
        <v>0</v>
      </c>
      <c r="AM138" s="258">
        <v>0</v>
      </c>
      <c r="AN138" s="258"/>
      <c r="AO138" s="258">
        <v>0</v>
      </c>
    </row>
    <row r="139" spans="1:41" s="259" customFormat="1" ht="36" customHeight="1" x14ac:dyDescent="0.25">
      <c r="A139" s="259">
        <v>1</v>
      </c>
      <c r="B139" s="135">
        <f>SUBTOTAL(103,$A$16:A139)</f>
        <v>123</v>
      </c>
      <c r="C139" s="94" t="s">
        <v>1146</v>
      </c>
      <c r="D139" s="124">
        <v>1964</v>
      </c>
      <c r="E139" s="124"/>
      <c r="F139" s="129" t="s">
        <v>269</v>
      </c>
      <c r="G139" s="124">
        <v>2</v>
      </c>
      <c r="H139" s="124" t="s">
        <v>306</v>
      </c>
      <c r="I139" s="128">
        <v>380.8</v>
      </c>
      <c r="J139" s="128">
        <v>380.8</v>
      </c>
      <c r="K139" s="128">
        <v>380.8</v>
      </c>
      <c r="L139" s="126">
        <v>13</v>
      </c>
      <c r="M139" s="124" t="s">
        <v>267</v>
      </c>
      <c r="N139" s="124" t="s">
        <v>268</v>
      </c>
      <c r="O139" s="127" t="s">
        <v>270</v>
      </c>
      <c r="P139" s="128">
        <v>294696.21999999997</v>
      </c>
      <c r="Q139" s="128">
        <v>0</v>
      </c>
      <c r="R139" s="128">
        <v>0</v>
      </c>
      <c r="S139" s="128">
        <f t="shared" si="13"/>
        <v>294696.21999999997</v>
      </c>
      <c r="T139" s="128">
        <f t="shared" si="6"/>
        <v>773.88713235294108</v>
      </c>
      <c r="U139" s="128">
        <v>1009.72</v>
      </c>
      <c r="V139" s="257">
        <f t="shared" si="12"/>
        <v>235.83286764705895</v>
      </c>
      <c r="W139" s="257">
        <f t="shared" si="14"/>
        <v>9572.3713235294108</v>
      </c>
      <c r="X139" s="257">
        <v>0</v>
      </c>
      <c r="Y139" s="258">
        <v>0</v>
      </c>
      <c r="Z139" s="258">
        <v>0</v>
      </c>
      <c r="AA139" s="258">
        <v>0</v>
      </c>
      <c r="AB139" s="258">
        <v>0</v>
      </c>
      <c r="AC139" s="258">
        <v>0</v>
      </c>
      <c r="AD139" s="258">
        <v>0</v>
      </c>
      <c r="AE139" s="258">
        <v>0</v>
      </c>
      <c r="AF139" s="257">
        <v>0</v>
      </c>
      <c r="AG139" s="258">
        <v>0</v>
      </c>
      <c r="AH139" s="257">
        <v>0</v>
      </c>
      <c r="AI139" s="258">
        <v>490</v>
      </c>
      <c r="AJ139" s="257">
        <f>7439.1*AI139/I139</f>
        <v>9572.3713235294108</v>
      </c>
      <c r="AK139" s="258">
        <v>0</v>
      </c>
      <c r="AL139" s="258">
        <v>0</v>
      </c>
      <c r="AM139" s="258">
        <v>0</v>
      </c>
      <c r="AN139" s="258"/>
      <c r="AO139" s="258">
        <v>0</v>
      </c>
    </row>
    <row r="140" spans="1:41" s="259" customFormat="1" ht="36" customHeight="1" x14ac:dyDescent="0.25">
      <c r="A140" s="259">
        <v>1</v>
      </c>
      <c r="B140" s="135">
        <f>SUBTOTAL(103,$A$16:A140)</f>
        <v>124</v>
      </c>
      <c r="C140" s="94" t="s">
        <v>1147</v>
      </c>
      <c r="D140" s="124">
        <v>1956</v>
      </c>
      <c r="E140" s="124"/>
      <c r="F140" s="129" t="s">
        <v>326</v>
      </c>
      <c r="G140" s="124">
        <v>2</v>
      </c>
      <c r="H140" s="124" t="s">
        <v>305</v>
      </c>
      <c r="I140" s="128">
        <v>672.3</v>
      </c>
      <c r="J140" s="128">
        <v>672.3</v>
      </c>
      <c r="K140" s="128">
        <v>577.9</v>
      </c>
      <c r="L140" s="126">
        <v>17</v>
      </c>
      <c r="M140" s="124" t="s">
        <v>267</v>
      </c>
      <c r="N140" s="124" t="s">
        <v>268</v>
      </c>
      <c r="O140" s="127" t="s">
        <v>270</v>
      </c>
      <c r="P140" s="128">
        <v>1755092.12</v>
      </c>
      <c r="Q140" s="128">
        <v>0</v>
      </c>
      <c r="R140" s="128">
        <v>0</v>
      </c>
      <c r="S140" s="128">
        <f t="shared" si="13"/>
        <v>1755092.12</v>
      </c>
      <c r="T140" s="128">
        <f t="shared" si="6"/>
        <v>2610.5787892309986</v>
      </c>
      <c r="U140" s="128">
        <v>8884.540477465418</v>
      </c>
      <c r="V140" s="257">
        <f t="shared" si="12"/>
        <v>6273.9616882344199</v>
      </c>
      <c r="W140" s="257">
        <f t="shared" si="14"/>
        <v>1081.8399999999999</v>
      </c>
      <c r="X140" s="257">
        <v>101.55</v>
      </c>
      <c r="Y140" s="258">
        <v>0</v>
      </c>
      <c r="Z140" s="258">
        <v>0</v>
      </c>
      <c r="AA140" s="258">
        <v>184.98</v>
      </c>
      <c r="AB140" s="258">
        <v>795.31</v>
      </c>
      <c r="AC140" s="258">
        <v>0</v>
      </c>
      <c r="AD140" s="258">
        <v>0</v>
      </c>
      <c r="AE140" s="258">
        <v>0</v>
      </c>
      <c r="AF140" s="257">
        <v>0</v>
      </c>
      <c r="AG140" s="258">
        <v>0</v>
      </c>
      <c r="AH140" s="257">
        <v>0</v>
      </c>
      <c r="AI140" s="258">
        <v>0</v>
      </c>
      <c r="AJ140" s="257">
        <v>0</v>
      </c>
      <c r="AK140" s="258">
        <v>0</v>
      </c>
      <c r="AL140" s="258">
        <v>0</v>
      </c>
      <c r="AM140" s="258">
        <v>0</v>
      </c>
      <c r="AN140" s="258"/>
      <c r="AO140" s="258">
        <v>0</v>
      </c>
    </row>
    <row r="141" spans="1:41" s="259" customFormat="1" ht="36" customHeight="1" x14ac:dyDescent="0.25">
      <c r="A141" s="259">
        <v>1</v>
      </c>
      <c r="B141" s="135">
        <f>SUBTOTAL(103,$A$16:A141)</f>
        <v>125</v>
      </c>
      <c r="C141" s="94" t="s">
        <v>1148</v>
      </c>
      <c r="D141" s="124">
        <v>1961</v>
      </c>
      <c r="E141" s="124"/>
      <c r="F141" s="129" t="s">
        <v>269</v>
      </c>
      <c r="G141" s="124">
        <v>2</v>
      </c>
      <c r="H141" s="124" t="s">
        <v>305</v>
      </c>
      <c r="I141" s="128">
        <v>546.70000000000005</v>
      </c>
      <c r="J141" s="128">
        <v>546.70000000000005</v>
      </c>
      <c r="K141" s="128">
        <v>546.70000000000005</v>
      </c>
      <c r="L141" s="126">
        <v>45</v>
      </c>
      <c r="M141" s="124" t="s">
        <v>267</v>
      </c>
      <c r="N141" s="124" t="s">
        <v>268</v>
      </c>
      <c r="O141" s="127" t="s">
        <v>270</v>
      </c>
      <c r="P141" s="128">
        <v>1184059.1499999999</v>
      </c>
      <c r="Q141" s="128">
        <v>0</v>
      </c>
      <c r="R141" s="128">
        <v>0</v>
      </c>
      <c r="S141" s="128">
        <f t="shared" si="13"/>
        <v>1184059.1499999999</v>
      </c>
      <c r="T141" s="128">
        <f t="shared" ref="T141:T203" si="16">P141/I141</f>
        <v>2165.8297969635996</v>
      </c>
      <c r="U141" s="128">
        <v>7798.604338759832</v>
      </c>
      <c r="V141" s="257">
        <f t="shared" si="12"/>
        <v>5632.7745417962324</v>
      </c>
      <c r="W141" s="257">
        <f t="shared" si="14"/>
        <v>11459.574990488383</v>
      </c>
      <c r="X141" s="257">
        <v>0</v>
      </c>
      <c r="Y141" s="258">
        <v>0</v>
      </c>
      <c r="Z141" s="258">
        <v>0</v>
      </c>
      <c r="AA141" s="258">
        <v>0</v>
      </c>
      <c r="AB141" s="258">
        <v>0</v>
      </c>
      <c r="AC141" s="258">
        <v>0</v>
      </c>
      <c r="AD141" s="258">
        <v>0</v>
      </c>
      <c r="AE141" s="258">
        <v>0</v>
      </c>
      <c r="AF141" s="257">
        <v>0</v>
      </c>
      <c r="AG141" s="258">
        <v>0</v>
      </c>
      <c r="AH141" s="257">
        <v>0</v>
      </c>
      <c r="AI141" s="258">
        <v>802.93</v>
      </c>
      <c r="AJ141" s="257">
        <f>7802.61*AI141/I141</f>
        <v>11459.574990488383</v>
      </c>
      <c r="AK141" s="258">
        <v>0</v>
      </c>
      <c r="AL141" s="258">
        <v>0</v>
      </c>
      <c r="AM141" s="258">
        <v>0</v>
      </c>
      <c r="AN141" s="258"/>
      <c r="AO141" s="258">
        <v>0</v>
      </c>
    </row>
    <row r="142" spans="1:41" s="259" customFormat="1" ht="36" customHeight="1" x14ac:dyDescent="0.25">
      <c r="A142" s="259">
        <v>1</v>
      </c>
      <c r="B142" s="135">
        <f>SUBTOTAL(103,$A$16:A142)</f>
        <v>126</v>
      </c>
      <c r="C142" s="94" t="s">
        <v>1150</v>
      </c>
      <c r="D142" s="124">
        <v>1993</v>
      </c>
      <c r="E142" s="124">
        <v>2016</v>
      </c>
      <c r="F142" s="129" t="s">
        <v>289</v>
      </c>
      <c r="G142" s="124">
        <v>9</v>
      </c>
      <c r="H142" s="124" t="s">
        <v>310</v>
      </c>
      <c r="I142" s="128">
        <v>9105.2999999999993</v>
      </c>
      <c r="J142" s="128">
        <v>9105.2999999999993</v>
      </c>
      <c r="K142" s="128">
        <v>9105.2999999999993</v>
      </c>
      <c r="L142" s="126">
        <v>293</v>
      </c>
      <c r="M142" s="124" t="s">
        <v>267</v>
      </c>
      <c r="N142" s="124" t="s">
        <v>343</v>
      </c>
      <c r="O142" s="127" t="s">
        <v>1333</v>
      </c>
      <c r="P142" s="128">
        <v>5593558.4000000004</v>
      </c>
      <c r="Q142" s="128">
        <v>0</v>
      </c>
      <c r="R142" s="128">
        <v>0</v>
      </c>
      <c r="S142" s="128">
        <f t="shared" si="13"/>
        <v>5593558.4000000004</v>
      </c>
      <c r="T142" s="128">
        <f t="shared" si="16"/>
        <v>614.31895709092521</v>
      </c>
      <c r="U142" s="128">
        <v>1079.7227988094846</v>
      </c>
      <c r="V142" s="257">
        <f t="shared" ref="V142:V150" si="17">U142-T142</f>
        <v>465.40384171855942</v>
      </c>
      <c r="W142" s="257">
        <f t="shared" si="14"/>
        <v>468.24343975486812</v>
      </c>
      <c r="X142" s="257">
        <v>0</v>
      </c>
      <c r="Y142" s="258">
        <v>0</v>
      </c>
      <c r="Z142" s="258">
        <v>0</v>
      </c>
      <c r="AA142" s="258">
        <v>0</v>
      </c>
      <c r="AB142" s="258">
        <v>0</v>
      </c>
      <c r="AC142" s="258">
        <v>0</v>
      </c>
      <c r="AD142" s="258">
        <v>0</v>
      </c>
      <c r="AE142" s="258">
        <v>0</v>
      </c>
      <c r="AF142" s="257">
        <v>0</v>
      </c>
      <c r="AG142" s="258">
        <v>0</v>
      </c>
      <c r="AH142" s="257">
        <v>0</v>
      </c>
      <c r="AI142" s="258">
        <v>573.12</v>
      </c>
      <c r="AJ142" s="257">
        <f>7439.1*AI142/I142</f>
        <v>468.24343975486812</v>
      </c>
      <c r="AK142" s="258">
        <v>0</v>
      </c>
      <c r="AL142" s="258">
        <v>0</v>
      </c>
      <c r="AM142" s="258">
        <v>0</v>
      </c>
      <c r="AN142" s="258"/>
      <c r="AO142" s="258">
        <v>0</v>
      </c>
    </row>
    <row r="143" spans="1:41" s="259" customFormat="1" ht="36" customHeight="1" x14ac:dyDescent="0.25">
      <c r="A143" s="259">
        <v>1</v>
      </c>
      <c r="B143" s="135">
        <f>SUBTOTAL(103,$A$16:A143)</f>
        <v>127</v>
      </c>
      <c r="C143" s="94" t="s">
        <v>1151</v>
      </c>
      <c r="D143" s="124">
        <v>1977</v>
      </c>
      <c r="E143" s="124">
        <v>2014</v>
      </c>
      <c r="F143" s="129" t="s">
        <v>269</v>
      </c>
      <c r="G143" s="124">
        <v>5</v>
      </c>
      <c r="H143" s="124" t="s">
        <v>310</v>
      </c>
      <c r="I143" s="128">
        <v>3912.3</v>
      </c>
      <c r="J143" s="128">
        <v>3639.1</v>
      </c>
      <c r="K143" s="128">
        <v>2732.3</v>
      </c>
      <c r="L143" s="126">
        <v>140</v>
      </c>
      <c r="M143" s="124" t="s">
        <v>267</v>
      </c>
      <c r="N143" s="124" t="s">
        <v>271</v>
      </c>
      <c r="O143" s="127" t="s">
        <v>1306</v>
      </c>
      <c r="P143" s="128">
        <v>1062143.8500000001</v>
      </c>
      <c r="Q143" s="128">
        <v>0</v>
      </c>
      <c r="R143" s="128">
        <v>0</v>
      </c>
      <c r="S143" s="128">
        <f t="shared" si="13"/>
        <v>1062143.8500000001</v>
      </c>
      <c r="T143" s="128">
        <f t="shared" si="16"/>
        <v>271.48834445211259</v>
      </c>
      <c r="U143" s="128">
        <v>1009.72</v>
      </c>
      <c r="V143" s="257">
        <f t="shared" si="17"/>
        <v>738.23165554788739</v>
      </c>
      <c r="W143" s="257">
        <f t="shared" si="14"/>
        <v>2512.8952278710731</v>
      </c>
      <c r="X143" s="257">
        <v>0</v>
      </c>
      <c r="Y143" s="258">
        <v>0</v>
      </c>
      <c r="Z143" s="258">
        <v>0</v>
      </c>
      <c r="AA143" s="258">
        <v>0</v>
      </c>
      <c r="AB143" s="258">
        <v>0</v>
      </c>
      <c r="AC143" s="258">
        <v>4</v>
      </c>
      <c r="AD143" s="257">
        <f>2457800*AC143/I143</f>
        <v>2512.8952278710731</v>
      </c>
      <c r="AE143" s="258">
        <v>0</v>
      </c>
      <c r="AF143" s="257">
        <v>0</v>
      </c>
      <c r="AG143" s="258">
        <v>0</v>
      </c>
      <c r="AH143" s="257">
        <v>0</v>
      </c>
      <c r="AI143" s="258">
        <v>0</v>
      </c>
      <c r="AJ143" s="257">
        <v>0</v>
      </c>
      <c r="AK143" s="258">
        <v>0</v>
      </c>
      <c r="AL143" s="258">
        <v>0</v>
      </c>
      <c r="AM143" s="258">
        <v>0</v>
      </c>
      <c r="AN143" s="258"/>
      <c r="AO143" s="258">
        <v>0</v>
      </c>
    </row>
    <row r="144" spans="1:41" s="259" customFormat="1" ht="36" customHeight="1" x14ac:dyDescent="0.25">
      <c r="A144" s="259">
        <v>1</v>
      </c>
      <c r="B144" s="135">
        <f>SUBTOTAL(103,$A$16:A144)</f>
        <v>128</v>
      </c>
      <c r="C144" s="94" t="s">
        <v>1152</v>
      </c>
      <c r="D144" s="124">
        <v>1970</v>
      </c>
      <c r="E144" s="124"/>
      <c r="F144" s="129" t="s">
        <v>269</v>
      </c>
      <c r="G144" s="124">
        <v>5</v>
      </c>
      <c r="H144" s="124" t="s">
        <v>310</v>
      </c>
      <c r="I144" s="128">
        <v>3635.4</v>
      </c>
      <c r="J144" s="128">
        <v>3360</v>
      </c>
      <c r="K144" s="128">
        <v>3247.2</v>
      </c>
      <c r="L144" s="126">
        <v>167</v>
      </c>
      <c r="M144" s="124" t="s">
        <v>267</v>
      </c>
      <c r="N144" s="124" t="s">
        <v>271</v>
      </c>
      <c r="O144" s="127" t="s">
        <v>1334</v>
      </c>
      <c r="P144" s="128">
        <v>1542936.46</v>
      </c>
      <c r="Q144" s="128">
        <v>0</v>
      </c>
      <c r="R144" s="128">
        <v>0</v>
      </c>
      <c r="S144" s="128">
        <f t="shared" si="13"/>
        <v>1542936.46</v>
      </c>
      <c r="T144" s="128">
        <f t="shared" si="16"/>
        <v>424.41999779941682</v>
      </c>
      <c r="U144" s="128">
        <v>1272.47</v>
      </c>
      <c r="V144" s="257">
        <f t="shared" si="17"/>
        <v>848.05000220058321</v>
      </c>
      <c r="W144" s="257">
        <f t="shared" si="14"/>
        <v>1081.8399999999999</v>
      </c>
      <c r="X144" s="257">
        <v>101.55</v>
      </c>
      <c r="Y144" s="258">
        <v>0</v>
      </c>
      <c r="Z144" s="258">
        <v>0</v>
      </c>
      <c r="AA144" s="258">
        <v>184.98</v>
      </c>
      <c r="AB144" s="258">
        <v>795.31</v>
      </c>
      <c r="AC144" s="258">
        <v>0</v>
      </c>
      <c r="AD144" s="258">
        <v>0</v>
      </c>
      <c r="AE144" s="258">
        <v>0</v>
      </c>
      <c r="AF144" s="257">
        <v>0</v>
      </c>
      <c r="AG144" s="258">
        <v>0</v>
      </c>
      <c r="AH144" s="257">
        <v>0</v>
      </c>
      <c r="AI144" s="258">
        <v>0</v>
      </c>
      <c r="AJ144" s="257">
        <v>0</v>
      </c>
      <c r="AK144" s="258">
        <v>0</v>
      </c>
      <c r="AL144" s="258">
        <v>0</v>
      </c>
      <c r="AM144" s="258">
        <v>0</v>
      </c>
      <c r="AN144" s="258"/>
      <c r="AO144" s="258">
        <v>0</v>
      </c>
    </row>
    <row r="145" spans="1:41" s="259" customFormat="1" ht="36" customHeight="1" x14ac:dyDescent="0.25">
      <c r="A145" s="259">
        <v>1</v>
      </c>
      <c r="B145" s="135">
        <f>SUBTOTAL(103,$A$16:A145)</f>
        <v>129</v>
      </c>
      <c r="C145" s="94" t="s">
        <v>1153</v>
      </c>
      <c r="D145" s="124">
        <v>1985</v>
      </c>
      <c r="E145" s="124">
        <v>2014</v>
      </c>
      <c r="F145" s="129" t="s">
        <v>269</v>
      </c>
      <c r="G145" s="124">
        <v>9</v>
      </c>
      <c r="H145" s="124" t="s">
        <v>314</v>
      </c>
      <c r="I145" s="128">
        <v>7073.4</v>
      </c>
      <c r="J145" s="128">
        <v>6236.1</v>
      </c>
      <c r="K145" s="128">
        <v>5330.6</v>
      </c>
      <c r="L145" s="126">
        <v>229</v>
      </c>
      <c r="M145" s="124" t="s">
        <v>267</v>
      </c>
      <c r="N145" s="124" t="s">
        <v>271</v>
      </c>
      <c r="O145" s="127" t="s">
        <v>1334</v>
      </c>
      <c r="P145" s="128">
        <v>285579.52000000002</v>
      </c>
      <c r="Q145" s="128">
        <v>0</v>
      </c>
      <c r="R145" s="128">
        <v>0</v>
      </c>
      <c r="S145" s="128">
        <f t="shared" si="13"/>
        <v>285579.52000000002</v>
      </c>
      <c r="T145" s="128">
        <f t="shared" si="16"/>
        <v>40.373726920575685</v>
      </c>
      <c r="U145" s="128">
        <v>86.17</v>
      </c>
      <c r="V145" s="257">
        <f t="shared" si="17"/>
        <v>45.796273079424317</v>
      </c>
      <c r="W145" s="257">
        <f t="shared" si="14"/>
        <v>4586.9399999999996</v>
      </c>
      <c r="X145" s="257">
        <v>101.55</v>
      </c>
      <c r="Y145" s="258">
        <v>245.44</v>
      </c>
      <c r="Z145" s="258">
        <v>3259.66</v>
      </c>
      <c r="AA145" s="258">
        <v>184.98</v>
      </c>
      <c r="AB145" s="258">
        <v>795.31</v>
      </c>
      <c r="AC145" s="258">
        <v>0</v>
      </c>
      <c r="AD145" s="258">
        <v>0</v>
      </c>
      <c r="AE145" s="258">
        <v>0</v>
      </c>
      <c r="AF145" s="257">
        <v>0</v>
      </c>
      <c r="AG145" s="258">
        <v>0</v>
      </c>
      <c r="AH145" s="257">
        <v>0</v>
      </c>
      <c r="AI145" s="258">
        <v>0</v>
      </c>
      <c r="AJ145" s="257">
        <v>0</v>
      </c>
      <c r="AK145" s="258">
        <v>0</v>
      </c>
      <c r="AL145" s="258">
        <v>0</v>
      </c>
      <c r="AM145" s="258">
        <v>0</v>
      </c>
      <c r="AN145" s="258"/>
      <c r="AO145" s="258">
        <v>0</v>
      </c>
    </row>
    <row r="146" spans="1:41" s="259" customFormat="1" ht="36" customHeight="1" x14ac:dyDescent="0.25">
      <c r="A146" s="259">
        <v>1</v>
      </c>
      <c r="B146" s="135">
        <f>SUBTOTAL(103,$A$16:A146)</f>
        <v>130</v>
      </c>
      <c r="C146" s="94" t="s">
        <v>1154</v>
      </c>
      <c r="D146" s="124">
        <v>1966</v>
      </c>
      <c r="E146" s="124"/>
      <c r="F146" s="129" t="s">
        <v>269</v>
      </c>
      <c r="G146" s="124">
        <v>2</v>
      </c>
      <c r="H146" s="124" t="s">
        <v>305</v>
      </c>
      <c r="I146" s="128">
        <v>787.5</v>
      </c>
      <c r="J146" s="128">
        <v>727.8</v>
      </c>
      <c r="K146" s="128">
        <v>727.8</v>
      </c>
      <c r="L146" s="126">
        <v>35</v>
      </c>
      <c r="M146" s="124" t="s">
        <v>267</v>
      </c>
      <c r="N146" s="124" t="s">
        <v>268</v>
      </c>
      <c r="O146" s="127" t="s">
        <v>270</v>
      </c>
      <c r="P146" s="128">
        <v>2415665.65</v>
      </c>
      <c r="Q146" s="128">
        <v>0</v>
      </c>
      <c r="R146" s="128">
        <v>0</v>
      </c>
      <c r="S146" s="128">
        <f t="shared" si="13"/>
        <v>2415665.65</v>
      </c>
      <c r="T146" s="128">
        <f t="shared" si="16"/>
        <v>3067.5119365079363</v>
      </c>
      <c r="U146" s="128">
        <v>4920.7080761904763</v>
      </c>
      <c r="V146" s="257">
        <f t="shared" si="17"/>
        <v>1853.19613968254</v>
      </c>
      <c r="W146" s="257">
        <f t="shared" si="14"/>
        <v>184.98</v>
      </c>
      <c r="X146" s="257">
        <v>0</v>
      </c>
      <c r="Y146" s="258">
        <v>0</v>
      </c>
      <c r="Z146" s="258">
        <v>0</v>
      </c>
      <c r="AA146" s="258">
        <v>184.98</v>
      </c>
      <c r="AB146" s="258">
        <v>0</v>
      </c>
      <c r="AC146" s="258">
        <v>0</v>
      </c>
      <c r="AD146" s="258">
        <v>0</v>
      </c>
      <c r="AE146" s="258">
        <v>0</v>
      </c>
      <c r="AF146" s="257">
        <v>0</v>
      </c>
      <c r="AG146" s="258">
        <v>0</v>
      </c>
      <c r="AH146" s="257">
        <v>0</v>
      </c>
      <c r="AI146" s="258">
        <v>0</v>
      </c>
      <c r="AJ146" s="257">
        <v>0</v>
      </c>
      <c r="AK146" s="258">
        <v>0</v>
      </c>
      <c r="AL146" s="258">
        <v>0</v>
      </c>
      <c r="AM146" s="258">
        <v>0</v>
      </c>
      <c r="AN146" s="258"/>
      <c r="AO146" s="258">
        <v>0</v>
      </c>
    </row>
    <row r="147" spans="1:41" s="259" customFormat="1" ht="36" customHeight="1" x14ac:dyDescent="0.25">
      <c r="A147" s="259">
        <v>1</v>
      </c>
      <c r="B147" s="135">
        <f>SUBTOTAL(103,$A$16:A147)</f>
        <v>131</v>
      </c>
      <c r="C147" s="94" t="s">
        <v>1290</v>
      </c>
      <c r="D147" s="124">
        <v>1977</v>
      </c>
      <c r="E147" s="124"/>
      <c r="F147" s="129" t="s">
        <v>320</v>
      </c>
      <c r="G147" s="124">
        <v>5</v>
      </c>
      <c r="H147" s="124" t="s">
        <v>2293</v>
      </c>
      <c r="I147" s="128">
        <v>6715.9</v>
      </c>
      <c r="J147" s="128">
        <v>6150.8</v>
      </c>
      <c r="K147" s="128">
        <v>6150.8</v>
      </c>
      <c r="L147" s="126">
        <v>309</v>
      </c>
      <c r="M147" s="124" t="s">
        <v>267</v>
      </c>
      <c r="N147" s="124" t="s">
        <v>271</v>
      </c>
      <c r="O147" s="127" t="s">
        <v>1358</v>
      </c>
      <c r="P147" s="128">
        <v>5623327.0800000001</v>
      </c>
      <c r="Q147" s="128">
        <v>0</v>
      </c>
      <c r="R147" s="128">
        <v>0</v>
      </c>
      <c r="S147" s="128">
        <f t="shared" si="13"/>
        <v>5623327.0800000001</v>
      </c>
      <c r="T147" s="128">
        <f t="shared" si="16"/>
        <v>837.31548712756296</v>
      </c>
      <c r="U147" s="128">
        <v>1395.2154124093568</v>
      </c>
      <c r="V147" s="257">
        <f t="shared" si="17"/>
        <v>557.8999252817938</v>
      </c>
      <c r="W147" s="257">
        <f t="shared" si="14"/>
        <v>575.03615152101736</v>
      </c>
      <c r="X147" s="257">
        <v>0</v>
      </c>
      <c r="Y147" s="258">
        <v>0</v>
      </c>
      <c r="Z147" s="258">
        <v>0</v>
      </c>
      <c r="AA147" s="258">
        <v>0</v>
      </c>
      <c r="AB147" s="258">
        <v>0</v>
      </c>
      <c r="AC147" s="258">
        <v>0</v>
      </c>
      <c r="AD147" s="258">
        <v>0</v>
      </c>
      <c r="AE147" s="258">
        <v>619</v>
      </c>
      <c r="AF147" s="257">
        <f>6238.91*AE147/I147</f>
        <v>575.03615152101736</v>
      </c>
      <c r="AG147" s="258">
        <v>0</v>
      </c>
      <c r="AH147" s="257">
        <v>0</v>
      </c>
      <c r="AI147" s="258">
        <v>0</v>
      </c>
      <c r="AJ147" s="257">
        <v>0</v>
      </c>
      <c r="AK147" s="258">
        <v>0</v>
      </c>
      <c r="AL147" s="258">
        <v>0</v>
      </c>
      <c r="AM147" s="258">
        <v>0</v>
      </c>
      <c r="AN147" s="258"/>
      <c r="AO147" s="258">
        <v>0</v>
      </c>
    </row>
    <row r="148" spans="1:41" s="259" customFormat="1" ht="36" customHeight="1" x14ac:dyDescent="0.25">
      <c r="A148" s="259">
        <v>1</v>
      </c>
      <c r="B148" s="135">
        <f>SUBTOTAL(103,$A$16:A148)</f>
        <v>132</v>
      </c>
      <c r="C148" s="94" t="s">
        <v>464</v>
      </c>
      <c r="D148" s="124">
        <v>1970</v>
      </c>
      <c r="E148" s="124"/>
      <c r="F148" s="129" t="s">
        <v>269</v>
      </c>
      <c r="G148" s="124">
        <v>2</v>
      </c>
      <c r="H148" s="124" t="s">
        <v>305</v>
      </c>
      <c r="I148" s="128">
        <v>794.7</v>
      </c>
      <c r="J148" s="128">
        <v>737.8</v>
      </c>
      <c r="K148" s="128">
        <v>737.8</v>
      </c>
      <c r="L148" s="126">
        <v>38</v>
      </c>
      <c r="M148" s="124" t="s">
        <v>267</v>
      </c>
      <c r="N148" s="124" t="s">
        <v>268</v>
      </c>
      <c r="O148" s="127" t="s">
        <v>270</v>
      </c>
      <c r="P148" s="128">
        <v>52567.68</v>
      </c>
      <c r="Q148" s="128">
        <v>0</v>
      </c>
      <c r="R148" s="128">
        <v>0</v>
      </c>
      <c r="S148" s="128">
        <f t="shared" si="13"/>
        <v>52567.68</v>
      </c>
      <c r="T148" s="128">
        <f t="shared" si="16"/>
        <v>66.147829369573415</v>
      </c>
      <c r="U148" s="128">
        <v>66.147829369573415</v>
      </c>
      <c r="V148" s="257">
        <f t="shared" si="17"/>
        <v>0</v>
      </c>
      <c r="W148" s="257">
        <f t="shared" si="14"/>
        <v>11750.692978230778</v>
      </c>
      <c r="X148" s="257">
        <v>0</v>
      </c>
      <c r="Y148" s="258">
        <v>0</v>
      </c>
      <c r="Z148" s="258">
        <v>0</v>
      </c>
      <c r="AA148" s="258">
        <v>0</v>
      </c>
      <c r="AB148" s="258">
        <v>0</v>
      </c>
      <c r="AC148" s="258">
        <v>0</v>
      </c>
      <c r="AD148" s="258">
        <v>0</v>
      </c>
      <c r="AE148" s="258">
        <v>1496.78</v>
      </c>
      <c r="AF148" s="257">
        <f>6238.91*AE148/I148</f>
        <v>11750.692978230778</v>
      </c>
      <c r="AG148" s="258">
        <v>0</v>
      </c>
      <c r="AH148" s="257">
        <v>0</v>
      </c>
      <c r="AI148" s="258">
        <v>0</v>
      </c>
      <c r="AJ148" s="257">
        <v>0</v>
      </c>
      <c r="AK148" s="258">
        <v>0</v>
      </c>
      <c r="AL148" s="258">
        <v>0</v>
      </c>
      <c r="AM148" s="258">
        <v>0</v>
      </c>
      <c r="AN148" s="258"/>
      <c r="AO148" s="258">
        <v>0</v>
      </c>
    </row>
    <row r="149" spans="1:41" s="259" customFormat="1" ht="36" customHeight="1" x14ac:dyDescent="0.25">
      <c r="A149" s="259">
        <v>1</v>
      </c>
      <c r="B149" s="135">
        <f>SUBTOTAL(103,$A$16:A149)</f>
        <v>133</v>
      </c>
      <c r="C149" s="94" t="s">
        <v>1291</v>
      </c>
      <c r="D149" s="124">
        <v>1978</v>
      </c>
      <c r="E149" s="124"/>
      <c r="F149" s="129" t="s">
        <v>332</v>
      </c>
      <c r="G149" s="124" t="s">
        <v>305</v>
      </c>
      <c r="H149" s="124" t="s">
        <v>314</v>
      </c>
      <c r="I149" s="128">
        <v>873.7</v>
      </c>
      <c r="J149" s="128">
        <v>873.7</v>
      </c>
      <c r="K149" s="128">
        <v>873.7</v>
      </c>
      <c r="L149" s="126">
        <v>31</v>
      </c>
      <c r="M149" s="124" t="s">
        <v>267</v>
      </c>
      <c r="N149" s="124" t="s">
        <v>268</v>
      </c>
      <c r="O149" s="127" t="s">
        <v>270</v>
      </c>
      <c r="P149" s="128">
        <v>61131.360000000001</v>
      </c>
      <c r="Q149" s="128">
        <v>0</v>
      </c>
      <c r="R149" s="128">
        <v>0</v>
      </c>
      <c r="S149" s="128">
        <f t="shared" si="13"/>
        <v>61131.360000000001</v>
      </c>
      <c r="T149" s="128">
        <f t="shared" si="16"/>
        <v>69.968364427148899</v>
      </c>
      <c r="U149" s="128">
        <v>69.968364427148899</v>
      </c>
      <c r="V149" s="257">
        <f t="shared" si="17"/>
        <v>0</v>
      </c>
      <c r="W149" s="257">
        <f>T149</f>
        <v>69.968364427148899</v>
      </c>
      <c r="X149" s="257">
        <v>0</v>
      </c>
      <c r="Y149" s="258">
        <v>0</v>
      </c>
      <c r="Z149" s="258">
        <v>0</v>
      </c>
      <c r="AA149" s="258">
        <v>0</v>
      </c>
      <c r="AB149" s="258">
        <v>0</v>
      </c>
      <c r="AC149" s="258">
        <v>0</v>
      </c>
      <c r="AD149" s="258">
        <v>0</v>
      </c>
      <c r="AE149" s="258">
        <v>625.1</v>
      </c>
      <c r="AF149" s="257">
        <f>6436.53*AE149/I149</f>
        <v>4605.098893212773</v>
      </c>
      <c r="AG149" s="258">
        <v>0</v>
      </c>
      <c r="AH149" s="257">
        <v>0</v>
      </c>
      <c r="AI149" s="258">
        <v>0</v>
      </c>
      <c r="AJ149" s="257">
        <v>0</v>
      </c>
      <c r="AK149" s="258">
        <v>0</v>
      </c>
      <c r="AL149" s="258">
        <v>0</v>
      </c>
      <c r="AM149" s="258">
        <v>0</v>
      </c>
      <c r="AN149" s="258"/>
      <c r="AO149" s="258">
        <v>0</v>
      </c>
    </row>
    <row r="150" spans="1:41" s="259" customFormat="1" ht="36" customHeight="1" x14ac:dyDescent="0.25">
      <c r="A150" s="259">
        <v>1</v>
      </c>
      <c r="B150" s="135">
        <f>SUBTOTAL(103,$A$16:A150)</f>
        <v>134</v>
      </c>
      <c r="C150" s="94" t="s">
        <v>1567</v>
      </c>
      <c r="D150" s="124">
        <v>1927</v>
      </c>
      <c r="E150" s="124"/>
      <c r="F150" s="129" t="s">
        <v>1585</v>
      </c>
      <c r="G150" s="124">
        <v>2</v>
      </c>
      <c r="H150" s="124" t="s">
        <v>305</v>
      </c>
      <c r="I150" s="128">
        <v>522.4</v>
      </c>
      <c r="J150" s="128">
        <v>474.6</v>
      </c>
      <c r="K150" s="128">
        <v>239.9</v>
      </c>
      <c r="L150" s="126">
        <v>7</v>
      </c>
      <c r="M150" s="124" t="s">
        <v>267</v>
      </c>
      <c r="N150" s="124" t="s">
        <v>271</v>
      </c>
      <c r="O150" s="127" t="s">
        <v>1584</v>
      </c>
      <c r="P150" s="128">
        <v>126394.06</v>
      </c>
      <c r="Q150" s="128">
        <v>0</v>
      </c>
      <c r="R150" s="128">
        <v>0</v>
      </c>
      <c r="S150" s="128">
        <f t="shared" si="13"/>
        <v>126394.06</v>
      </c>
      <c r="T150" s="128">
        <f t="shared" si="16"/>
        <v>241.9488131699847</v>
      </c>
      <c r="U150" s="128">
        <v>241.9488131699847</v>
      </c>
      <c r="V150" s="257">
        <f t="shared" si="17"/>
        <v>0</v>
      </c>
      <c r="W150" s="257">
        <f>T150</f>
        <v>241.9488131699847</v>
      </c>
      <c r="X150" s="257">
        <v>0</v>
      </c>
      <c r="Y150" s="258">
        <v>0</v>
      </c>
      <c r="Z150" s="258">
        <v>0</v>
      </c>
      <c r="AA150" s="258">
        <v>0</v>
      </c>
      <c r="AB150" s="258">
        <v>0</v>
      </c>
      <c r="AC150" s="258">
        <v>0</v>
      </c>
      <c r="AD150" s="258">
        <v>0</v>
      </c>
      <c r="AE150" s="258">
        <v>0</v>
      </c>
      <c r="AF150" s="257">
        <v>0</v>
      </c>
      <c r="AG150" s="258">
        <v>0</v>
      </c>
      <c r="AH150" s="257">
        <v>0</v>
      </c>
      <c r="AI150" s="258">
        <v>718.9</v>
      </c>
      <c r="AJ150" s="257">
        <f>3979.46*AI150/I150</f>
        <v>5476.3280895865237</v>
      </c>
      <c r="AK150" s="258">
        <v>0</v>
      </c>
      <c r="AL150" s="258">
        <v>0</v>
      </c>
      <c r="AM150" s="258">
        <v>0</v>
      </c>
      <c r="AN150" s="258"/>
      <c r="AO150" s="258">
        <v>0</v>
      </c>
    </row>
    <row r="151" spans="1:41" s="259" customFormat="1" ht="36" customHeight="1" x14ac:dyDescent="0.25">
      <c r="B151" s="94" t="s">
        <v>763</v>
      </c>
      <c r="C151" s="261"/>
      <c r="D151" s="124" t="s">
        <v>896</v>
      </c>
      <c r="E151" s="124" t="s">
        <v>896</v>
      </c>
      <c r="F151" s="124" t="s">
        <v>896</v>
      </c>
      <c r="G151" s="124" t="s">
        <v>896</v>
      </c>
      <c r="H151" s="124" t="s">
        <v>896</v>
      </c>
      <c r="I151" s="125">
        <f>SUM(I152:I196)</f>
        <v>122338.65999999997</v>
      </c>
      <c r="J151" s="125">
        <f>SUM(J152:J196)</f>
        <v>104282.45000000003</v>
      </c>
      <c r="K151" s="125">
        <f>SUM(K152:K196)</f>
        <v>101660.15000000001</v>
      </c>
      <c r="L151" s="126">
        <f>SUM(L152:L196)</f>
        <v>4539</v>
      </c>
      <c r="M151" s="124" t="s">
        <v>896</v>
      </c>
      <c r="N151" s="124" t="s">
        <v>896</v>
      </c>
      <c r="O151" s="127" t="s">
        <v>896</v>
      </c>
      <c r="P151" s="125">
        <v>115734825.99000001</v>
      </c>
      <c r="Q151" s="125">
        <f>SUM(Q152:Q196)</f>
        <v>0</v>
      </c>
      <c r="R151" s="125">
        <f>SUM(R152:R196)</f>
        <v>0</v>
      </c>
      <c r="S151" s="125">
        <f>SUM(S152:S196)</f>
        <v>115734825.99000001</v>
      </c>
      <c r="T151" s="128">
        <f t="shared" si="16"/>
        <v>946.02005604769613</v>
      </c>
      <c r="U151" s="128">
        <f>MAX(U152:U196)</f>
        <v>7697.4329007017313</v>
      </c>
      <c r="V151" s="257">
        <f t="shared" ref="V151:V209" si="18">U151-T151</f>
        <v>6751.4128446540353</v>
      </c>
      <c r="W151" s="257"/>
      <c r="X151" s="257"/>
      <c r="Y151" s="258"/>
      <c r="Z151" s="258"/>
      <c r="AA151" s="258"/>
      <c r="AB151" s="258"/>
      <c r="AC151" s="258"/>
      <c r="AD151" s="258"/>
      <c r="AE151" s="258"/>
      <c r="AF151" s="258"/>
      <c r="AG151" s="258"/>
      <c r="AH151" s="258"/>
      <c r="AI151" s="258"/>
      <c r="AJ151" s="258"/>
      <c r="AK151" s="258"/>
      <c r="AL151" s="258"/>
      <c r="AM151" s="258"/>
      <c r="AN151" s="258"/>
      <c r="AO151" s="258"/>
    </row>
    <row r="152" spans="1:41" s="259" customFormat="1" ht="36" customHeight="1" x14ac:dyDescent="0.25">
      <c r="A152" s="259">
        <v>1</v>
      </c>
      <c r="B152" s="135">
        <f>SUBTOTAL(103,$A$16:A152)</f>
        <v>135</v>
      </c>
      <c r="C152" s="94" t="s">
        <v>388</v>
      </c>
      <c r="D152" s="124">
        <v>1974</v>
      </c>
      <c r="E152" s="124"/>
      <c r="F152" s="129" t="s">
        <v>313</v>
      </c>
      <c r="G152" s="124">
        <v>5</v>
      </c>
      <c r="H152" s="124" t="s">
        <v>373</v>
      </c>
      <c r="I152" s="128">
        <v>4987.2</v>
      </c>
      <c r="J152" s="128">
        <v>4580.7</v>
      </c>
      <c r="K152" s="128">
        <v>4580.7</v>
      </c>
      <c r="L152" s="126">
        <v>117</v>
      </c>
      <c r="M152" s="124" t="s">
        <v>267</v>
      </c>
      <c r="N152" s="124" t="s">
        <v>271</v>
      </c>
      <c r="O152" s="127" t="s">
        <v>323</v>
      </c>
      <c r="P152" s="128">
        <v>2649277.08</v>
      </c>
      <c r="Q152" s="128">
        <v>0</v>
      </c>
      <c r="R152" s="128">
        <v>0</v>
      </c>
      <c r="S152" s="128">
        <f t="shared" ref="S152:S186" si="19">P152-Q152-R152</f>
        <v>2649277.08</v>
      </c>
      <c r="T152" s="128">
        <f t="shared" si="16"/>
        <v>531.21532723772862</v>
      </c>
      <c r="U152" s="128">
        <v>1392.0487460298364</v>
      </c>
      <c r="V152" s="257">
        <f t="shared" si="18"/>
        <v>860.83341879210775</v>
      </c>
      <c r="W152" s="257">
        <f t="shared" ref="W152:W195" si="20">X152+Y152+Z152+AA152+AB152+AD152+AF152+AH152+AJ152+AL152+AN152+AO152</f>
        <v>1387.3168134023099</v>
      </c>
      <c r="X152" s="257">
        <v>0</v>
      </c>
      <c r="Y152" s="258">
        <v>0</v>
      </c>
      <c r="Z152" s="258">
        <v>0</v>
      </c>
      <c r="AA152" s="258">
        <v>0</v>
      </c>
      <c r="AB152" s="258">
        <v>0</v>
      </c>
      <c r="AC152" s="258">
        <v>0</v>
      </c>
      <c r="AD152" s="258">
        <v>0</v>
      </c>
      <c r="AE152" s="258">
        <v>1108.98</v>
      </c>
      <c r="AF152" s="257">
        <f>6238.91*AE152/I152</f>
        <v>1387.3168134023099</v>
      </c>
      <c r="AG152" s="258">
        <v>0</v>
      </c>
      <c r="AH152" s="257">
        <v>0</v>
      </c>
      <c r="AI152" s="258">
        <v>0</v>
      </c>
      <c r="AJ152" s="257">
        <v>0</v>
      </c>
      <c r="AK152" s="258">
        <v>0</v>
      </c>
      <c r="AL152" s="258">
        <v>0</v>
      </c>
      <c r="AM152" s="258">
        <v>0</v>
      </c>
      <c r="AN152" s="258"/>
      <c r="AO152" s="258">
        <v>0</v>
      </c>
    </row>
    <row r="153" spans="1:41" s="259" customFormat="1" ht="36" customHeight="1" x14ac:dyDescent="0.25">
      <c r="A153" s="259">
        <v>1</v>
      </c>
      <c r="B153" s="135">
        <f>SUBTOTAL(103,$A$16:A153)</f>
        <v>136</v>
      </c>
      <c r="C153" s="94" t="s">
        <v>389</v>
      </c>
      <c r="D153" s="124">
        <v>1975</v>
      </c>
      <c r="E153" s="124"/>
      <c r="F153" s="129" t="s">
        <v>313</v>
      </c>
      <c r="G153" s="124">
        <v>5</v>
      </c>
      <c r="H153" s="124" t="s">
        <v>2293</v>
      </c>
      <c r="I153" s="128">
        <v>6679</v>
      </c>
      <c r="J153" s="128">
        <v>6109.3</v>
      </c>
      <c r="K153" s="128">
        <v>6109.3</v>
      </c>
      <c r="L153" s="126">
        <v>285</v>
      </c>
      <c r="M153" s="124" t="s">
        <v>267</v>
      </c>
      <c r="N153" s="124" t="s">
        <v>271</v>
      </c>
      <c r="O153" s="127" t="s">
        <v>996</v>
      </c>
      <c r="P153" s="128">
        <v>2599693.37</v>
      </c>
      <c r="Q153" s="128">
        <v>0</v>
      </c>
      <c r="R153" s="128">
        <v>0</v>
      </c>
      <c r="S153" s="128">
        <f t="shared" si="19"/>
        <v>2599693.37</v>
      </c>
      <c r="T153" s="128">
        <f t="shared" si="16"/>
        <v>389.23392274292559</v>
      </c>
      <c r="U153" s="128">
        <v>3635.5</v>
      </c>
      <c r="V153" s="257">
        <f t="shared" si="18"/>
        <v>3246.2660772570744</v>
      </c>
      <c r="W153" s="257">
        <f t="shared" si="20"/>
        <v>3606.6499999999996</v>
      </c>
      <c r="X153" s="257">
        <v>101.55</v>
      </c>
      <c r="Y153" s="258">
        <v>245.44</v>
      </c>
      <c r="Z153" s="258">
        <v>3259.66</v>
      </c>
      <c r="AA153" s="258">
        <v>0</v>
      </c>
      <c r="AB153" s="258">
        <v>0</v>
      </c>
      <c r="AC153" s="258">
        <v>0</v>
      </c>
      <c r="AD153" s="258">
        <v>0</v>
      </c>
      <c r="AE153" s="258">
        <v>0</v>
      </c>
      <c r="AF153" s="257">
        <v>0</v>
      </c>
      <c r="AG153" s="258">
        <v>0</v>
      </c>
      <c r="AH153" s="257">
        <v>0</v>
      </c>
      <c r="AI153" s="258">
        <v>0</v>
      </c>
      <c r="AJ153" s="257">
        <v>0</v>
      </c>
      <c r="AK153" s="258">
        <v>0</v>
      </c>
      <c r="AL153" s="258">
        <v>0</v>
      </c>
      <c r="AM153" s="258">
        <v>0</v>
      </c>
      <c r="AN153" s="258"/>
      <c r="AO153" s="258">
        <v>0</v>
      </c>
    </row>
    <row r="154" spans="1:41" s="259" customFormat="1" ht="36" customHeight="1" x14ac:dyDescent="0.25">
      <c r="A154" s="259">
        <v>1</v>
      </c>
      <c r="B154" s="135">
        <f>SUBTOTAL(103,$A$16:A154)</f>
        <v>137</v>
      </c>
      <c r="C154" s="94" t="s">
        <v>390</v>
      </c>
      <c r="D154" s="124">
        <v>1954</v>
      </c>
      <c r="E154" s="124"/>
      <c r="F154" s="129" t="s">
        <v>269</v>
      </c>
      <c r="G154" s="124">
        <v>2</v>
      </c>
      <c r="H154" s="124" t="s">
        <v>314</v>
      </c>
      <c r="I154" s="128">
        <v>641.79999999999995</v>
      </c>
      <c r="J154" s="128">
        <v>552.29999999999995</v>
      </c>
      <c r="K154" s="128">
        <v>552.29999999999995</v>
      </c>
      <c r="L154" s="126">
        <v>34</v>
      </c>
      <c r="M154" s="124" t="s">
        <v>267</v>
      </c>
      <c r="N154" s="124" t="s">
        <v>271</v>
      </c>
      <c r="O154" s="127" t="s">
        <v>323</v>
      </c>
      <c r="P154" s="128">
        <v>3188621.1</v>
      </c>
      <c r="Q154" s="128">
        <v>0</v>
      </c>
      <c r="R154" s="128">
        <v>0</v>
      </c>
      <c r="S154" s="128">
        <f t="shared" si="19"/>
        <v>3188621.1</v>
      </c>
      <c r="T154" s="128">
        <f t="shared" si="16"/>
        <v>4968.2472732938613</v>
      </c>
      <c r="U154" s="128">
        <v>5852.4680585852284</v>
      </c>
      <c r="V154" s="257">
        <f t="shared" si="18"/>
        <v>884.22078529136706</v>
      </c>
      <c r="W154" s="257">
        <f t="shared" si="20"/>
        <v>5832.5740105952018</v>
      </c>
      <c r="X154" s="257">
        <v>0</v>
      </c>
      <c r="Y154" s="258">
        <v>0</v>
      </c>
      <c r="Z154" s="258">
        <v>0</v>
      </c>
      <c r="AA154" s="258">
        <v>0</v>
      </c>
      <c r="AB154" s="258">
        <v>0</v>
      </c>
      <c r="AC154" s="258">
        <v>0</v>
      </c>
      <c r="AD154" s="258">
        <v>0</v>
      </c>
      <c r="AE154" s="258">
        <v>600</v>
      </c>
      <c r="AF154" s="257">
        <f>6238.91*AE154/I154</f>
        <v>5832.5740105952018</v>
      </c>
      <c r="AG154" s="258">
        <v>0</v>
      </c>
      <c r="AH154" s="257">
        <v>0</v>
      </c>
      <c r="AI154" s="258">
        <v>0</v>
      </c>
      <c r="AJ154" s="257">
        <v>0</v>
      </c>
      <c r="AK154" s="258">
        <v>0</v>
      </c>
      <c r="AL154" s="258">
        <v>0</v>
      </c>
      <c r="AM154" s="258">
        <v>0</v>
      </c>
      <c r="AN154" s="258"/>
      <c r="AO154" s="258">
        <v>0</v>
      </c>
    </row>
    <row r="155" spans="1:41" s="259" customFormat="1" ht="36" customHeight="1" x14ac:dyDescent="0.25">
      <c r="A155" s="259">
        <v>1</v>
      </c>
      <c r="B155" s="135">
        <f>SUBTOTAL(103,$A$16:A155)</f>
        <v>138</v>
      </c>
      <c r="C155" s="94" t="s">
        <v>391</v>
      </c>
      <c r="D155" s="124">
        <v>1975</v>
      </c>
      <c r="E155" s="124"/>
      <c r="F155" s="129" t="s">
        <v>269</v>
      </c>
      <c r="G155" s="124">
        <v>5</v>
      </c>
      <c r="H155" s="124" t="s">
        <v>310</v>
      </c>
      <c r="I155" s="128">
        <v>3325.2</v>
      </c>
      <c r="J155" s="128">
        <v>3325.2</v>
      </c>
      <c r="K155" s="128">
        <v>3325.2</v>
      </c>
      <c r="L155" s="126">
        <v>111</v>
      </c>
      <c r="M155" s="124" t="s">
        <v>267</v>
      </c>
      <c r="N155" s="124" t="s">
        <v>271</v>
      </c>
      <c r="O155" s="127" t="s">
        <v>324</v>
      </c>
      <c r="P155" s="128">
        <v>5265781.6800000006</v>
      </c>
      <c r="Q155" s="128">
        <v>0</v>
      </c>
      <c r="R155" s="128">
        <v>0</v>
      </c>
      <c r="S155" s="128">
        <f t="shared" si="19"/>
        <v>5265781.6800000006</v>
      </c>
      <c r="T155" s="128">
        <f t="shared" si="16"/>
        <v>1583.5984843016963</v>
      </c>
      <c r="U155" s="128">
        <v>2057.7371797185133</v>
      </c>
      <c r="V155" s="257">
        <f t="shared" si="18"/>
        <v>474.13869541681697</v>
      </c>
      <c r="W155" s="257">
        <f t="shared" si="20"/>
        <v>2050.7424004571153</v>
      </c>
      <c r="X155" s="257">
        <v>0</v>
      </c>
      <c r="Y155" s="258">
        <v>0</v>
      </c>
      <c r="Z155" s="258">
        <v>0</v>
      </c>
      <c r="AA155" s="258">
        <v>0</v>
      </c>
      <c r="AB155" s="258">
        <v>0</v>
      </c>
      <c r="AC155" s="258">
        <v>0</v>
      </c>
      <c r="AD155" s="258">
        <v>0</v>
      </c>
      <c r="AE155" s="258">
        <v>1093</v>
      </c>
      <c r="AF155" s="257">
        <f>6238.91*AE155/I155</f>
        <v>2050.7424004571153</v>
      </c>
      <c r="AG155" s="258">
        <v>0</v>
      </c>
      <c r="AH155" s="257">
        <v>0</v>
      </c>
      <c r="AI155" s="258">
        <v>0</v>
      </c>
      <c r="AJ155" s="257">
        <v>0</v>
      </c>
      <c r="AK155" s="258">
        <v>0</v>
      </c>
      <c r="AL155" s="258">
        <v>0</v>
      </c>
      <c r="AM155" s="258">
        <v>0</v>
      </c>
      <c r="AN155" s="258"/>
      <c r="AO155" s="258">
        <v>0</v>
      </c>
    </row>
    <row r="156" spans="1:41" s="259" customFormat="1" ht="36" customHeight="1" x14ac:dyDescent="0.25">
      <c r="A156" s="259">
        <v>1</v>
      </c>
      <c r="B156" s="135">
        <f>SUBTOTAL(103,$A$16:A156)</f>
        <v>139</v>
      </c>
      <c r="C156" s="94" t="s">
        <v>392</v>
      </c>
      <c r="D156" s="124">
        <v>1966</v>
      </c>
      <c r="E156" s="124"/>
      <c r="F156" s="129" t="s">
        <v>269</v>
      </c>
      <c r="G156" s="124">
        <v>4</v>
      </c>
      <c r="H156" s="124" t="s">
        <v>310</v>
      </c>
      <c r="I156" s="128">
        <v>2747.7</v>
      </c>
      <c r="J156" s="128">
        <v>2553.9</v>
      </c>
      <c r="K156" s="128">
        <v>2553.9</v>
      </c>
      <c r="L156" s="126">
        <v>120</v>
      </c>
      <c r="M156" s="124" t="s">
        <v>267</v>
      </c>
      <c r="N156" s="124" t="s">
        <v>271</v>
      </c>
      <c r="O156" s="127" t="s">
        <v>996</v>
      </c>
      <c r="P156" s="128">
        <v>5393074.9299999997</v>
      </c>
      <c r="Q156" s="128">
        <v>0</v>
      </c>
      <c r="R156" s="128">
        <v>0</v>
      </c>
      <c r="S156" s="128">
        <f t="shared" si="19"/>
        <v>5393074.9299999997</v>
      </c>
      <c r="T156" s="128">
        <f t="shared" si="16"/>
        <v>1962.7597372347782</v>
      </c>
      <c r="U156" s="128">
        <v>2489.1756678676711</v>
      </c>
      <c r="V156" s="257">
        <f t="shared" si="18"/>
        <v>526.41593063289292</v>
      </c>
      <c r="W156" s="257">
        <f t="shared" si="20"/>
        <v>2216.0993412672419</v>
      </c>
      <c r="X156" s="257">
        <v>0</v>
      </c>
      <c r="Y156" s="258">
        <v>0</v>
      </c>
      <c r="Z156" s="258">
        <v>0</v>
      </c>
      <c r="AA156" s="258">
        <v>0</v>
      </c>
      <c r="AB156" s="258">
        <v>0</v>
      </c>
      <c r="AC156" s="258">
        <v>0</v>
      </c>
      <c r="AD156" s="258">
        <v>0</v>
      </c>
      <c r="AE156" s="258">
        <v>976</v>
      </c>
      <c r="AF156" s="257">
        <f>6238.91*AE156/I156</f>
        <v>2216.0993412672419</v>
      </c>
      <c r="AG156" s="258">
        <v>0</v>
      </c>
      <c r="AH156" s="257">
        <v>0</v>
      </c>
      <c r="AI156" s="258">
        <v>0</v>
      </c>
      <c r="AJ156" s="257">
        <v>0</v>
      </c>
      <c r="AK156" s="258">
        <v>0</v>
      </c>
      <c r="AL156" s="258">
        <v>0</v>
      </c>
      <c r="AM156" s="258">
        <v>0</v>
      </c>
      <c r="AN156" s="258"/>
      <c r="AO156" s="258">
        <v>0</v>
      </c>
    </row>
    <row r="157" spans="1:41" s="259" customFormat="1" ht="36" customHeight="1" x14ac:dyDescent="0.25">
      <c r="A157" s="259">
        <v>1</v>
      </c>
      <c r="B157" s="135">
        <f>SUBTOTAL(103,$A$16:A157)</f>
        <v>140</v>
      </c>
      <c r="C157" s="94" t="s">
        <v>393</v>
      </c>
      <c r="D157" s="124" t="s">
        <v>325</v>
      </c>
      <c r="E157" s="124"/>
      <c r="F157" s="129" t="s">
        <v>269</v>
      </c>
      <c r="G157" s="124">
        <v>9</v>
      </c>
      <c r="H157" s="124" t="s">
        <v>314</v>
      </c>
      <c r="I157" s="128">
        <v>6434.3</v>
      </c>
      <c r="J157" s="128">
        <v>5754.2</v>
      </c>
      <c r="K157" s="128">
        <v>5754.2</v>
      </c>
      <c r="L157" s="126">
        <v>247</v>
      </c>
      <c r="M157" s="124" t="s">
        <v>267</v>
      </c>
      <c r="N157" s="124" t="s">
        <v>271</v>
      </c>
      <c r="O157" s="127" t="s">
        <v>324</v>
      </c>
      <c r="P157" s="128">
        <v>4873547.67</v>
      </c>
      <c r="Q157" s="128">
        <v>0</v>
      </c>
      <c r="R157" s="128">
        <v>0</v>
      </c>
      <c r="S157" s="128">
        <f t="shared" si="19"/>
        <v>4873547.67</v>
      </c>
      <c r="T157" s="128">
        <f t="shared" si="16"/>
        <v>757.43245885333283</v>
      </c>
      <c r="U157" s="128">
        <v>1145.9521626284134</v>
      </c>
      <c r="V157" s="257">
        <f t="shared" si="18"/>
        <v>388.51970377508053</v>
      </c>
      <c r="W157" s="257">
        <f t="shared" si="20"/>
        <v>1145.9521626284134</v>
      </c>
      <c r="X157" s="257">
        <v>0</v>
      </c>
      <c r="Y157" s="258">
        <v>0</v>
      </c>
      <c r="Z157" s="258">
        <v>0</v>
      </c>
      <c r="AA157" s="258">
        <v>0</v>
      </c>
      <c r="AB157" s="258">
        <v>0</v>
      </c>
      <c r="AC157" s="258">
        <v>3</v>
      </c>
      <c r="AD157" s="257">
        <f>2457800*AC157/I157</f>
        <v>1145.9521626284134</v>
      </c>
      <c r="AE157" s="258">
        <v>0</v>
      </c>
      <c r="AF157" s="257">
        <v>0</v>
      </c>
      <c r="AG157" s="258">
        <v>0</v>
      </c>
      <c r="AH157" s="257">
        <v>0</v>
      </c>
      <c r="AI157" s="258">
        <v>0</v>
      </c>
      <c r="AJ157" s="257">
        <v>0</v>
      </c>
      <c r="AK157" s="258">
        <v>0</v>
      </c>
      <c r="AL157" s="258">
        <v>0</v>
      </c>
      <c r="AM157" s="258">
        <v>0</v>
      </c>
      <c r="AN157" s="258"/>
      <c r="AO157" s="258">
        <v>0</v>
      </c>
    </row>
    <row r="158" spans="1:41" s="259" customFormat="1" ht="36" customHeight="1" x14ac:dyDescent="0.25">
      <c r="A158" s="259">
        <v>1</v>
      </c>
      <c r="B158" s="135">
        <f>SUBTOTAL(103,$A$16:A158)</f>
        <v>141</v>
      </c>
      <c r="C158" s="94" t="s">
        <v>394</v>
      </c>
      <c r="D158" s="124">
        <v>1949</v>
      </c>
      <c r="E158" s="124"/>
      <c r="F158" s="129" t="s">
        <v>326</v>
      </c>
      <c r="G158" s="124">
        <v>2</v>
      </c>
      <c r="H158" s="124" t="s">
        <v>306</v>
      </c>
      <c r="I158" s="128">
        <v>499.5</v>
      </c>
      <c r="J158" s="128">
        <v>450.4</v>
      </c>
      <c r="K158" s="128">
        <v>450.4</v>
      </c>
      <c r="L158" s="126">
        <v>16</v>
      </c>
      <c r="M158" s="124" t="s">
        <v>267</v>
      </c>
      <c r="N158" s="124" t="s">
        <v>268</v>
      </c>
      <c r="O158" s="127" t="s">
        <v>270</v>
      </c>
      <c r="P158" s="128">
        <v>2215482.85</v>
      </c>
      <c r="Q158" s="128">
        <v>0</v>
      </c>
      <c r="R158" s="128">
        <v>0</v>
      </c>
      <c r="S158" s="128">
        <f t="shared" si="19"/>
        <v>2215482.85</v>
      </c>
      <c r="T158" s="128">
        <f t="shared" si="16"/>
        <v>4435.4011011011016</v>
      </c>
      <c r="U158" s="128">
        <v>5562.1067507507505</v>
      </c>
      <c r="V158" s="257">
        <f t="shared" si="18"/>
        <v>1126.7056496496489</v>
      </c>
      <c r="W158" s="257">
        <f t="shared" si="20"/>
        <v>5543.1997157157157</v>
      </c>
      <c r="X158" s="257">
        <v>0</v>
      </c>
      <c r="Y158" s="258">
        <v>0</v>
      </c>
      <c r="Z158" s="258">
        <v>0</v>
      </c>
      <c r="AA158" s="258">
        <v>0</v>
      </c>
      <c r="AB158" s="258">
        <v>0</v>
      </c>
      <c r="AC158" s="258">
        <v>0</v>
      </c>
      <c r="AD158" s="258">
        <v>0</v>
      </c>
      <c r="AE158" s="258">
        <v>443.8</v>
      </c>
      <c r="AF158" s="257">
        <f>6238.91*AE158/I158</f>
        <v>5543.1997157157157</v>
      </c>
      <c r="AG158" s="258">
        <v>0</v>
      </c>
      <c r="AH158" s="257">
        <v>0</v>
      </c>
      <c r="AI158" s="258">
        <v>0</v>
      </c>
      <c r="AJ158" s="257">
        <v>0</v>
      </c>
      <c r="AK158" s="258">
        <v>0</v>
      </c>
      <c r="AL158" s="258">
        <v>0</v>
      </c>
      <c r="AM158" s="258">
        <v>0</v>
      </c>
      <c r="AN158" s="258"/>
      <c r="AO158" s="258">
        <v>0</v>
      </c>
    </row>
    <row r="159" spans="1:41" s="259" customFormat="1" ht="36" customHeight="1" x14ac:dyDescent="0.25">
      <c r="A159" s="259">
        <v>1</v>
      </c>
      <c r="B159" s="135">
        <f>SUBTOTAL(103,$A$16:A159)</f>
        <v>142</v>
      </c>
      <c r="C159" s="94" t="s">
        <v>395</v>
      </c>
      <c r="D159" s="124">
        <v>1992</v>
      </c>
      <c r="E159" s="124"/>
      <c r="F159" s="129" t="s">
        <v>269</v>
      </c>
      <c r="G159" s="124">
        <v>9</v>
      </c>
      <c r="H159" s="124" t="s">
        <v>314</v>
      </c>
      <c r="I159" s="128">
        <v>6502.8</v>
      </c>
      <c r="J159" s="128">
        <v>5914.7</v>
      </c>
      <c r="K159" s="128">
        <v>5914.7</v>
      </c>
      <c r="L159" s="126">
        <v>287</v>
      </c>
      <c r="M159" s="124" t="s">
        <v>267</v>
      </c>
      <c r="N159" s="124" t="s">
        <v>271</v>
      </c>
      <c r="O159" s="127" t="s">
        <v>996</v>
      </c>
      <c r="P159" s="128">
        <v>4885396.4400000004</v>
      </c>
      <c r="Q159" s="128">
        <v>0</v>
      </c>
      <c r="R159" s="128">
        <v>0</v>
      </c>
      <c r="S159" s="128">
        <f t="shared" si="19"/>
        <v>4885396.4400000004</v>
      </c>
      <c r="T159" s="128">
        <f t="shared" si="16"/>
        <v>751.27582579811781</v>
      </c>
      <c r="U159" s="128">
        <v>1133.8807898136188</v>
      </c>
      <c r="V159" s="257">
        <f t="shared" si="18"/>
        <v>382.60496401550097</v>
      </c>
      <c r="W159" s="257">
        <f t="shared" si="20"/>
        <v>1133.8807898136188</v>
      </c>
      <c r="X159" s="257">
        <v>0</v>
      </c>
      <c r="Y159" s="258">
        <v>0</v>
      </c>
      <c r="Z159" s="258">
        <v>0</v>
      </c>
      <c r="AA159" s="258">
        <v>0</v>
      </c>
      <c r="AB159" s="258">
        <v>0</v>
      </c>
      <c r="AC159" s="258">
        <v>3</v>
      </c>
      <c r="AD159" s="257">
        <f>2457800*AC159/I159</f>
        <v>1133.8807898136188</v>
      </c>
      <c r="AE159" s="258">
        <v>0</v>
      </c>
      <c r="AF159" s="257">
        <v>0</v>
      </c>
      <c r="AG159" s="258">
        <v>0</v>
      </c>
      <c r="AH159" s="257">
        <v>0</v>
      </c>
      <c r="AI159" s="258">
        <v>0</v>
      </c>
      <c r="AJ159" s="257">
        <v>0</v>
      </c>
      <c r="AK159" s="258">
        <v>0</v>
      </c>
      <c r="AL159" s="258">
        <v>0</v>
      </c>
      <c r="AM159" s="258">
        <v>0</v>
      </c>
      <c r="AN159" s="258"/>
      <c r="AO159" s="258">
        <v>0</v>
      </c>
    </row>
    <row r="160" spans="1:41" s="259" customFormat="1" ht="36" customHeight="1" x14ac:dyDescent="0.25">
      <c r="A160" s="259">
        <v>1</v>
      </c>
      <c r="B160" s="135">
        <f>SUBTOTAL(103,$A$16:A160)</f>
        <v>143</v>
      </c>
      <c r="C160" s="94" t="s">
        <v>396</v>
      </c>
      <c r="D160" s="124">
        <v>1974</v>
      </c>
      <c r="E160" s="124"/>
      <c r="F160" s="129" t="s">
        <v>269</v>
      </c>
      <c r="G160" s="124">
        <v>5</v>
      </c>
      <c r="H160" s="124" t="s">
        <v>373</v>
      </c>
      <c r="I160" s="128">
        <v>5896.3</v>
      </c>
      <c r="J160" s="128">
        <v>4495.2</v>
      </c>
      <c r="K160" s="128">
        <v>4495.2</v>
      </c>
      <c r="L160" s="126">
        <v>192</v>
      </c>
      <c r="M160" s="124" t="s">
        <v>267</v>
      </c>
      <c r="N160" s="124" t="s">
        <v>271</v>
      </c>
      <c r="O160" s="127" t="s">
        <v>327</v>
      </c>
      <c r="P160" s="128">
        <v>7884254.25</v>
      </c>
      <c r="Q160" s="128">
        <v>0</v>
      </c>
      <c r="R160" s="128">
        <v>0</v>
      </c>
      <c r="S160" s="128">
        <f t="shared" si="19"/>
        <v>7884254.25</v>
      </c>
      <c r="T160" s="128">
        <f t="shared" si="16"/>
        <v>1337.1528331326424</v>
      </c>
      <c r="U160" s="128">
        <v>1595.8106913657716</v>
      </c>
      <c r="V160" s="257">
        <f t="shared" si="18"/>
        <v>258.65785823312922</v>
      </c>
      <c r="W160" s="257">
        <f t="shared" si="20"/>
        <v>1590.3861193460305</v>
      </c>
      <c r="X160" s="257">
        <v>0</v>
      </c>
      <c r="Y160" s="258">
        <v>0</v>
      </c>
      <c r="Z160" s="258">
        <v>0</v>
      </c>
      <c r="AA160" s="258">
        <v>0</v>
      </c>
      <c r="AB160" s="258">
        <v>0</v>
      </c>
      <c r="AC160" s="258">
        <v>0</v>
      </c>
      <c r="AD160" s="258">
        <v>0</v>
      </c>
      <c r="AE160" s="258">
        <v>1503.05</v>
      </c>
      <c r="AF160" s="257">
        <f>6238.91*AE160/I160</f>
        <v>1590.3861193460305</v>
      </c>
      <c r="AG160" s="258">
        <v>0</v>
      </c>
      <c r="AH160" s="257">
        <v>0</v>
      </c>
      <c r="AI160" s="258">
        <v>0</v>
      </c>
      <c r="AJ160" s="257">
        <v>0</v>
      </c>
      <c r="AK160" s="258">
        <v>0</v>
      </c>
      <c r="AL160" s="258">
        <v>0</v>
      </c>
      <c r="AM160" s="258">
        <v>0</v>
      </c>
      <c r="AN160" s="258"/>
      <c r="AO160" s="258">
        <v>0</v>
      </c>
    </row>
    <row r="161" spans="1:41" s="259" customFormat="1" ht="36" customHeight="1" x14ac:dyDescent="0.25">
      <c r="A161" s="259">
        <v>1</v>
      </c>
      <c r="B161" s="135">
        <f>SUBTOTAL(103,$A$16:A161)</f>
        <v>144</v>
      </c>
      <c r="C161" s="94" t="s">
        <v>397</v>
      </c>
      <c r="D161" s="124">
        <v>1974</v>
      </c>
      <c r="E161" s="124"/>
      <c r="F161" s="129" t="s">
        <v>269</v>
      </c>
      <c r="G161" s="124">
        <v>5</v>
      </c>
      <c r="H161" s="124" t="s">
        <v>310</v>
      </c>
      <c r="I161" s="128">
        <v>3647.3</v>
      </c>
      <c r="J161" s="128">
        <v>3647.3</v>
      </c>
      <c r="K161" s="128">
        <v>2672.9</v>
      </c>
      <c r="L161" s="126">
        <v>113</v>
      </c>
      <c r="M161" s="124" t="s">
        <v>267</v>
      </c>
      <c r="N161" s="124" t="s">
        <v>271</v>
      </c>
      <c r="O161" s="127" t="s">
        <v>328</v>
      </c>
      <c r="P161" s="128">
        <v>2908813.4299999997</v>
      </c>
      <c r="Q161" s="128">
        <v>0</v>
      </c>
      <c r="R161" s="128">
        <v>0</v>
      </c>
      <c r="S161" s="128">
        <f t="shared" si="19"/>
        <v>2908813.4299999997</v>
      </c>
      <c r="T161" s="128">
        <f t="shared" si="16"/>
        <v>797.52513640227005</v>
      </c>
      <c r="U161" s="128">
        <v>1605.2024488799932</v>
      </c>
      <c r="V161" s="257">
        <f t="shared" si="18"/>
        <v>807.67731247772315</v>
      </c>
      <c r="W161" s="257">
        <f t="shared" si="20"/>
        <v>1599.7459518547967</v>
      </c>
      <c r="X161" s="257">
        <v>0</v>
      </c>
      <c r="Y161" s="258">
        <v>0</v>
      </c>
      <c r="Z161" s="258">
        <v>0</v>
      </c>
      <c r="AA161" s="258">
        <v>0</v>
      </c>
      <c r="AB161" s="258">
        <v>0</v>
      </c>
      <c r="AC161" s="258">
        <v>0</v>
      </c>
      <c r="AD161" s="258">
        <v>0</v>
      </c>
      <c r="AE161" s="258">
        <v>935.22</v>
      </c>
      <c r="AF161" s="257">
        <f>6238.91*AE161/I161</f>
        <v>1599.7459518547967</v>
      </c>
      <c r="AG161" s="258">
        <v>0</v>
      </c>
      <c r="AH161" s="257">
        <v>0</v>
      </c>
      <c r="AI161" s="258">
        <v>0</v>
      </c>
      <c r="AJ161" s="257">
        <v>0</v>
      </c>
      <c r="AK161" s="258">
        <v>0</v>
      </c>
      <c r="AL161" s="258">
        <v>0</v>
      </c>
      <c r="AM161" s="258">
        <v>0</v>
      </c>
      <c r="AN161" s="258"/>
      <c r="AO161" s="258">
        <v>0</v>
      </c>
    </row>
    <row r="162" spans="1:41" s="259" customFormat="1" ht="36" customHeight="1" x14ac:dyDescent="0.25">
      <c r="A162" s="259">
        <v>1</v>
      </c>
      <c r="B162" s="135">
        <f>SUBTOTAL(103,$A$16:A162)</f>
        <v>145</v>
      </c>
      <c r="C162" s="94" t="s">
        <v>398</v>
      </c>
      <c r="D162" s="124">
        <v>1958</v>
      </c>
      <c r="E162" s="124"/>
      <c r="F162" s="129" t="s">
        <v>269</v>
      </c>
      <c r="G162" s="124">
        <v>2</v>
      </c>
      <c r="H162" s="124" t="s">
        <v>305</v>
      </c>
      <c r="I162" s="128">
        <v>592.70000000000005</v>
      </c>
      <c r="J162" s="128">
        <v>548</v>
      </c>
      <c r="K162" s="128">
        <v>548</v>
      </c>
      <c r="L162" s="126">
        <v>26</v>
      </c>
      <c r="M162" s="124" t="s">
        <v>267</v>
      </c>
      <c r="N162" s="124" t="s">
        <v>268</v>
      </c>
      <c r="O162" s="127" t="s">
        <v>270</v>
      </c>
      <c r="P162" s="128">
        <v>2189551</v>
      </c>
      <c r="Q162" s="128">
        <v>0</v>
      </c>
      <c r="R162" s="128">
        <v>0</v>
      </c>
      <c r="S162" s="128">
        <f t="shared" si="19"/>
        <v>2189551</v>
      </c>
      <c r="T162" s="128">
        <f t="shared" si="16"/>
        <v>3694.197739159777</v>
      </c>
      <c r="U162" s="128">
        <v>4995.8998987683472</v>
      </c>
      <c r="V162" s="257">
        <f t="shared" si="18"/>
        <v>1301.7021596085701</v>
      </c>
      <c r="W162" s="257">
        <f t="shared" si="20"/>
        <v>4978.9175468196381</v>
      </c>
      <c r="X162" s="257">
        <v>0</v>
      </c>
      <c r="Y162" s="258">
        <v>0</v>
      </c>
      <c r="Z162" s="258">
        <v>0</v>
      </c>
      <c r="AA162" s="258">
        <v>0</v>
      </c>
      <c r="AB162" s="258">
        <v>0</v>
      </c>
      <c r="AC162" s="258">
        <v>0</v>
      </c>
      <c r="AD162" s="258">
        <v>0</v>
      </c>
      <c r="AE162" s="258">
        <v>473</v>
      </c>
      <c r="AF162" s="257">
        <f>6238.91*AE162/I162</f>
        <v>4978.9175468196381</v>
      </c>
      <c r="AG162" s="258">
        <v>0</v>
      </c>
      <c r="AH162" s="257">
        <v>0</v>
      </c>
      <c r="AI162" s="258">
        <v>0</v>
      </c>
      <c r="AJ162" s="257">
        <v>0</v>
      </c>
      <c r="AK162" s="258">
        <v>0</v>
      </c>
      <c r="AL162" s="258">
        <v>0</v>
      </c>
      <c r="AM162" s="258">
        <v>0</v>
      </c>
      <c r="AN162" s="258"/>
      <c r="AO162" s="258">
        <v>0</v>
      </c>
    </row>
    <row r="163" spans="1:41" s="259" customFormat="1" ht="36" customHeight="1" x14ac:dyDescent="0.25">
      <c r="A163" s="259">
        <v>1</v>
      </c>
      <c r="B163" s="135">
        <f>SUBTOTAL(103,$A$16:A163)</f>
        <v>146</v>
      </c>
      <c r="C163" s="94" t="s">
        <v>399</v>
      </c>
      <c r="D163" s="124">
        <v>1961</v>
      </c>
      <c r="E163" s="124"/>
      <c r="F163" s="129" t="s">
        <v>269</v>
      </c>
      <c r="G163" s="124">
        <v>2</v>
      </c>
      <c r="H163" s="124" t="s">
        <v>305</v>
      </c>
      <c r="I163" s="128">
        <v>679.5</v>
      </c>
      <c r="J163" s="128">
        <v>630.79999999999995</v>
      </c>
      <c r="K163" s="128">
        <v>630.79999999999995</v>
      </c>
      <c r="L163" s="126">
        <v>43</v>
      </c>
      <c r="M163" s="124" t="s">
        <v>267</v>
      </c>
      <c r="N163" s="124" t="s">
        <v>271</v>
      </c>
      <c r="O163" s="127" t="s">
        <v>327</v>
      </c>
      <c r="P163" s="128">
        <v>2855710.47</v>
      </c>
      <c r="Q163" s="128">
        <v>0</v>
      </c>
      <c r="R163" s="128">
        <v>0</v>
      </c>
      <c r="S163" s="128">
        <f t="shared" si="19"/>
        <v>2855710.47</v>
      </c>
      <c r="T163" s="128">
        <f t="shared" si="16"/>
        <v>4202.6644150110378</v>
      </c>
      <c r="U163" s="128">
        <v>5067.1147902869761</v>
      </c>
      <c r="V163" s="257">
        <f t="shared" si="18"/>
        <v>864.45037527593831</v>
      </c>
      <c r="W163" s="257">
        <f t="shared" si="20"/>
        <v>5049.890360559235</v>
      </c>
      <c r="X163" s="257">
        <v>0</v>
      </c>
      <c r="Y163" s="258">
        <v>0</v>
      </c>
      <c r="Z163" s="258">
        <v>0</v>
      </c>
      <c r="AA163" s="258">
        <v>0</v>
      </c>
      <c r="AB163" s="258">
        <v>0</v>
      </c>
      <c r="AC163" s="258">
        <v>0</v>
      </c>
      <c r="AD163" s="258">
        <v>0</v>
      </c>
      <c r="AE163" s="258">
        <v>550</v>
      </c>
      <c r="AF163" s="257">
        <f>6238.91*AE163/I163</f>
        <v>5049.890360559235</v>
      </c>
      <c r="AG163" s="258">
        <v>0</v>
      </c>
      <c r="AH163" s="257">
        <v>0</v>
      </c>
      <c r="AI163" s="258">
        <v>0</v>
      </c>
      <c r="AJ163" s="257">
        <v>0</v>
      </c>
      <c r="AK163" s="258">
        <v>0</v>
      </c>
      <c r="AL163" s="258">
        <v>0</v>
      </c>
      <c r="AM163" s="258">
        <v>0</v>
      </c>
      <c r="AN163" s="258"/>
      <c r="AO163" s="258">
        <v>0</v>
      </c>
    </row>
    <row r="164" spans="1:41" s="259" customFormat="1" ht="36" customHeight="1" x14ac:dyDescent="0.25">
      <c r="A164" s="259">
        <v>1</v>
      </c>
      <c r="B164" s="135">
        <f>SUBTOTAL(103,$A$16:A164)</f>
        <v>147</v>
      </c>
      <c r="C164" s="94" t="s">
        <v>400</v>
      </c>
      <c r="D164" s="124">
        <v>1973</v>
      </c>
      <c r="E164" s="124"/>
      <c r="F164" s="129" t="s">
        <v>269</v>
      </c>
      <c r="G164" s="124">
        <v>5</v>
      </c>
      <c r="H164" s="124" t="s">
        <v>305</v>
      </c>
      <c r="I164" s="128">
        <v>4577.26</v>
      </c>
      <c r="J164" s="128">
        <v>2855</v>
      </c>
      <c r="K164" s="128">
        <v>2787.4</v>
      </c>
      <c r="L164" s="126">
        <v>181</v>
      </c>
      <c r="M164" s="124" t="s">
        <v>267</v>
      </c>
      <c r="N164" s="124" t="s">
        <v>271</v>
      </c>
      <c r="O164" s="127" t="s">
        <v>329</v>
      </c>
      <c r="P164" s="128">
        <v>3985297.65</v>
      </c>
      <c r="Q164" s="128">
        <v>0</v>
      </c>
      <c r="R164" s="128">
        <v>0</v>
      </c>
      <c r="S164" s="128">
        <f t="shared" si="19"/>
        <v>3985297.65</v>
      </c>
      <c r="T164" s="128">
        <f t="shared" si="16"/>
        <v>870.67320842600157</v>
      </c>
      <c r="U164" s="128">
        <v>3259.66</v>
      </c>
      <c r="V164" s="257">
        <f t="shared" si="18"/>
        <v>2388.9867915739983</v>
      </c>
      <c r="W164" s="257">
        <f t="shared" si="20"/>
        <v>3259.66</v>
      </c>
      <c r="X164" s="257">
        <v>0</v>
      </c>
      <c r="Y164" s="258">
        <v>0</v>
      </c>
      <c r="Z164" s="258">
        <v>3259.66</v>
      </c>
      <c r="AA164" s="258">
        <v>0</v>
      </c>
      <c r="AB164" s="258">
        <v>0</v>
      </c>
      <c r="AC164" s="258">
        <v>0</v>
      </c>
      <c r="AD164" s="258">
        <v>0</v>
      </c>
      <c r="AE164" s="258">
        <v>0</v>
      </c>
      <c r="AF164" s="257">
        <v>0</v>
      </c>
      <c r="AG164" s="258">
        <v>0</v>
      </c>
      <c r="AH164" s="257">
        <v>0</v>
      </c>
      <c r="AI164" s="258">
        <v>0</v>
      </c>
      <c r="AJ164" s="257">
        <v>0</v>
      </c>
      <c r="AK164" s="258">
        <v>0</v>
      </c>
      <c r="AL164" s="258">
        <v>0</v>
      </c>
      <c r="AM164" s="258">
        <v>0</v>
      </c>
      <c r="AN164" s="258"/>
      <c r="AO164" s="258">
        <v>0</v>
      </c>
    </row>
    <row r="165" spans="1:41" s="259" customFormat="1" ht="36" customHeight="1" x14ac:dyDescent="0.25">
      <c r="A165" s="259">
        <v>1</v>
      </c>
      <c r="B165" s="135">
        <f>SUBTOTAL(103,$A$16:A165)</f>
        <v>148</v>
      </c>
      <c r="C165" s="94" t="s">
        <v>198</v>
      </c>
      <c r="D165" s="124">
        <v>1986</v>
      </c>
      <c r="E165" s="124"/>
      <c r="F165" s="129" t="s">
        <v>313</v>
      </c>
      <c r="G165" s="124">
        <v>5</v>
      </c>
      <c r="H165" s="124" t="s">
        <v>373</v>
      </c>
      <c r="I165" s="128">
        <v>6281</v>
      </c>
      <c r="J165" s="128">
        <v>4728.1000000000004</v>
      </c>
      <c r="K165" s="128">
        <v>4728.1000000000004</v>
      </c>
      <c r="L165" s="126">
        <v>195</v>
      </c>
      <c r="M165" s="124" t="s">
        <v>267</v>
      </c>
      <c r="N165" s="124" t="s">
        <v>271</v>
      </c>
      <c r="O165" s="127" t="s">
        <v>328</v>
      </c>
      <c r="P165" s="128">
        <v>2766905.7600000002</v>
      </c>
      <c r="Q165" s="128">
        <v>0</v>
      </c>
      <c r="R165" s="128">
        <v>0</v>
      </c>
      <c r="S165" s="128">
        <f t="shared" si="19"/>
        <v>2766905.7600000002</v>
      </c>
      <c r="T165" s="128">
        <f t="shared" si="16"/>
        <v>440.51994268428598</v>
      </c>
      <c r="U165" s="128">
        <v>1186.4560063684128</v>
      </c>
      <c r="V165" s="257">
        <f t="shared" si="18"/>
        <v>745.93606368412679</v>
      </c>
      <c r="W165" s="257">
        <f t="shared" si="20"/>
        <v>1182.4229364750836</v>
      </c>
      <c r="X165" s="257">
        <v>0</v>
      </c>
      <c r="Y165" s="258">
        <v>0</v>
      </c>
      <c r="Z165" s="258">
        <v>0</v>
      </c>
      <c r="AA165" s="258">
        <v>0</v>
      </c>
      <c r="AB165" s="258">
        <v>0</v>
      </c>
      <c r="AC165" s="258">
        <v>0</v>
      </c>
      <c r="AD165" s="258">
        <v>0</v>
      </c>
      <c r="AE165" s="258">
        <v>1190.4000000000001</v>
      </c>
      <c r="AF165" s="257">
        <f>6238.91*AE165/I165</f>
        <v>1182.4229364750836</v>
      </c>
      <c r="AG165" s="258">
        <v>0</v>
      </c>
      <c r="AH165" s="257">
        <v>0</v>
      </c>
      <c r="AI165" s="258">
        <v>0</v>
      </c>
      <c r="AJ165" s="257">
        <v>0</v>
      </c>
      <c r="AK165" s="258">
        <v>0</v>
      </c>
      <c r="AL165" s="258">
        <v>0</v>
      </c>
      <c r="AM165" s="258">
        <v>0</v>
      </c>
      <c r="AN165" s="258"/>
      <c r="AO165" s="258">
        <v>0</v>
      </c>
    </row>
    <row r="166" spans="1:41" s="259" customFormat="1" ht="36" customHeight="1" x14ac:dyDescent="0.25">
      <c r="A166" s="259">
        <v>1</v>
      </c>
      <c r="B166" s="135">
        <f>SUBTOTAL(103,$A$16:A166)</f>
        <v>149</v>
      </c>
      <c r="C166" s="94" t="s">
        <v>401</v>
      </c>
      <c r="D166" s="124">
        <v>1948</v>
      </c>
      <c r="E166" s="124"/>
      <c r="F166" s="129" t="s">
        <v>326</v>
      </c>
      <c r="G166" s="124">
        <v>2</v>
      </c>
      <c r="H166" s="124" t="s">
        <v>306</v>
      </c>
      <c r="I166" s="128">
        <v>380.35</v>
      </c>
      <c r="J166" s="128">
        <v>328.8</v>
      </c>
      <c r="K166" s="128">
        <v>328.8</v>
      </c>
      <c r="L166" s="126">
        <v>16</v>
      </c>
      <c r="M166" s="124" t="s">
        <v>267</v>
      </c>
      <c r="N166" s="124" t="s">
        <v>271</v>
      </c>
      <c r="O166" s="127" t="s">
        <v>323</v>
      </c>
      <c r="P166" s="128">
        <v>1828369.47</v>
      </c>
      <c r="Q166" s="128">
        <v>0</v>
      </c>
      <c r="R166" s="128">
        <v>0</v>
      </c>
      <c r="S166" s="128">
        <f t="shared" si="19"/>
        <v>1828369.47</v>
      </c>
      <c r="T166" s="128">
        <f t="shared" si="16"/>
        <v>4807.0710398317333</v>
      </c>
      <c r="U166" s="128">
        <v>5628.9864072564742</v>
      </c>
      <c r="V166" s="257">
        <f t="shared" si="18"/>
        <v>821.91536742474091</v>
      </c>
      <c r="W166" s="257">
        <f t="shared" si="20"/>
        <v>5609.8520310240556</v>
      </c>
      <c r="X166" s="257">
        <v>0</v>
      </c>
      <c r="Y166" s="258">
        <v>0</v>
      </c>
      <c r="Z166" s="258">
        <v>0</v>
      </c>
      <c r="AA166" s="258">
        <v>0</v>
      </c>
      <c r="AB166" s="258">
        <v>0</v>
      </c>
      <c r="AC166" s="258">
        <v>0</v>
      </c>
      <c r="AD166" s="258">
        <v>0</v>
      </c>
      <c r="AE166" s="258">
        <v>342</v>
      </c>
      <c r="AF166" s="257">
        <f>6238.91*AE166/I166</f>
        <v>5609.8520310240556</v>
      </c>
      <c r="AG166" s="258">
        <v>0</v>
      </c>
      <c r="AH166" s="257">
        <v>0</v>
      </c>
      <c r="AI166" s="258">
        <v>0</v>
      </c>
      <c r="AJ166" s="257">
        <v>0</v>
      </c>
      <c r="AK166" s="258">
        <v>0</v>
      </c>
      <c r="AL166" s="258">
        <v>0</v>
      </c>
      <c r="AM166" s="258">
        <v>0</v>
      </c>
      <c r="AN166" s="258"/>
      <c r="AO166" s="258">
        <v>0</v>
      </c>
    </row>
    <row r="167" spans="1:41" s="259" customFormat="1" ht="36" customHeight="1" x14ac:dyDescent="0.25">
      <c r="A167" s="259">
        <v>1</v>
      </c>
      <c r="B167" s="135">
        <f>SUBTOTAL(103,$A$16:A167)</f>
        <v>150</v>
      </c>
      <c r="C167" s="94" t="s">
        <v>402</v>
      </c>
      <c r="D167" s="124">
        <v>1972</v>
      </c>
      <c r="E167" s="124"/>
      <c r="F167" s="129" t="s">
        <v>269</v>
      </c>
      <c r="G167" s="124">
        <v>5</v>
      </c>
      <c r="H167" s="124" t="s">
        <v>2293</v>
      </c>
      <c r="I167" s="128">
        <v>6552.34</v>
      </c>
      <c r="J167" s="128">
        <v>6023.94</v>
      </c>
      <c r="K167" s="128">
        <v>6023.94</v>
      </c>
      <c r="L167" s="126">
        <v>307</v>
      </c>
      <c r="M167" s="124" t="s">
        <v>267</v>
      </c>
      <c r="N167" s="124" t="s">
        <v>271</v>
      </c>
      <c r="O167" s="127" t="s">
        <v>330</v>
      </c>
      <c r="P167" s="128">
        <v>9410555.9500000011</v>
      </c>
      <c r="Q167" s="128">
        <v>0</v>
      </c>
      <c r="R167" s="128">
        <v>0</v>
      </c>
      <c r="S167" s="128">
        <f t="shared" si="19"/>
        <v>9410555.9500000011</v>
      </c>
      <c r="T167" s="128">
        <f t="shared" si="16"/>
        <v>1436.2130093981693</v>
      </c>
      <c r="U167" s="128">
        <v>1924.2015310560805</v>
      </c>
      <c r="V167" s="257">
        <f t="shared" si="18"/>
        <v>487.98852165791118</v>
      </c>
      <c r="W167" s="257">
        <f t="shared" si="20"/>
        <v>1925.277995342122</v>
      </c>
      <c r="X167" s="257">
        <v>0</v>
      </c>
      <c r="Y167" s="258">
        <v>0</v>
      </c>
      <c r="Z167" s="258">
        <v>0</v>
      </c>
      <c r="AA167" s="258">
        <v>0</v>
      </c>
      <c r="AB167" s="258">
        <v>0</v>
      </c>
      <c r="AC167" s="258">
        <v>0</v>
      </c>
      <c r="AD167" s="258">
        <v>0</v>
      </c>
      <c r="AE167" s="258">
        <v>2022</v>
      </c>
      <c r="AF167" s="257">
        <f>6238.91*AE167/I167</f>
        <v>1925.277995342122</v>
      </c>
      <c r="AG167" s="258">
        <v>0</v>
      </c>
      <c r="AH167" s="257">
        <v>0</v>
      </c>
      <c r="AI167" s="258">
        <v>0</v>
      </c>
      <c r="AJ167" s="257">
        <v>0</v>
      </c>
      <c r="AK167" s="258">
        <v>0</v>
      </c>
      <c r="AL167" s="258">
        <v>0</v>
      </c>
      <c r="AM167" s="258">
        <v>0</v>
      </c>
      <c r="AN167" s="258"/>
      <c r="AO167" s="258">
        <v>0</v>
      </c>
    </row>
    <row r="168" spans="1:41" s="259" customFormat="1" ht="36" customHeight="1" x14ac:dyDescent="0.25">
      <c r="A168" s="259">
        <v>1</v>
      </c>
      <c r="B168" s="135">
        <f>SUBTOTAL(103,$A$16:A168)</f>
        <v>151</v>
      </c>
      <c r="C168" s="94" t="s">
        <v>1155</v>
      </c>
      <c r="D168" s="124">
        <v>1958</v>
      </c>
      <c r="E168" s="124"/>
      <c r="F168" s="129" t="s">
        <v>269</v>
      </c>
      <c r="G168" s="124">
        <v>2</v>
      </c>
      <c r="H168" s="124" t="s">
        <v>305</v>
      </c>
      <c r="I168" s="128">
        <v>731.63</v>
      </c>
      <c r="J168" s="128">
        <v>675.13</v>
      </c>
      <c r="K168" s="128">
        <v>675.13</v>
      </c>
      <c r="L168" s="126">
        <v>27</v>
      </c>
      <c r="M168" s="124" t="s">
        <v>267</v>
      </c>
      <c r="N168" s="124" t="s">
        <v>268</v>
      </c>
      <c r="O168" s="127" t="s">
        <v>270</v>
      </c>
      <c r="P168" s="128">
        <v>1472488.92</v>
      </c>
      <c r="Q168" s="128">
        <v>0</v>
      </c>
      <c r="R168" s="128">
        <v>0</v>
      </c>
      <c r="S168" s="128">
        <f t="shared" si="19"/>
        <v>1472488.92</v>
      </c>
      <c r="T168" s="128">
        <f t="shared" si="16"/>
        <v>2012.6141902327679</v>
      </c>
      <c r="U168" s="128">
        <v>4156.29</v>
      </c>
      <c r="V168" s="257">
        <f t="shared" si="18"/>
        <v>2143.6758097672318</v>
      </c>
      <c r="W168" s="257">
        <f t="shared" si="20"/>
        <v>4341.5</v>
      </c>
      <c r="X168" s="257">
        <v>101.55</v>
      </c>
      <c r="Y168" s="258">
        <v>0</v>
      </c>
      <c r="Z168" s="258">
        <v>3259.66</v>
      </c>
      <c r="AA168" s="258">
        <v>184.98</v>
      </c>
      <c r="AB168" s="258">
        <v>795.31</v>
      </c>
      <c r="AC168" s="258">
        <v>0</v>
      </c>
      <c r="AD168" s="258">
        <v>0</v>
      </c>
      <c r="AE168" s="258">
        <v>0</v>
      </c>
      <c r="AF168" s="257">
        <v>0</v>
      </c>
      <c r="AG168" s="258">
        <v>0</v>
      </c>
      <c r="AH168" s="257">
        <v>0</v>
      </c>
      <c r="AI168" s="258">
        <v>0</v>
      </c>
      <c r="AJ168" s="257">
        <v>0</v>
      </c>
      <c r="AK168" s="258">
        <v>0</v>
      </c>
      <c r="AL168" s="258">
        <v>0</v>
      </c>
      <c r="AM168" s="258">
        <v>0</v>
      </c>
      <c r="AN168" s="258"/>
      <c r="AO168" s="258">
        <v>0</v>
      </c>
    </row>
    <row r="169" spans="1:41" s="259" customFormat="1" ht="36" customHeight="1" x14ac:dyDescent="0.25">
      <c r="A169" s="259">
        <v>1</v>
      </c>
      <c r="B169" s="135">
        <f>SUBTOTAL(103,$A$16:A169)</f>
        <v>152</v>
      </c>
      <c r="C169" s="94" t="s">
        <v>1156</v>
      </c>
      <c r="D169" s="124">
        <v>1963</v>
      </c>
      <c r="E169" s="124"/>
      <c r="F169" s="129" t="s">
        <v>269</v>
      </c>
      <c r="G169" s="124">
        <v>3</v>
      </c>
      <c r="H169" s="124" t="s">
        <v>305</v>
      </c>
      <c r="I169" s="128">
        <v>518.79999999999995</v>
      </c>
      <c r="J169" s="128">
        <v>518.73</v>
      </c>
      <c r="K169" s="128">
        <v>518.73</v>
      </c>
      <c r="L169" s="126">
        <v>28</v>
      </c>
      <c r="M169" s="124" t="s">
        <v>267</v>
      </c>
      <c r="N169" s="124" t="s">
        <v>268</v>
      </c>
      <c r="O169" s="127" t="s">
        <v>270</v>
      </c>
      <c r="P169" s="128">
        <v>1557950.91</v>
      </c>
      <c r="Q169" s="128">
        <v>0</v>
      </c>
      <c r="R169" s="128">
        <v>0</v>
      </c>
      <c r="S169" s="128">
        <f t="shared" si="19"/>
        <v>1557950.91</v>
      </c>
      <c r="T169" s="128">
        <f t="shared" si="16"/>
        <v>3002.9894178874329</v>
      </c>
      <c r="U169" s="128">
        <v>3994.0687933693139</v>
      </c>
      <c r="V169" s="257">
        <f t="shared" si="18"/>
        <v>991.07937548188102</v>
      </c>
      <c r="W169" s="257">
        <f t="shared" si="20"/>
        <v>3980.491923670008</v>
      </c>
      <c r="X169" s="257">
        <v>0</v>
      </c>
      <c r="Y169" s="258">
        <v>0</v>
      </c>
      <c r="Z169" s="258">
        <v>0</v>
      </c>
      <c r="AA169" s="258">
        <v>0</v>
      </c>
      <c r="AB169" s="258">
        <v>0</v>
      </c>
      <c r="AC169" s="258">
        <v>0</v>
      </c>
      <c r="AD169" s="258">
        <v>0</v>
      </c>
      <c r="AE169" s="258">
        <v>331</v>
      </c>
      <c r="AF169" s="257">
        <f>6238.91*AE169/I169</f>
        <v>3980.491923670008</v>
      </c>
      <c r="AG169" s="258">
        <v>0</v>
      </c>
      <c r="AH169" s="257">
        <v>0</v>
      </c>
      <c r="AI169" s="258">
        <v>0</v>
      </c>
      <c r="AJ169" s="257">
        <v>0</v>
      </c>
      <c r="AK169" s="258">
        <v>0</v>
      </c>
      <c r="AL169" s="258">
        <v>0</v>
      </c>
      <c r="AM169" s="258">
        <v>0</v>
      </c>
      <c r="AN169" s="258"/>
      <c r="AO169" s="258">
        <v>0</v>
      </c>
    </row>
    <row r="170" spans="1:41" s="259" customFormat="1" ht="36" customHeight="1" x14ac:dyDescent="0.25">
      <c r="A170" s="259">
        <v>1</v>
      </c>
      <c r="B170" s="135">
        <f>SUBTOTAL(103,$A$16:A170)</f>
        <v>153</v>
      </c>
      <c r="C170" s="94" t="s">
        <v>1158</v>
      </c>
      <c r="D170" s="124">
        <v>1989</v>
      </c>
      <c r="E170" s="124"/>
      <c r="F170" s="129" t="s">
        <v>269</v>
      </c>
      <c r="G170" s="124">
        <v>9</v>
      </c>
      <c r="H170" s="124" t="s">
        <v>305</v>
      </c>
      <c r="I170" s="128">
        <v>4913</v>
      </c>
      <c r="J170" s="128">
        <v>3935.8</v>
      </c>
      <c r="K170" s="128">
        <v>3935.8</v>
      </c>
      <c r="L170" s="126">
        <v>173</v>
      </c>
      <c r="M170" s="124" t="s">
        <v>267</v>
      </c>
      <c r="N170" s="124" t="s">
        <v>271</v>
      </c>
      <c r="O170" s="127" t="s">
        <v>327</v>
      </c>
      <c r="P170" s="128">
        <v>2712861.94</v>
      </c>
      <c r="Q170" s="128">
        <v>0</v>
      </c>
      <c r="R170" s="128">
        <v>0</v>
      </c>
      <c r="S170" s="128">
        <f t="shared" si="19"/>
        <v>2712861.94</v>
      </c>
      <c r="T170" s="128">
        <f t="shared" si="16"/>
        <v>552.18032566659883</v>
      </c>
      <c r="U170" s="128">
        <v>1000.5292082230816</v>
      </c>
      <c r="V170" s="257">
        <f t="shared" si="18"/>
        <v>448.34888255648275</v>
      </c>
      <c r="W170" s="257">
        <f t="shared" si="20"/>
        <v>1000.5292082230816</v>
      </c>
      <c r="X170" s="257">
        <v>0</v>
      </c>
      <c r="Y170" s="258">
        <v>0</v>
      </c>
      <c r="Z170" s="258">
        <v>0</v>
      </c>
      <c r="AA170" s="258">
        <v>0</v>
      </c>
      <c r="AB170" s="258">
        <v>0</v>
      </c>
      <c r="AC170" s="258">
        <v>2</v>
      </c>
      <c r="AD170" s="257">
        <f>2457800*AC170/I170</f>
        <v>1000.5292082230816</v>
      </c>
      <c r="AE170" s="258">
        <v>0</v>
      </c>
      <c r="AF170" s="257">
        <v>0</v>
      </c>
      <c r="AG170" s="258">
        <v>0</v>
      </c>
      <c r="AH170" s="257">
        <v>0</v>
      </c>
      <c r="AI170" s="258">
        <v>0</v>
      </c>
      <c r="AJ170" s="257">
        <v>0</v>
      </c>
      <c r="AK170" s="258">
        <v>0</v>
      </c>
      <c r="AL170" s="258">
        <v>0</v>
      </c>
      <c r="AM170" s="258">
        <v>0</v>
      </c>
      <c r="AN170" s="258"/>
      <c r="AO170" s="258">
        <v>0</v>
      </c>
    </row>
    <row r="171" spans="1:41" s="259" customFormat="1" ht="36" customHeight="1" x14ac:dyDescent="0.25">
      <c r="A171" s="259">
        <v>1</v>
      </c>
      <c r="B171" s="135">
        <f>SUBTOTAL(103,$A$16:A171)</f>
        <v>154</v>
      </c>
      <c r="C171" s="94" t="s">
        <v>1159</v>
      </c>
      <c r="D171" s="124">
        <v>1964</v>
      </c>
      <c r="E171" s="124"/>
      <c r="F171" s="129" t="s">
        <v>269</v>
      </c>
      <c r="G171" s="124">
        <v>2</v>
      </c>
      <c r="H171" s="124" t="s">
        <v>305</v>
      </c>
      <c r="I171" s="128">
        <v>384.9</v>
      </c>
      <c r="J171" s="128">
        <v>384.9</v>
      </c>
      <c r="K171" s="128">
        <v>384.9</v>
      </c>
      <c r="L171" s="126">
        <v>27</v>
      </c>
      <c r="M171" s="124" t="s">
        <v>267</v>
      </c>
      <c r="N171" s="124" t="s">
        <v>271</v>
      </c>
      <c r="O171" s="127" t="s">
        <v>328</v>
      </c>
      <c r="P171" s="128">
        <v>211626.35</v>
      </c>
      <c r="Q171" s="128">
        <v>0</v>
      </c>
      <c r="R171" s="128">
        <v>0</v>
      </c>
      <c r="S171" s="128">
        <f t="shared" si="19"/>
        <v>211626.35</v>
      </c>
      <c r="T171" s="128">
        <f t="shared" si="16"/>
        <v>549.82164198493115</v>
      </c>
      <c r="U171" s="128">
        <v>3803.7451062613673</v>
      </c>
      <c r="V171" s="257">
        <f t="shared" si="18"/>
        <v>3253.9234642764359</v>
      </c>
      <c r="W171" s="257">
        <f t="shared" si="20"/>
        <v>3803.7451062613673</v>
      </c>
      <c r="X171" s="257">
        <v>0</v>
      </c>
      <c r="Y171" s="258">
        <v>0</v>
      </c>
      <c r="Z171" s="258">
        <v>0</v>
      </c>
      <c r="AA171" s="258">
        <v>0</v>
      </c>
      <c r="AB171" s="258">
        <v>0</v>
      </c>
      <c r="AC171" s="258">
        <v>0</v>
      </c>
      <c r="AD171" s="258">
        <v>0</v>
      </c>
      <c r="AE171" s="258">
        <v>0</v>
      </c>
      <c r="AF171" s="257">
        <v>0</v>
      </c>
      <c r="AG171" s="258">
        <v>0</v>
      </c>
      <c r="AH171" s="257">
        <v>0</v>
      </c>
      <c r="AI171" s="258">
        <v>0</v>
      </c>
      <c r="AJ171" s="257">
        <v>0</v>
      </c>
      <c r="AK171" s="258">
        <v>19.07</v>
      </c>
      <c r="AL171" s="257">
        <f>76773.02*AK171/I171</f>
        <v>3803.7451062613673</v>
      </c>
      <c r="AM171" s="258">
        <v>0</v>
      </c>
      <c r="AN171" s="258"/>
      <c r="AO171" s="258">
        <v>0</v>
      </c>
    </row>
    <row r="172" spans="1:41" s="259" customFormat="1" ht="36" customHeight="1" x14ac:dyDescent="0.25">
      <c r="A172" s="259">
        <v>1</v>
      </c>
      <c r="B172" s="135">
        <f>SUBTOTAL(103,$A$16:A172)</f>
        <v>155</v>
      </c>
      <c r="C172" s="94" t="s">
        <v>1160</v>
      </c>
      <c r="D172" s="124">
        <v>1971</v>
      </c>
      <c r="E172" s="124"/>
      <c r="F172" s="129" t="s">
        <v>269</v>
      </c>
      <c r="G172" s="124">
        <v>5</v>
      </c>
      <c r="H172" s="124" t="s">
        <v>373</v>
      </c>
      <c r="I172" s="128">
        <v>5698.2</v>
      </c>
      <c r="J172" s="128">
        <v>5283.5</v>
      </c>
      <c r="K172" s="128">
        <v>4475.3999999999996</v>
      </c>
      <c r="L172" s="126">
        <v>198</v>
      </c>
      <c r="M172" s="124" t="s">
        <v>267</v>
      </c>
      <c r="N172" s="124" t="s">
        <v>271</v>
      </c>
      <c r="O172" s="127" t="s">
        <v>330</v>
      </c>
      <c r="P172" s="128">
        <v>2878164.01</v>
      </c>
      <c r="Q172" s="128">
        <v>0</v>
      </c>
      <c r="R172" s="128">
        <v>0</v>
      </c>
      <c r="S172" s="128">
        <f t="shared" si="19"/>
        <v>2878164.01</v>
      </c>
      <c r="T172" s="128">
        <f t="shared" si="16"/>
        <v>505.1005598259099</v>
      </c>
      <c r="U172" s="128">
        <v>1129.3822926538207</v>
      </c>
      <c r="V172" s="257">
        <f t="shared" si="18"/>
        <v>624.2817328279109</v>
      </c>
      <c r="W172" s="257">
        <f t="shared" si="20"/>
        <v>1129.3822926538207</v>
      </c>
      <c r="X172" s="257">
        <v>0</v>
      </c>
      <c r="Y172" s="258">
        <v>0</v>
      </c>
      <c r="Z172" s="258">
        <v>0</v>
      </c>
      <c r="AA172" s="258">
        <v>0</v>
      </c>
      <c r="AB172" s="258">
        <v>0</v>
      </c>
      <c r="AC172" s="258">
        <v>0</v>
      </c>
      <c r="AD172" s="258">
        <v>0</v>
      </c>
      <c r="AE172" s="258">
        <v>0</v>
      </c>
      <c r="AF172" s="257">
        <v>0</v>
      </c>
      <c r="AG172" s="258">
        <v>725.5</v>
      </c>
      <c r="AH172" s="257">
        <f>8870.36*AG172/I172</f>
        <v>1129.3822926538207</v>
      </c>
      <c r="AI172" s="258">
        <v>0</v>
      </c>
      <c r="AJ172" s="257">
        <v>0</v>
      </c>
      <c r="AK172" s="258">
        <v>0</v>
      </c>
      <c r="AL172" s="258">
        <v>0</v>
      </c>
      <c r="AM172" s="258">
        <v>0</v>
      </c>
      <c r="AN172" s="258"/>
      <c r="AO172" s="258">
        <v>0</v>
      </c>
    </row>
    <row r="173" spans="1:41" s="259" customFormat="1" ht="36" customHeight="1" x14ac:dyDescent="0.25">
      <c r="A173" s="259">
        <v>1</v>
      </c>
      <c r="B173" s="135">
        <f>SUBTOTAL(103,$A$16:A173)</f>
        <v>156</v>
      </c>
      <c r="C173" s="94" t="s">
        <v>1161</v>
      </c>
      <c r="D173" s="124">
        <v>1991</v>
      </c>
      <c r="E173" s="124"/>
      <c r="F173" s="129" t="s">
        <v>289</v>
      </c>
      <c r="G173" s="124">
        <v>9</v>
      </c>
      <c r="H173" s="124" t="s">
        <v>305</v>
      </c>
      <c r="I173" s="128">
        <v>4196.7</v>
      </c>
      <c r="J173" s="128">
        <v>3776.7</v>
      </c>
      <c r="K173" s="128">
        <v>3776.7</v>
      </c>
      <c r="L173" s="126">
        <v>175</v>
      </c>
      <c r="M173" s="124" t="s">
        <v>267</v>
      </c>
      <c r="N173" s="124" t="s">
        <v>271</v>
      </c>
      <c r="O173" s="127" t="s">
        <v>323</v>
      </c>
      <c r="P173" s="128">
        <v>2712861.94</v>
      </c>
      <c r="Q173" s="128">
        <v>0</v>
      </c>
      <c r="R173" s="128">
        <v>0</v>
      </c>
      <c r="S173" s="128">
        <f t="shared" si="19"/>
        <v>2712861.94</v>
      </c>
      <c r="T173" s="128">
        <f t="shared" si="16"/>
        <v>646.42741677985089</v>
      </c>
      <c r="U173" s="128">
        <v>1171.3012605142137</v>
      </c>
      <c r="V173" s="257">
        <f t="shared" si="18"/>
        <v>524.87384373436282</v>
      </c>
      <c r="W173" s="257">
        <f t="shared" si="20"/>
        <v>1171.3012605142137</v>
      </c>
      <c r="X173" s="257">
        <v>0</v>
      </c>
      <c r="Y173" s="258">
        <v>0</v>
      </c>
      <c r="Z173" s="258">
        <v>0</v>
      </c>
      <c r="AA173" s="258">
        <v>0</v>
      </c>
      <c r="AB173" s="258">
        <v>0</v>
      </c>
      <c r="AC173" s="258">
        <v>2</v>
      </c>
      <c r="AD173" s="257">
        <f>2457800*AC173/I173</f>
        <v>1171.3012605142137</v>
      </c>
      <c r="AE173" s="258">
        <v>0</v>
      </c>
      <c r="AF173" s="257">
        <v>0</v>
      </c>
      <c r="AG173" s="258">
        <v>0</v>
      </c>
      <c r="AH173" s="257">
        <v>0</v>
      </c>
      <c r="AI173" s="258">
        <v>0</v>
      </c>
      <c r="AJ173" s="257">
        <v>0</v>
      </c>
      <c r="AK173" s="258">
        <v>0</v>
      </c>
      <c r="AL173" s="258">
        <v>0</v>
      </c>
      <c r="AM173" s="258">
        <v>0</v>
      </c>
      <c r="AN173" s="258"/>
      <c r="AO173" s="258">
        <v>0</v>
      </c>
    </row>
    <row r="174" spans="1:41" s="259" customFormat="1" ht="36" customHeight="1" x14ac:dyDescent="0.25">
      <c r="A174" s="259">
        <v>1</v>
      </c>
      <c r="B174" s="135">
        <f>SUBTOTAL(103,$A$16:A174)</f>
        <v>157</v>
      </c>
      <c r="C174" s="94" t="s">
        <v>1162</v>
      </c>
      <c r="D174" s="124">
        <v>1963</v>
      </c>
      <c r="E174" s="124"/>
      <c r="F174" s="129" t="s">
        <v>269</v>
      </c>
      <c r="G174" s="124">
        <v>4</v>
      </c>
      <c r="H174" s="124" t="s">
        <v>310</v>
      </c>
      <c r="I174" s="128">
        <v>2775</v>
      </c>
      <c r="J174" s="128">
        <v>2580</v>
      </c>
      <c r="K174" s="128">
        <v>2580</v>
      </c>
      <c r="L174" s="126">
        <v>110</v>
      </c>
      <c r="M174" s="124" t="s">
        <v>267</v>
      </c>
      <c r="N174" s="124" t="s">
        <v>271</v>
      </c>
      <c r="O174" s="127" t="s">
        <v>996</v>
      </c>
      <c r="P174" s="128">
        <v>2237682.5499999998</v>
      </c>
      <c r="Q174" s="128">
        <v>0</v>
      </c>
      <c r="R174" s="128">
        <v>0</v>
      </c>
      <c r="S174" s="128">
        <f t="shared" si="19"/>
        <v>2237682.5499999998</v>
      </c>
      <c r="T174" s="128">
        <f t="shared" si="16"/>
        <v>806.37209009009007</v>
      </c>
      <c r="U174" s="128">
        <v>3259.66</v>
      </c>
      <c r="V174" s="257">
        <f t="shared" si="18"/>
        <v>2453.28790990991</v>
      </c>
      <c r="W174" s="257">
        <f t="shared" si="20"/>
        <v>3259.66</v>
      </c>
      <c r="X174" s="257">
        <v>0</v>
      </c>
      <c r="Y174" s="258">
        <v>0</v>
      </c>
      <c r="Z174" s="258">
        <v>3259.66</v>
      </c>
      <c r="AA174" s="258">
        <v>0</v>
      </c>
      <c r="AB174" s="258">
        <v>0</v>
      </c>
      <c r="AC174" s="258">
        <v>0</v>
      </c>
      <c r="AD174" s="258">
        <v>0</v>
      </c>
      <c r="AE174" s="258">
        <v>0</v>
      </c>
      <c r="AF174" s="257">
        <v>0</v>
      </c>
      <c r="AG174" s="258">
        <v>0</v>
      </c>
      <c r="AH174" s="257">
        <v>0</v>
      </c>
      <c r="AI174" s="258">
        <v>0</v>
      </c>
      <c r="AJ174" s="257">
        <v>0</v>
      </c>
      <c r="AK174" s="258">
        <v>0</v>
      </c>
      <c r="AL174" s="258">
        <v>0</v>
      </c>
      <c r="AM174" s="258">
        <v>0</v>
      </c>
      <c r="AN174" s="258"/>
      <c r="AO174" s="258">
        <v>0</v>
      </c>
    </row>
    <row r="175" spans="1:41" s="259" customFormat="1" ht="36" customHeight="1" x14ac:dyDescent="0.25">
      <c r="A175" s="259">
        <v>1</v>
      </c>
      <c r="B175" s="135">
        <f>SUBTOTAL(103,$A$16:A175)</f>
        <v>158</v>
      </c>
      <c r="C175" s="94" t="s">
        <v>1163</v>
      </c>
      <c r="D175" s="124">
        <v>1959</v>
      </c>
      <c r="E175" s="124"/>
      <c r="F175" s="129" t="s">
        <v>269</v>
      </c>
      <c r="G175" s="124">
        <v>2</v>
      </c>
      <c r="H175" s="124" t="s">
        <v>305</v>
      </c>
      <c r="I175" s="128">
        <v>598.02</v>
      </c>
      <c r="J175" s="128">
        <v>552.79999999999995</v>
      </c>
      <c r="K175" s="128">
        <v>552.79999999999995</v>
      </c>
      <c r="L175" s="126">
        <v>28</v>
      </c>
      <c r="M175" s="124" t="s">
        <v>267</v>
      </c>
      <c r="N175" s="124" t="s">
        <v>271</v>
      </c>
      <c r="O175" s="127" t="s">
        <v>330</v>
      </c>
      <c r="P175" s="128">
        <v>2418873.6</v>
      </c>
      <c r="Q175" s="128">
        <v>0</v>
      </c>
      <c r="R175" s="128">
        <v>0</v>
      </c>
      <c r="S175" s="128">
        <f t="shared" si="19"/>
        <v>2418873.6</v>
      </c>
      <c r="T175" s="128">
        <f t="shared" si="16"/>
        <v>4044.8038527139565</v>
      </c>
      <c r="U175" s="128">
        <v>5176.836494933279</v>
      </c>
      <c r="V175" s="257">
        <f t="shared" si="18"/>
        <v>1132.0326422193225</v>
      </c>
      <c r="W175" s="257">
        <f t="shared" si="20"/>
        <v>4976.3554228955554</v>
      </c>
      <c r="X175" s="257">
        <v>0</v>
      </c>
      <c r="Y175" s="258">
        <v>0</v>
      </c>
      <c r="Z175" s="258">
        <v>0</v>
      </c>
      <c r="AA175" s="258">
        <v>0</v>
      </c>
      <c r="AB175" s="258">
        <v>0</v>
      </c>
      <c r="AC175" s="258">
        <v>0</v>
      </c>
      <c r="AD175" s="258">
        <v>0</v>
      </c>
      <c r="AE175" s="258">
        <v>477</v>
      </c>
      <c r="AF175" s="257">
        <f>6238.91*AE175/I175</f>
        <v>4976.3554228955554</v>
      </c>
      <c r="AG175" s="258">
        <v>0</v>
      </c>
      <c r="AH175" s="257">
        <v>0</v>
      </c>
      <c r="AI175" s="258">
        <v>0</v>
      </c>
      <c r="AJ175" s="257">
        <v>0</v>
      </c>
      <c r="AK175" s="258">
        <v>0</v>
      </c>
      <c r="AL175" s="258">
        <v>0</v>
      </c>
      <c r="AM175" s="258">
        <v>0</v>
      </c>
      <c r="AN175" s="258"/>
      <c r="AO175" s="258">
        <v>0</v>
      </c>
    </row>
    <row r="176" spans="1:41" s="259" customFormat="1" ht="36" customHeight="1" x14ac:dyDescent="0.25">
      <c r="A176" s="259">
        <v>1</v>
      </c>
      <c r="B176" s="135">
        <f>SUBTOTAL(103,$A$16:A176)</f>
        <v>159</v>
      </c>
      <c r="C176" s="94" t="s">
        <v>1166</v>
      </c>
      <c r="D176" s="124">
        <v>1989</v>
      </c>
      <c r="E176" s="124"/>
      <c r="F176" s="129" t="s">
        <v>269</v>
      </c>
      <c r="G176" s="124">
        <v>9</v>
      </c>
      <c r="H176" s="124" t="s">
        <v>306</v>
      </c>
      <c r="I176" s="128">
        <v>3493.71</v>
      </c>
      <c r="J176" s="128">
        <v>3277.11</v>
      </c>
      <c r="K176" s="128">
        <v>3277.11</v>
      </c>
      <c r="L176" s="126">
        <v>159</v>
      </c>
      <c r="M176" s="124" t="s">
        <v>267</v>
      </c>
      <c r="N176" s="124" t="s">
        <v>271</v>
      </c>
      <c r="O176" s="127" t="s">
        <v>1345</v>
      </c>
      <c r="P176" s="128">
        <v>1640571.49</v>
      </c>
      <c r="Q176" s="128">
        <v>0</v>
      </c>
      <c r="R176" s="128">
        <v>0</v>
      </c>
      <c r="S176" s="128">
        <f t="shared" si="19"/>
        <v>1640571.49</v>
      </c>
      <c r="T176" s="128">
        <f t="shared" si="16"/>
        <v>469.57861127569259</v>
      </c>
      <c r="U176" s="128">
        <v>703.4928485764417</v>
      </c>
      <c r="V176" s="257">
        <f t="shared" si="18"/>
        <v>233.91423730074911</v>
      </c>
      <c r="W176" s="257">
        <f t="shared" si="20"/>
        <v>795.31</v>
      </c>
      <c r="X176" s="257">
        <v>0</v>
      </c>
      <c r="Y176" s="258">
        <v>0</v>
      </c>
      <c r="Z176" s="258">
        <v>0</v>
      </c>
      <c r="AA176" s="258">
        <v>0</v>
      </c>
      <c r="AB176" s="258">
        <v>795.31</v>
      </c>
      <c r="AC176" s="258">
        <v>0</v>
      </c>
      <c r="AD176" s="258">
        <v>0</v>
      </c>
      <c r="AE176" s="258">
        <v>0</v>
      </c>
      <c r="AF176" s="257">
        <v>0</v>
      </c>
      <c r="AG176" s="258">
        <v>0</v>
      </c>
      <c r="AH176" s="257">
        <v>0</v>
      </c>
      <c r="AI176" s="258">
        <v>0</v>
      </c>
      <c r="AJ176" s="257">
        <v>0</v>
      </c>
      <c r="AK176" s="258">
        <v>0</v>
      </c>
      <c r="AL176" s="258">
        <v>0</v>
      </c>
      <c r="AM176" s="258">
        <v>0</v>
      </c>
      <c r="AN176" s="258"/>
      <c r="AO176" s="258">
        <v>0</v>
      </c>
    </row>
    <row r="177" spans="1:41" s="259" customFormat="1" ht="36" customHeight="1" x14ac:dyDescent="0.25">
      <c r="A177" s="259">
        <v>1</v>
      </c>
      <c r="B177" s="135">
        <f>SUBTOTAL(103,$A$16:A177)</f>
        <v>160</v>
      </c>
      <c r="C177" s="94" t="s">
        <v>1167</v>
      </c>
      <c r="D177" s="124">
        <v>1992</v>
      </c>
      <c r="E177" s="124"/>
      <c r="F177" s="129" t="s">
        <v>269</v>
      </c>
      <c r="G177" s="124">
        <v>9</v>
      </c>
      <c r="H177" s="124" t="s">
        <v>306</v>
      </c>
      <c r="I177" s="128">
        <v>2755.2</v>
      </c>
      <c r="J177" s="128">
        <v>2755.2</v>
      </c>
      <c r="K177" s="128">
        <v>2755.2</v>
      </c>
      <c r="L177" s="126">
        <v>117</v>
      </c>
      <c r="M177" s="124" t="s">
        <v>267</v>
      </c>
      <c r="N177" s="124" t="s">
        <v>271</v>
      </c>
      <c r="O177" s="127" t="s">
        <v>1346</v>
      </c>
      <c r="P177" s="128">
        <v>1784450.96</v>
      </c>
      <c r="Q177" s="128">
        <v>0</v>
      </c>
      <c r="R177" s="128">
        <v>0</v>
      </c>
      <c r="S177" s="128">
        <f t="shared" si="19"/>
        <v>1784450.96</v>
      </c>
      <c r="T177" s="128">
        <f t="shared" si="16"/>
        <v>647.66657955865276</v>
      </c>
      <c r="U177" s="128">
        <v>892.05865272938445</v>
      </c>
      <c r="V177" s="257">
        <f t="shared" si="18"/>
        <v>244.39207317073169</v>
      </c>
      <c r="W177" s="257">
        <f t="shared" si="20"/>
        <v>795.31</v>
      </c>
      <c r="X177" s="257">
        <v>0</v>
      </c>
      <c r="Y177" s="258">
        <v>0</v>
      </c>
      <c r="Z177" s="258">
        <v>0</v>
      </c>
      <c r="AA177" s="258">
        <v>0</v>
      </c>
      <c r="AB177" s="258">
        <v>795.31</v>
      </c>
      <c r="AC177" s="258">
        <v>0</v>
      </c>
      <c r="AD177" s="258">
        <v>0</v>
      </c>
      <c r="AE177" s="258">
        <v>0</v>
      </c>
      <c r="AF177" s="257">
        <v>0</v>
      </c>
      <c r="AG177" s="258">
        <v>0</v>
      </c>
      <c r="AH177" s="257">
        <v>0</v>
      </c>
      <c r="AI177" s="258">
        <v>0</v>
      </c>
      <c r="AJ177" s="257">
        <v>0</v>
      </c>
      <c r="AK177" s="258">
        <v>0</v>
      </c>
      <c r="AL177" s="258">
        <v>0</v>
      </c>
      <c r="AM177" s="258">
        <v>0</v>
      </c>
      <c r="AN177" s="258"/>
      <c r="AO177" s="258">
        <v>0</v>
      </c>
    </row>
    <row r="178" spans="1:41" s="259" customFormat="1" ht="36" customHeight="1" x14ac:dyDescent="0.25">
      <c r="A178" s="259">
        <v>1</v>
      </c>
      <c r="B178" s="135">
        <f>SUBTOTAL(103,$A$16:A178)</f>
        <v>161</v>
      </c>
      <c r="C178" s="94" t="s">
        <v>1168</v>
      </c>
      <c r="D178" s="124">
        <v>1992</v>
      </c>
      <c r="E178" s="124"/>
      <c r="F178" s="129" t="s">
        <v>313</v>
      </c>
      <c r="G178" s="124">
        <v>9</v>
      </c>
      <c r="H178" s="124" t="s">
        <v>310</v>
      </c>
      <c r="I178" s="128">
        <v>8435</v>
      </c>
      <c r="J178" s="128">
        <v>4621</v>
      </c>
      <c r="K178" s="128">
        <v>4597</v>
      </c>
      <c r="L178" s="126">
        <v>317</v>
      </c>
      <c r="M178" s="124" t="s">
        <v>267</v>
      </c>
      <c r="N178" s="124" t="s">
        <v>271</v>
      </c>
      <c r="O178" s="127" t="s">
        <v>1347</v>
      </c>
      <c r="P178" s="128">
        <v>6364982.3099999996</v>
      </c>
      <c r="Q178" s="128">
        <v>0</v>
      </c>
      <c r="R178" s="128">
        <v>0</v>
      </c>
      <c r="S178" s="128">
        <f t="shared" si="19"/>
        <v>6364982.3099999996</v>
      </c>
      <c r="T178" s="128">
        <f t="shared" si="16"/>
        <v>754.59185655008889</v>
      </c>
      <c r="U178" s="128">
        <v>1165.5245998814464</v>
      </c>
      <c r="V178" s="257">
        <f t="shared" si="18"/>
        <v>410.93274333135753</v>
      </c>
      <c r="W178" s="257">
        <f t="shared" si="20"/>
        <v>291.38114997036161</v>
      </c>
      <c r="X178" s="257">
        <v>0</v>
      </c>
      <c r="Y178" s="258">
        <v>0</v>
      </c>
      <c r="Z178" s="258">
        <v>0</v>
      </c>
      <c r="AA178" s="258">
        <v>0</v>
      </c>
      <c r="AB178" s="258">
        <v>0</v>
      </c>
      <c r="AC178" s="258">
        <v>1</v>
      </c>
      <c r="AD178" s="257">
        <f>2457800*AC178/I178</f>
        <v>291.38114997036161</v>
      </c>
      <c r="AE178" s="258">
        <v>0</v>
      </c>
      <c r="AF178" s="257">
        <v>0</v>
      </c>
      <c r="AG178" s="258">
        <v>0</v>
      </c>
      <c r="AH178" s="257">
        <v>0</v>
      </c>
      <c r="AI178" s="258">
        <v>0</v>
      </c>
      <c r="AJ178" s="257">
        <v>0</v>
      </c>
      <c r="AK178" s="258">
        <v>0</v>
      </c>
      <c r="AL178" s="258">
        <v>0</v>
      </c>
      <c r="AM178" s="258">
        <v>0</v>
      </c>
      <c r="AN178" s="258"/>
      <c r="AO178" s="258">
        <v>0</v>
      </c>
    </row>
    <row r="179" spans="1:41" s="259" customFormat="1" ht="36" customHeight="1" x14ac:dyDescent="0.25">
      <c r="A179" s="259">
        <v>1</v>
      </c>
      <c r="B179" s="135">
        <f>SUBTOTAL(103,$A$16:A179)</f>
        <v>162</v>
      </c>
      <c r="C179" s="94" t="s">
        <v>1284</v>
      </c>
      <c r="D179" s="124">
        <v>1968</v>
      </c>
      <c r="E179" s="124"/>
      <c r="F179" s="129" t="s">
        <v>269</v>
      </c>
      <c r="G179" s="124">
        <v>5</v>
      </c>
      <c r="H179" s="124" t="s">
        <v>310</v>
      </c>
      <c r="I179" s="128">
        <v>3582.37</v>
      </c>
      <c r="J179" s="128">
        <v>3313</v>
      </c>
      <c r="K179" s="128">
        <v>3252.7</v>
      </c>
      <c r="L179" s="126">
        <v>144</v>
      </c>
      <c r="M179" s="124" t="s">
        <v>267</v>
      </c>
      <c r="N179" s="124" t="s">
        <v>271</v>
      </c>
      <c r="O179" s="127" t="s">
        <v>329</v>
      </c>
      <c r="P179" s="128">
        <v>2353234.23</v>
      </c>
      <c r="Q179" s="128">
        <v>0</v>
      </c>
      <c r="R179" s="128">
        <v>0</v>
      </c>
      <c r="S179" s="128">
        <f t="shared" si="19"/>
        <v>2353234.23</v>
      </c>
      <c r="T179" s="128">
        <f t="shared" si="16"/>
        <v>656.89312661729525</v>
      </c>
      <c r="U179" s="128">
        <v>3259.66</v>
      </c>
      <c r="V179" s="257">
        <f t="shared" si="18"/>
        <v>2602.7668733827045</v>
      </c>
      <c r="W179" s="257">
        <f t="shared" si="20"/>
        <v>686.08211882078069</v>
      </c>
      <c r="X179" s="257">
        <v>0</v>
      </c>
      <c r="Y179" s="258">
        <v>0</v>
      </c>
      <c r="Z179" s="258">
        <v>0</v>
      </c>
      <c r="AA179" s="258">
        <v>0</v>
      </c>
      <c r="AB179" s="258">
        <v>0</v>
      </c>
      <c r="AC179" s="258">
        <v>1</v>
      </c>
      <c r="AD179" s="257">
        <f>2457800*AC179/I179</f>
        <v>686.08211882078069</v>
      </c>
      <c r="AE179" s="258">
        <v>0</v>
      </c>
      <c r="AF179" s="257">
        <v>0</v>
      </c>
      <c r="AG179" s="258">
        <v>0</v>
      </c>
      <c r="AH179" s="257">
        <v>0</v>
      </c>
      <c r="AI179" s="258">
        <v>0</v>
      </c>
      <c r="AJ179" s="257">
        <v>0</v>
      </c>
      <c r="AK179" s="258">
        <v>0</v>
      </c>
      <c r="AL179" s="258">
        <v>0</v>
      </c>
      <c r="AM179" s="258">
        <v>0</v>
      </c>
      <c r="AN179" s="258"/>
      <c r="AO179" s="258">
        <v>0</v>
      </c>
    </row>
    <row r="180" spans="1:41" s="259" customFormat="1" ht="36" customHeight="1" x14ac:dyDescent="0.25">
      <c r="A180" s="259">
        <v>1</v>
      </c>
      <c r="B180" s="135">
        <f>SUBTOTAL(103,$A$16:A180)</f>
        <v>163</v>
      </c>
      <c r="C180" s="94" t="s">
        <v>1297</v>
      </c>
      <c r="D180" s="124">
        <v>1958</v>
      </c>
      <c r="E180" s="124"/>
      <c r="F180" s="129" t="s">
        <v>269</v>
      </c>
      <c r="G180" s="124">
        <v>4</v>
      </c>
      <c r="H180" s="124" t="s">
        <v>310</v>
      </c>
      <c r="I180" s="128">
        <v>5856.4</v>
      </c>
      <c r="J180" s="128">
        <v>3235.1</v>
      </c>
      <c r="K180" s="128">
        <v>2625</v>
      </c>
      <c r="L180" s="126">
        <v>86</v>
      </c>
      <c r="M180" s="124" t="s">
        <v>267</v>
      </c>
      <c r="N180" s="124" t="s">
        <v>271</v>
      </c>
      <c r="O180" s="127" t="s">
        <v>1359</v>
      </c>
      <c r="P180" s="128">
        <v>131828.92000000001</v>
      </c>
      <c r="Q180" s="128">
        <v>0</v>
      </c>
      <c r="R180" s="128">
        <v>0</v>
      </c>
      <c r="S180" s="128">
        <f t="shared" si="19"/>
        <v>131828.92000000001</v>
      </c>
      <c r="T180" s="128">
        <f t="shared" si="16"/>
        <v>22.510231541561371</v>
      </c>
      <c r="U180" s="128">
        <v>22.510231541561371</v>
      </c>
      <c r="V180" s="257">
        <f t="shared" si="18"/>
        <v>0</v>
      </c>
      <c r="W180" s="257">
        <f t="shared" si="20"/>
        <v>1678.7104705962709</v>
      </c>
      <c r="X180" s="257">
        <v>0</v>
      </c>
      <c r="Y180" s="258">
        <v>0</v>
      </c>
      <c r="Z180" s="258">
        <v>0</v>
      </c>
      <c r="AA180" s="258">
        <v>0</v>
      </c>
      <c r="AB180" s="258">
        <v>0</v>
      </c>
      <c r="AC180" s="258">
        <v>4</v>
      </c>
      <c r="AD180" s="257">
        <f>2457800*AC180/I180</f>
        <v>1678.7104705962709</v>
      </c>
      <c r="AE180" s="258">
        <v>0</v>
      </c>
      <c r="AF180" s="257">
        <v>0</v>
      </c>
      <c r="AG180" s="258">
        <v>0</v>
      </c>
      <c r="AH180" s="257">
        <v>0</v>
      </c>
      <c r="AI180" s="258">
        <v>0</v>
      </c>
      <c r="AJ180" s="257">
        <v>0</v>
      </c>
      <c r="AK180" s="258">
        <v>0</v>
      </c>
      <c r="AL180" s="258">
        <v>0</v>
      </c>
      <c r="AM180" s="258">
        <v>0</v>
      </c>
      <c r="AN180" s="258"/>
      <c r="AO180" s="258">
        <v>0</v>
      </c>
    </row>
    <row r="181" spans="1:41" s="259" customFormat="1" ht="36" customHeight="1" x14ac:dyDescent="0.25">
      <c r="A181" s="259">
        <v>1</v>
      </c>
      <c r="B181" s="135">
        <f>SUBTOTAL(103,$A$16:A181)</f>
        <v>164</v>
      </c>
      <c r="C181" s="94" t="s">
        <v>1298</v>
      </c>
      <c r="D181" s="124">
        <v>1968</v>
      </c>
      <c r="E181" s="124"/>
      <c r="F181" s="129" t="s">
        <v>269</v>
      </c>
      <c r="G181" s="124">
        <v>2</v>
      </c>
      <c r="H181" s="124" t="s">
        <v>305</v>
      </c>
      <c r="I181" s="128">
        <v>610.4</v>
      </c>
      <c r="J181" s="128">
        <v>567</v>
      </c>
      <c r="K181" s="128">
        <v>489.2</v>
      </c>
      <c r="L181" s="126">
        <v>29</v>
      </c>
      <c r="M181" s="124" t="s">
        <v>267</v>
      </c>
      <c r="N181" s="124" t="s">
        <v>271</v>
      </c>
      <c r="O181" s="127" t="s">
        <v>1359</v>
      </c>
      <c r="P181" s="128">
        <v>2609030.63</v>
      </c>
      <c r="Q181" s="128">
        <v>0</v>
      </c>
      <c r="R181" s="128">
        <v>0</v>
      </c>
      <c r="S181" s="128">
        <f t="shared" si="19"/>
        <v>2609030.63</v>
      </c>
      <c r="T181" s="128">
        <f t="shared" si="16"/>
        <v>4274.2965760157276</v>
      </c>
      <c r="U181" s="128">
        <v>6050.9700196592394</v>
      </c>
      <c r="V181" s="257">
        <f t="shared" si="18"/>
        <v>1776.6734436435117</v>
      </c>
      <c r="W181" s="257">
        <f t="shared" si="20"/>
        <v>3259.66</v>
      </c>
      <c r="X181" s="257">
        <v>0</v>
      </c>
      <c r="Y181" s="258">
        <v>0</v>
      </c>
      <c r="Z181" s="258">
        <v>3259.66</v>
      </c>
      <c r="AA181" s="258">
        <v>0</v>
      </c>
      <c r="AB181" s="258">
        <v>0</v>
      </c>
      <c r="AC181" s="258">
        <v>0</v>
      </c>
      <c r="AD181" s="258">
        <v>0</v>
      </c>
      <c r="AE181" s="258">
        <v>0</v>
      </c>
      <c r="AF181" s="257">
        <v>0</v>
      </c>
      <c r="AG181" s="258">
        <v>0</v>
      </c>
      <c r="AH181" s="257">
        <v>0</v>
      </c>
      <c r="AI181" s="258">
        <v>0</v>
      </c>
      <c r="AJ181" s="257">
        <v>0</v>
      </c>
      <c r="AK181" s="258">
        <v>0</v>
      </c>
      <c r="AL181" s="258">
        <v>0</v>
      </c>
      <c r="AM181" s="258">
        <v>0</v>
      </c>
      <c r="AN181" s="258"/>
      <c r="AO181" s="258">
        <v>0</v>
      </c>
    </row>
    <row r="182" spans="1:41" s="259" customFormat="1" ht="36" customHeight="1" x14ac:dyDescent="0.25">
      <c r="A182" s="259">
        <v>1</v>
      </c>
      <c r="B182" s="135">
        <f>SUBTOTAL(103,$A$16:A182)</f>
        <v>165</v>
      </c>
      <c r="C182" s="94" t="s">
        <v>1299</v>
      </c>
      <c r="D182" s="124">
        <v>1958</v>
      </c>
      <c r="E182" s="124"/>
      <c r="F182" s="129" t="s">
        <v>269</v>
      </c>
      <c r="G182" s="124">
        <v>2</v>
      </c>
      <c r="H182" s="124" t="s">
        <v>305</v>
      </c>
      <c r="I182" s="128">
        <v>822.2</v>
      </c>
      <c r="J182" s="128">
        <v>822.2</v>
      </c>
      <c r="K182" s="128">
        <v>822.2</v>
      </c>
      <c r="L182" s="126">
        <v>22</v>
      </c>
      <c r="M182" s="124" t="s">
        <v>267</v>
      </c>
      <c r="N182" s="124" t="s">
        <v>271</v>
      </c>
      <c r="O182" s="127" t="s">
        <v>1359</v>
      </c>
      <c r="P182" s="128">
        <v>3619449.67</v>
      </c>
      <c r="Q182" s="128">
        <v>0</v>
      </c>
      <c r="R182" s="128">
        <v>0</v>
      </c>
      <c r="S182" s="128">
        <f t="shared" si="19"/>
        <v>3619449.67</v>
      </c>
      <c r="T182" s="128">
        <f t="shared" si="16"/>
        <v>4402.1523595232302</v>
      </c>
      <c r="U182" s="128">
        <v>5063.2770007297486</v>
      </c>
      <c r="V182" s="257">
        <f t="shared" si="18"/>
        <v>661.12464120651839</v>
      </c>
      <c r="W182" s="257">
        <f>T182</f>
        <v>4402.1523595232302</v>
      </c>
      <c r="X182" s="257">
        <v>0</v>
      </c>
      <c r="Y182" s="258">
        <v>0</v>
      </c>
      <c r="Z182" s="258">
        <v>0</v>
      </c>
      <c r="AA182" s="258">
        <v>0</v>
      </c>
      <c r="AB182" s="258">
        <v>0</v>
      </c>
      <c r="AC182" s="258">
        <v>0</v>
      </c>
      <c r="AD182" s="258">
        <v>0</v>
      </c>
      <c r="AE182" s="258">
        <v>0</v>
      </c>
      <c r="AF182" s="257">
        <v>0</v>
      </c>
      <c r="AG182" s="258">
        <v>0</v>
      </c>
      <c r="AH182" s="257">
        <v>0</v>
      </c>
      <c r="AI182" s="258">
        <v>0</v>
      </c>
      <c r="AJ182" s="257">
        <v>0</v>
      </c>
      <c r="AK182" s="258">
        <v>0</v>
      </c>
      <c r="AL182" s="258">
        <v>0</v>
      </c>
      <c r="AM182" s="258">
        <v>0</v>
      </c>
      <c r="AN182" s="258"/>
      <c r="AO182" s="258">
        <v>0</v>
      </c>
    </row>
    <row r="183" spans="1:41" s="259" customFormat="1" ht="36" customHeight="1" x14ac:dyDescent="0.25">
      <c r="A183" s="259">
        <v>1</v>
      </c>
      <c r="B183" s="135">
        <f>SUBTOTAL(103,$A$16:A183)</f>
        <v>166</v>
      </c>
      <c r="C183" s="94" t="s">
        <v>1300</v>
      </c>
      <c r="D183" s="124">
        <v>1959</v>
      </c>
      <c r="E183" s="124"/>
      <c r="F183" s="129" t="s">
        <v>269</v>
      </c>
      <c r="G183" s="124">
        <v>2</v>
      </c>
      <c r="H183" s="124" t="s">
        <v>306</v>
      </c>
      <c r="I183" s="128">
        <v>310.3</v>
      </c>
      <c r="J183" s="128">
        <v>310.3</v>
      </c>
      <c r="K183" s="128">
        <v>310.3</v>
      </c>
      <c r="L183" s="126">
        <v>10</v>
      </c>
      <c r="M183" s="124" t="s">
        <v>267</v>
      </c>
      <c r="N183" s="124" t="s">
        <v>271</v>
      </c>
      <c r="O183" s="127" t="s">
        <v>1359</v>
      </c>
      <c r="P183" s="128">
        <v>1139819.0599999998</v>
      </c>
      <c r="Q183" s="128">
        <v>0</v>
      </c>
      <c r="R183" s="128">
        <v>0</v>
      </c>
      <c r="S183" s="128">
        <f t="shared" si="19"/>
        <v>1139819.0599999998</v>
      </c>
      <c r="T183" s="128">
        <f t="shared" si="16"/>
        <v>3673.2808894618106</v>
      </c>
      <c r="U183" s="128">
        <v>5240.563823396712</v>
      </c>
      <c r="V183" s="257">
        <f t="shared" si="18"/>
        <v>1567.2829339349014</v>
      </c>
      <c r="W183" s="257">
        <f t="shared" si="20"/>
        <v>11862.574605220754</v>
      </c>
      <c r="X183" s="257">
        <v>0</v>
      </c>
      <c r="Y183" s="258">
        <v>0</v>
      </c>
      <c r="Z183" s="258">
        <v>0</v>
      </c>
      <c r="AA183" s="258">
        <v>0</v>
      </c>
      <c r="AB183" s="258">
        <v>0</v>
      </c>
      <c r="AC183" s="258">
        <v>0</v>
      </c>
      <c r="AD183" s="258">
        <v>0</v>
      </c>
      <c r="AE183" s="258">
        <v>590</v>
      </c>
      <c r="AF183" s="257">
        <f t="shared" ref="AF183:AF191" si="21">6238.91*AE183/I183</f>
        <v>11862.574605220754</v>
      </c>
      <c r="AG183" s="258">
        <v>0</v>
      </c>
      <c r="AH183" s="257">
        <v>0</v>
      </c>
      <c r="AI183" s="258">
        <v>0</v>
      </c>
      <c r="AJ183" s="257">
        <v>0</v>
      </c>
      <c r="AK183" s="258">
        <v>0</v>
      </c>
      <c r="AL183" s="258">
        <v>0</v>
      </c>
      <c r="AM183" s="258">
        <v>0</v>
      </c>
      <c r="AN183" s="258"/>
      <c r="AO183" s="258">
        <v>0</v>
      </c>
    </row>
    <row r="184" spans="1:41" s="259" customFormat="1" ht="36" customHeight="1" x14ac:dyDescent="0.25">
      <c r="A184" s="259">
        <v>1</v>
      </c>
      <c r="B184" s="135">
        <f>SUBTOTAL(103,$A$16:A184)</f>
        <v>167</v>
      </c>
      <c r="C184" s="94" t="s">
        <v>1301</v>
      </c>
      <c r="D184" s="124">
        <v>1959</v>
      </c>
      <c r="E184" s="124"/>
      <c r="F184" s="129" t="s">
        <v>269</v>
      </c>
      <c r="G184" s="124">
        <v>2</v>
      </c>
      <c r="H184" s="124" t="s">
        <v>306</v>
      </c>
      <c r="I184" s="128">
        <v>287</v>
      </c>
      <c r="J184" s="128">
        <v>287</v>
      </c>
      <c r="K184" s="128">
        <v>287</v>
      </c>
      <c r="L184" s="126">
        <v>18</v>
      </c>
      <c r="M184" s="124" t="s">
        <v>267</v>
      </c>
      <c r="N184" s="124" t="s">
        <v>268</v>
      </c>
      <c r="O184" s="127" t="s">
        <v>270</v>
      </c>
      <c r="P184" s="128">
        <v>1338948.23</v>
      </c>
      <c r="Q184" s="128">
        <v>0</v>
      </c>
      <c r="R184" s="128">
        <v>0</v>
      </c>
      <c r="S184" s="128">
        <f t="shared" si="19"/>
        <v>1338948.23</v>
      </c>
      <c r="T184" s="128">
        <f t="shared" si="16"/>
        <v>4665.3248432055752</v>
      </c>
      <c r="U184" s="128">
        <v>5518.5647038327525</v>
      </c>
      <c r="V184" s="257">
        <f t="shared" si="18"/>
        <v>853.23986062717722</v>
      </c>
      <c r="W184" s="257">
        <f t="shared" si="20"/>
        <v>14456.010975609755</v>
      </c>
      <c r="X184" s="257">
        <v>0</v>
      </c>
      <c r="Y184" s="258">
        <v>0</v>
      </c>
      <c r="Z184" s="258">
        <v>0</v>
      </c>
      <c r="AA184" s="258">
        <v>0</v>
      </c>
      <c r="AB184" s="258">
        <v>0</v>
      </c>
      <c r="AC184" s="258">
        <v>0</v>
      </c>
      <c r="AD184" s="258">
        <v>0</v>
      </c>
      <c r="AE184" s="258">
        <v>665</v>
      </c>
      <c r="AF184" s="257">
        <f t="shared" si="21"/>
        <v>14456.010975609755</v>
      </c>
      <c r="AG184" s="258">
        <v>0</v>
      </c>
      <c r="AH184" s="257">
        <v>0</v>
      </c>
      <c r="AI184" s="258">
        <v>0</v>
      </c>
      <c r="AJ184" s="257">
        <v>0</v>
      </c>
      <c r="AK184" s="258">
        <v>0</v>
      </c>
      <c r="AL184" s="258">
        <v>0</v>
      </c>
      <c r="AM184" s="258">
        <v>0</v>
      </c>
      <c r="AN184" s="258"/>
      <c r="AO184" s="258">
        <v>0</v>
      </c>
    </row>
    <row r="185" spans="1:41" s="259" customFormat="1" ht="36" customHeight="1" x14ac:dyDescent="0.25">
      <c r="A185" s="259">
        <v>1</v>
      </c>
      <c r="B185" s="135">
        <f>SUBTOTAL(103,$A$16:A185)</f>
        <v>168</v>
      </c>
      <c r="C185" s="94" t="s">
        <v>1560</v>
      </c>
      <c r="D185" s="124">
        <v>1952</v>
      </c>
      <c r="E185" s="124"/>
      <c r="F185" s="129" t="s">
        <v>1348</v>
      </c>
      <c r="G185" s="124">
        <v>2</v>
      </c>
      <c r="H185" s="124" t="s">
        <v>305</v>
      </c>
      <c r="I185" s="128">
        <v>644.12</v>
      </c>
      <c r="J185" s="128">
        <v>644.12</v>
      </c>
      <c r="K185" s="128">
        <v>644.12</v>
      </c>
      <c r="L185" s="126">
        <v>31</v>
      </c>
      <c r="M185" s="124" t="s">
        <v>267</v>
      </c>
      <c r="N185" s="124" t="s">
        <v>271</v>
      </c>
      <c r="O185" s="127" t="s">
        <v>1586</v>
      </c>
      <c r="P185" s="128">
        <v>2343822.52</v>
      </c>
      <c r="Q185" s="128">
        <v>0</v>
      </c>
      <c r="R185" s="128">
        <v>0</v>
      </c>
      <c r="S185" s="128">
        <f t="shared" si="19"/>
        <v>2343822.52</v>
      </c>
      <c r="T185" s="128">
        <f t="shared" si="16"/>
        <v>3638.7979258523255</v>
      </c>
      <c r="U185" s="128">
        <v>7697.4329007017313</v>
      </c>
      <c r="V185" s="257">
        <f t="shared" si="18"/>
        <v>4058.6349748494058</v>
      </c>
      <c r="W185" s="257">
        <f t="shared" si="20"/>
        <v>2382.7421287958764</v>
      </c>
      <c r="X185" s="257">
        <v>0</v>
      </c>
      <c r="Y185" s="258">
        <v>0</v>
      </c>
      <c r="Z185" s="258">
        <v>0</v>
      </c>
      <c r="AA185" s="258">
        <v>0</v>
      </c>
      <c r="AB185" s="258">
        <v>0</v>
      </c>
      <c r="AC185" s="258">
        <v>0</v>
      </c>
      <c r="AD185" s="258">
        <v>0</v>
      </c>
      <c r="AE185" s="258">
        <v>246</v>
      </c>
      <c r="AF185" s="257">
        <f t="shared" si="21"/>
        <v>2382.7421287958764</v>
      </c>
      <c r="AG185" s="258">
        <v>0</v>
      </c>
      <c r="AH185" s="257">
        <v>0</v>
      </c>
      <c r="AI185" s="258">
        <v>0</v>
      </c>
      <c r="AJ185" s="257">
        <v>0</v>
      </c>
      <c r="AK185" s="258">
        <v>0</v>
      </c>
      <c r="AL185" s="258">
        <v>0</v>
      </c>
      <c r="AM185" s="258">
        <v>0</v>
      </c>
      <c r="AN185" s="258"/>
      <c r="AO185" s="258">
        <v>0</v>
      </c>
    </row>
    <row r="186" spans="1:41" s="259" customFormat="1" ht="36" customHeight="1" x14ac:dyDescent="0.25">
      <c r="A186" s="259">
        <v>1</v>
      </c>
      <c r="B186" s="135">
        <f>SUBTOTAL(103,$A$16:A186)</f>
        <v>169</v>
      </c>
      <c r="C186" s="94" t="s">
        <v>1572</v>
      </c>
      <c r="D186" s="124">
        <v>1968</v>
      </c>
      <c r="E186" s="124"/>
      <c r="F186" s="129" t="s">
        <v>313</v>
      </c>
      <c r="G186" s="124">
        <v>2</v>
      </c>
      <c r="H186" s="124" t="s">
        <v>305</v>
      </c>
      <c r="I186" s="128">
        <v>632.6</v>
      </c>
      <c r="J186" s="128">
        <v>632.6</v>
      </c>
      <c r="K186" s="128">
        <v>632.6</v>
      </c>
      <c r="L186" s="126">
        <v>23</v>
      </c>
      <c r="M186" s="124" t="s">
        <v>267</v>
      </c>
      <c r="N186" s="124" t="s">
        <v>271</v>
      </c>
      <c r="O186" s="127" t="s">
        <v>329</v>
      </c>
      <c r="P186" s="128">
        <v>3191227.59</v>
      </c>
      <c r="Q186" s="128">
        <v>0</v>
      </c>
      <c r="R186" s="128">
        <v>0</v>
      </c>
      <c r="S186" s="128">
        <f t="shared" si="19"/>
        <v>3191227.59</v>
      </c>
      <c r="T186" s="128">
        <f t="shared" si="16"/>
        <v>5044.6215460006315</v>
      </c>
      <c r="U186" s="128">
        <v>5044.6215460006315</v>
      </c>
      <c r="V186" s="257">
        <f t="shared" si="18"/>
        <v>0</v>
      </c>
      <c r="W186" s="257">
        <f t="shared" si="20"/>
        <v>2495.1695067973442</v>
      </c>
      <c r="X186" s="257">
        <v>0</v>
      </c>
      <c r="Y186" s="258">
        <v>0</v>
      </c>
      <c r="Z186" s="258">
        <v>0</v>
      </c>
      <c r="AA186" s="258">
        <v>0</v>
      </c>
      <c r="AB186" s="258">
        <v>0</v>
      </c>
      <c r="AC186" s="258">
        <v>0</v>
      </c>
      <c r="AD186" s="258">
        <v>0</v>
      </c>
      <c r="AE186" s="258">
        <v>253</v>
      </c>
      <c r="AF186" s="257">
        <f t="shared" si="21"/>
        <v>2495.1695067973442</v>
      </c>
      <c r="AG186" s="258">
        <v>0</v>
      </c>
      <c r="AH186" s="257">
        <v>0</v>
      </c>
      <c r="AI186" s="258">
        <v>0</v>
      </c>
      <c r="AJ186" s="257">
        <v>0</v>
      </c>
      <c r="AK186" s="258">
        <v>0</v>
      </c>
      <c r="AL186" s="258">
        <v>0</v>
      </c>
      <c r="AM186" s="258">
        <v>0</v>
      </c>
      <c r="AN186" s="258"/>
      <c r="AO186" s="258">
        <v>0</v>
      </c>
    </row>
    <row r="187" spans="1:41" s="259" customFormat="1" ht="36" customHeight="1" x14ac:dyDescent="0.25">
      <c r="A187" s="259">
        <v>1</v>
      </c>
      <c r="B187" s="135">
        <f>SUBTOTAL(103,$A$16:A187)</f>
        <v>170</v>
      </c>
      <c r="C187" s="94" t="s">
        <v>1573</v>
      </c>
      <c r="D187" s="124">
        <v>1941</v>
      </c>
      <c r="E187" s="124"/>
      <c r="F187" s="129" t="s">
        <v>269</v>
      </c>
      <c r="G187" s="124">
        <v>2</v>
      </c>
      <c r="H187" s="124" t="s">
        <v>305</v>
      </c>
      <c r="I187" s="128">
        <v>733.92</v>
      </c>
      <c r="J187" s="128">
        <v>662.9</v>
      </c>
      <c r="K187" s="128">
        <v>662.9</v>
      </c>
      <c r="L187" s="126">
        <v>22</v>
      </c>
      <c r="M187" s="124" t="s">
        <v>267</v>
      </c>
      <c r="N187" s="124" t="s">
        <v>268</v>
      </c>
      <c r="O187" s="127" t="s">
        <v>270</v>
      </c>
      <c r="P187" s="128">
        <v>3239524.45</v>
      </c>
      <c r="Q187" s="128">
        <v>0</v>
      </c>
      <c r="R187" s="128">
        <v>0</v>
      </c>
      <c r="S187" s="128">
        <f>P187-R187-Q187</f>
        <v>3239524.45</v>
      </c>
      <c r="T187" s="128">
        <f t="shared" si="16"/>
        <v>4414.0021391977334</v>
      </c>
      <c r="U187" s="128">
        <v>5373.7732995421848</v>
      </c>
      <c r="V187" s="257">
        <f t="shared" si="18"/>
        <v>959.77116034445135</v>
      </c>
      <c r="W187" s="257">
        <f t="shared" si="20"/>
        <v>6732.6366906474823</v>
      </c>
      <c r="X187" s="257">
        <v>0</v>
      </c>
      <c r="Y187" s="258">
        <v>0</v>
      </c>
      <c r="Z187" s="258">
        <v>0</v>
      </c>
      <c r="AA187" s="258">
        <v>0</v>
      </c>
      <c r="AB187" s="258">
        <v>0</v>
      </c>
      <c r="AC187" s="258">
        <v>0</v>
      </c>
      <c r="AD187" s="258">
        <v>0</v>
      </c>
      <c r="AE187" s="258">
        <v>792</v>
      </c>
      <c r="AF187" s="257">
        <f t="shared" si="21"/>
        <v>6732.6366906474823</v>
      </c>
      <c r="AG187" s="258">
        <v>0</v>
      </c>
      <c r="AH187" s="257">
        <v>0</v>
      </c>
      <c r="AI187" s="258">
        <v>0</v>
      </c>
      <c r="AJ187" s="257">
        <v>0</v>
      </c>
      <c r="AK187" s="258">
        <v>0</v>
      </c>
      <c r="AL187" s="258">
        <v>0</v>
      </c>
      <c r="AM187" s="258">
        <v>0</v>
      </c>
      <c r="AN187" s="258"/>
      <c r="AO187" s="258">
        <v>0</v>
      </c>
    </row>
    <row r="188" spans="1:41" s="259" customFormat="1" ht="36" customHeight="1" x14ac:dyDescent="0.25">
      <c r="A188" s="259">
        <v>1</v>
      </c>
      <c r="B188" s="135">
        <f>SUBTOTAL(103,$A$16:A188)</f>
        <v>171</v>
      </c>
      <c r="C188" s="94" t="s">
        <v>1603</v>
      </c>
      <c r="D188" s="124">
        <v>1986</v>
      </c>
      <c r="E188" s="124"/>
      <c r="F188" s="129" t="s">
        <v>320</v>
      </c>
      <c r="G188" s="124">
        <v>5</v>
      </c>
      <c r="H188" s="124" t="s">
        <v>310</v>
      </c>
      <c r="I188" s="128">
        <v>3450.6</v>
      </c>
      <c r="J188" s="128">
        <v>3118.5</v>
      </c>
      <c r="K188" s="128">
        <v>3118.5</v>
      </c>
      <c r="L188" s="126">
        <v>32</v>
      </c>
      <c r="M188" s="124" t="s">
        <v>267</v>
      </c>
      <c r="N188" s="124" t="s">
        <v>271</v>
      </c>
      <c r="O188" s="127" t="s">
        <v>1359</v>
      </c>
      <c r="P188" s="128">
        <v>2039264.59</v>
      </c>
      <c r="Q188" s="128">
        <v>0</v>
      </c>
      <c r="R188" s="128">
        <v>0</v>
      </c>
      <c r="S188" s="128">
        <f>P188-R188-Q188</f>
        <v>2039264.59</v>
      </c>
      <c r="T188" s="128">
        <f t="shared" si="16"/>
        <v>590.98840491508724</v>
      </c>
      <c r="U188" s="128">
        <v>1438.6499351417144</v>
      </c>
      <c r="V188" s="257">
        <f t="shared" si="18"/>
        <v>847.66153022662718</v>
      </c>
      <c r="W188" s="257">
        <f t="shared" si="20"/>
        <v>911.26489306207623</v>
      </c>
      <c r="X188" s="257">
        <v>0</v>
      </c>
      <c r="Y188" s="258">
        <v>0</v>
      </c>
      <c r="Z188" s="258">
        <v>0</v>
      </c>
      <c r="AA188" s="258">
        <v>0</v>
      </c>
      <c r="AB188" s="258">
        <v>0</v>
      </c>
      <c r="AC188" s="258">
        <v>0</v>
      </c>
      <c r="AD188" s="258">
        <v>0</v>
      </c>
      <c r="AE188" s="258">
        <v>504</v>
      </c>
      <c r="AF188" s="257">
        <f t="shared" si="21"/>
        <v>911.26489306207623</v>
      </c>
      <c r="AG188" s="258">
        <v>0</v>
      </c>
      <c r="AH188" s="257">
        <v>0</v>
      </c>
      <c r="AI188" s="258">
        <v>0</v>
      </c>
      <c r="AJ188" s="257">
        <v>0</v>
      </c>
      <c r="AK188" s="258">
        <v>0</v>
      </c>
      <c r="AL188" s="258">
        <v>0</v>
      </c>
      <c r="AM188" s="258">
        <v>0</v>
      </c>
      <c r="AN188" s="258"/>
      <c r="AO188" s="258">
        <v>0</v>
      </c>
    </row>
    <row r="189" spans="1:41" s="259" customFormat="1" ht="36" customHeight="1" x14ac:dyDescent="0.25">
      <c r="A189" s="259">
        <v>1</v>
      </c>
      <c r="B189" s="135">
        <f>SUBTOTAL(103,$A$16:A189)</f>
        <v>172</v>
      </c>
      <c r="C189" s="94" t="s">
        <v>404</v>
      </c>
      <c r="D189" s="124" t="s">
        <v>331</v>
      </c>
      <c r="E189" s="124"/>
      <c r="F189" s="129" t="s">
        <v>269</v>
      </c>
      <c r="G189" s="124">
        <v>9</v>
      </c>
      <c r="H189" s="124" t="s">
        <v>306</v>
      </c>
      <c r="I189" s="128">
        <v>2760.5</v>
      </c>
      <c r="J189" s="128">
        <v>2760.5</v>
      </c>
      <c r="K189" s="128">
        <v>2760.5</v>
      </c>
      <c r="L189" s="126">
        <v>140</v>
      </c>
      <c r="M189" s="124" t="s">
        <v>267</v>
      </c>
      <c r="N189" s="124" t="s">
        <v>271</v>
      </c>
      <c r="O189" s="127" t="s">
        <v>324</v>
      </c>
      <c r="P189" s="128">
        <v>2282153.6300000004</v>
      </c>
      <c r="Q189" s="128">
        <v>0</v>
      </c>
      <c r="R189" s="128">
        <v>0</v>
      </c>
      <c r="S189" s="128">
        <f>P189-R189-Q189</f>
        <v>2282153.6300000004</v>
      </c>
      <c r="T189" s="128">
        <f t="shared" si="16"/>
        <v>826.71748958522016</v>
      </c>
      <c r="U189" s="128">
        <v>890.3459518203224</v>
      </c>
      <c r="V189" s="257">
        <f t="shared" ref="V189:V192" si="22">U189-T189</f>
        <v>63.628462235102234</v>
      </c>
      <c r="W189" s="257">
        <f t="shared" ref="W189:W192" si="23">X189+Y189+Z189+AA189+AB189+AD189+AF189+AH189+AJ189+AL189+AN189+AO189</f>
        <v>1139.0728636116646</v>
      </c>
      <c r="X189" s="257">
        <v>0</v>
      </c>
      <c r="Y189" s="258">
        <v>0</v>
      </c>
      <c r="Z189" s="258">
        <v>0</v>
      </c>
      <c r="AA189" s="258">
        <v>0</v>
      </c>
      <c r="AB189" s="258">
        <v>0</v>
      </c>
      <c r="AC189" s="258">
        <v>0</v>
      </c>
      <c r="AD189" s="258">
        <v>0</v>
      </c>
      <c r="AE189" s="258">
        <v>504</v>
      </c>
      <c r="AF189" s="257">
        <f t="shared" si="21"/>
        <v>1139.0728636116646</v>
      </c>
      <c r="AG189" s="258">
        <v>0</v>
      </c>
      <c r="AH189" s="257">
        <v>0</v>
      </c>
      <c r="AI189" s="258">
        <v>0</v>
      </c>
      <c r="AJ189" s="257">
        <v>0</v>
      </c>
      <c r="AK189" s="258">
        <v>0</v>
      </c>
      <c r="AL189" s="258">
        <v>0</v>
      </c>
      <c r="AM189" s="258">
        <v>0</v>
      </c>
      <c r="AN189" s="258"/>
      <c r="AO189" s="258">
        <v>0</v>
      </c>
    </row>
    <row r="190" spans="1:41" s="259" customFormat="1" ht="36" customHeight="1" x14ac:dyDescent="0.25">
      <c r="A190" s="259">
        <v>1</v>
      </c>
      <c r="B190" s="135">
        <f>SUBTOTAL(103,$A$16:A190)</f>
        <v>173</v>
      </c>
      <c r="C190" s="94" t="s">
        <v>440</v>
      </c>
      <c r="D190" s="124">
        <v>1994</v>
      </c>
      <c r="E190" s="124"/>
      <c r="F190" s="129" t="s">
        <v>313</v>
      </c>
      <c r="G190" s="124">
        <v>9</v>
      </c>
      <c r="H190" s="124" t="s">
        <v>305</v>
      </c>
      <c r="I190" s="125">
        <v>4306.3</v>
      </c>
      <c r="J190" s="128">
        <v>3866</v>
      </c>
      <c r="K190" s="128">
        <v>3866</v>
      </c>
      <c r="L190" s="126">
        <v>182</v>
      </c>
      <c r="M190" s="124" t="s">
        <v>267</v>
      </c>
      <c r="N190" s="124" t="s">
        <v>271</v>
      </c>
      <c r="O190" s="127" t="s">
        <v>323</v>
      </c>
      <c r="P190" s="128">
        <v>105635.39</v>
      </c>
      <c r="Q190" s="128">
        <v>0</v>
      </c>
      <c r="R190" s="128">
        <v>0</v>
      </c>
      <c r="S190" s="128">
        <f>P190-R190-Q190</f>
        <v>105635.39</v>
      </c>
      <c r="T190" s="128">
        <f t="shared" si="16"/>
        <v>24.530429835357499</v>
      </c>
      <c r="U190" s="128">
        <v>24.530429835357499</v>
      </c>
      <c r="V190" s="257">
        <f t="shared" si="22"/>
        <v>0</v>
      </c>
      <c r="W190" s="257">
        <f t="shared" si="23"/>
        <v>912.73559668392807</v>
      </c>
      <c r="X190" s="257">
        <v>0</v>
      </c>
      <c r="Y190" s="258">
        <v>0</v>
      </c>
      <c r="Z190" s="258">
        <v>0</v>
      </c>
      <c r="AA190" s="258">
        <v>0</v>
      </c>
      <c r="AB190" s="258">
        <v>0</v>
      </c>
      <c r="AC190" s="258">
        <v>0</v>
      </c>
      <c r="AD190" s="258">
        <v>0</v>
      </c>
      <c r="AE190" s="258">
        <v>630</v>
      </c>
      <c r="AF190" s="257">
        <f t="shared" si="21"/>
        <v>912.73559668392807</v>
      </c>
      <c r="AG190" s="258">
        <v>0</v>
      </c>
      <c r="AH190" s="257">
        <v>0</v>
      </c>
      <c r="AI190" s="258">
        <v>0</v>
      </c>
      <c r="AJ190" s="257">
        <v>0</v>
      </c>
      <c r="AK190" s="258">
        <v>0</v>
      </c>
      <c r="AL190" s="258">
        <v>0</v>
      </c>
      <c r="AM190" s="258">
        <v>0</v>
      </c>
      <c r="AN190" s="258"/>
      <c r="AO190" s="258">
        <v>0</v>
      </c>
    </row>
    <row r="191" spans="1:41" s="259" customFormat="1" ht="36" customHeight="1" x14ac:dyDescent="0.25">
      <c r="A191" s="259">
        <v>1</v>
      </c>
      <c r="B191" s="135">
        <f>SUBTOTAL(103,$A$16:A191)</f>
        <v>174</v>
      </c>
      <c r="C191" s="94" t="s">
        <v>408</v>
      </c>
      <c r="D191" s="124">
        <v>1957</v>
      </c>
      <c r="E191" s="124"/>
      <c r="F191" s="129" t="s">
        <v>269</v>
      </c>
      <c r="G191" s="124">
        <v>2</v>
      </c>
      <c r="H191" s="124" t="s">
        <v>305</v>
      </c>
      <c r="I191" s="128">
        <v>706.7</v>
      </c>
      <c r="J191" s="128">
        <v>646.1</v>
      </c>
      <c r="K191" s="128">
        <v>646.1</v>
      </c>
      <c r="L191" s="126">
        <v>18</v>
      </c>
      <c r="M191" s="124" t="s">
        <v>267</v>
      </c>
      <c r="N191" s="124" t="s">
        <v>268</v>
      </c>
      <c r="O191" s="127" t="s">
        <v>270</v>
      </c>
      <c r="P191" s="128">
        <v>92719.18</v>
      </c>
      <c r="Q191" s="128">
        <v>0</v>
      </c>
      <c r="R191" s="128">
        <v>0</v>
      </c>
      <c r="S191" s="128">
        <f>P191-Q191-R191</f>
        <v>92719.18</v>
      </c>
      <c r="T191" s="128">
        <f t="shared" si="16"/>
        <v>131.20019810386302</v>
      </c>
      <c r="U191" s="128">
        <v>131.20019810386302</v>
      </c>
      <c r="V191" s="257">
        <f t="shared" si="22"/>
        <v>0</v>
      </c>
      <c r="W191" s="257">
        <f t="shared" si="23"/>
        <v>7000.6096671855103</v>
      </c>
      <c r="X191" s="257">
        <v>0</v>
      </c>
      <c r="Y191" s="258">
        <v>0</v>
      </c>
      <c r="Z191" s="258">
        <v>0</v>
      </c>
      <c r="AA191" s="258">
        <v>0</v>
      </c>
      <c r="AB191" s="258">
        <v>0</v>
      </c>
      <c r="AC191" s="258">
        <v>0</v>
      </c>
      <c r="AD191" s="258">
        <v>0</v>
      </c>
      <c r="AE191" s="258">
        <v>792.98</v>
      </c>
      <c r="AF191" s="257">
        <f t="shared" si="21"/>
        <v>7000.6096671855103</v>
      </c>
      <c r="AG191" s="258">
        <v>0</v>
      </c>
      <c r="AH191" s="257">
        <v>0</v>
      </c>
      <c r="AI191" s="258">
        <v>0</v>
      </c>
      <c r="AJ191" s="257">
        <v>0</v>
      </c>
      <c r="AK191" s="258">
        <v>0</v>
      </c>
      <c r="AL191" s="258">
        <v>0</v>
      </c>
      <c r="AM191" s="258">
        <v>0</v>
      </c>
      <c r="AN191" s="258"/>
      <c r="AO191" s="258">
        <v>0</v>
      </c>
    </row>
    <row r="192" spans="1:41" s="259" customFormat="1" ht="36" customHeight="1" x14ac:dyDescent="0.25">
      <c r="A192" s="259">
        <v>1</v>
      </c>
      <c r="B192" s="135">
        <f>SUBTOTAL(103,$A$16:A192)</f>
        <v>175</v>
      </c>
      <c r="C192" s="94" t="s">
        <v>409</v>
      </c>
      <c r="D192" s="124">
        <v>1960</v>
      </c>
      <c r="E192" s="124"/>
      <c r="F192" s="129" t="s">
        <v>269</v>
      </c>
      <c r="G192" s="124">
        <v>2</v>
      </c>
      <c r="H192" s="124" t="s">
        <v>305</v>
      </c>
      <c r="I192" s="125">
        <v>582.70000000000005</v>
      </c>
      <c r="J192" s="125">
        <v>576.70000000000005</v>
      </c>
      <c r="K192" s="125">
        <v>576.70000000000005</v>
      </c>
      <c r="L192" s="126">
        <v>31</v>
      </c>
      <c r="M192" s="124" t="s">
        <v>267</v>
      </c>
      <c r="N192" s="124" t="s">
        <v>271</v>
      </c>
      <c r="O192" s="127" t="s">
        <v>323</v>
      </c>
      <c r="P192" s="128">
        <v>73434.98</v>
      </c>
      <c r="Q192" s="128">
        <v>0</v>
      </c>
      <c r="R192" s="128">
        <v>0</v>
      </c>
      <c r="S192" s="128">
        <f>P192-Q192-R192</f>
        <v>73434.98</v>
      </c>
      <c r="T192" s="128">
        <f t="shared" si="16"/>
        <v>126.02536468165435</v>
      </c>
      <c r="U192" s="128">
        <v>126.02536468165435</v>
      </c>
      <c r="V192" s="257">
        <f t="shared" si="22"/>
        <v>0</v>
      </c>
      <c r="W192" s="257">
        <f t="shared" si="23"/>
        <v>4217.9509181396943</v>
      </c>
      <c r="X192" s="257">
        <v>0</v>
      </c>
      <c r="Y192" s="258">
        <v>0</v>
      </c>
      <c r="Z192" s="258">
        <v>0</v>
      </c>
      <c r="AA192" s="258">
        <v>0</v>
      </c>
      <c r="AB192" s="258">
        <v>0</v>
      </c>
      <c r="AC192" s="258">
        <v>1</v>
      </c>
      <c r="AD192" s="257">
        <f>2457800*AC192/I192</f>
        <v>4217.9509181396943</v>
      </c>
      <c r="AE192" s="258">
        <v>0</v>
      </c>
      <c r="AF192" s="257">
        <v>0</v>
      </c>
      <c r="AG192" s="258">
        <v>0</v>
      </c>
      <c r="AH192" s="257">
        <v>0</v>
      </c>
      <c r="AI192" s="258">
        <v>0</v>
      </c>
      <c r="AJ192" s="257">
        <v>0</v>
      </c>
      <c r="AK192" s="258">
        <v>0</v>
      </c>
      <c r="AL192" s="258">
        <v>0</v>
      </c>
      <c r="AM192" s="258">
        <v>0</v>
      </c>
      <c r="AN192" s="258"/>
      <c r="AO192" s="258">
        <v>0</v>
      </c>
    </row>
    <row r="193" spans="1:41" s="259" customFormat="1" ht="36" customHeight="1" x14ac:dyDescent="0.25">
      <c r="A193" s="259">
        <v>1</v>
      </c>
      <c r="B193" s="135">
        <f>SUBTOTAL(103,$A$16:A193)</f>
        <v>176</v>
      </c>
      <c r="C193" s="94" t="s">
        <v>410</v>
      </c>
      <c r="D193" s="124">
        <v>1960</v>
      </c>
      <c r="E193" s="124"/>
      <c r="F193" s="129" t="s">
        <v>269</v>
      </c>
      <c r="G193" s="124">
        <v>2</v>
      </c>
      <c r="H193" s="124" t="s">
        <v>305</v>
      </c>
      <c r="I193" s="128">
        <v>592.20000000000005</v>
      </c>
      <c r="J193" s="128">
        <v>550.70000000000005</v>
      </c>
      <c r="K193" s="128">
        <v>550.70000000000005</v>
      </c>
      <c r="L193" s="126">
        <v>37</v>
      </c>
      <c r="M193" s="124" t="s">
        <v>267</v>
      </c>
      <c r="N193" s="124" t="s">
        <v>271</v>
      </c>
      <c r="O193" s="127" t="s">
        <v>330</v>
      </c>
      <c r="P193" s="128">
        <v>73079.5</v>
      </c>
      <c r="Q193" s="128">
        <v>0</v>
      </c>
      <c r="R193" s="128">
        <v>0</v>
      </c>
      <c r="S193" s="128">
        <f>P193-R193-Q193</f>
        <v>73079.5</v>
      </c>
      <c r="T193" s="128">
        <f t="shared" si="16"/>
        <v>123.40341100979398</v>
      </c>
      <c r="U193" s="128">
        <v>123.40341100979398</v>
      </c>
      <c r="V193" s="257">
        <f t="shared" si="18"/>
        <v>0</v>
      </c>
      <c r="W193" s="257">
        <f t="shared" si="20"/>
        <v>5309.7106382978718</v>
      </c>
      <c r="X193" s="257">
        <v>0</v>
      </c>
      <c r="Y193" s="258">
        <v>0</v>
      </c>
      <c r="Z193" s="258">
        <v>0</v>
      </c>
      <c r="AA193" s="258">
        <v>0</v>
      </c>
      <c r="AB193" s="258">
        <v>0</v>
      </c>
      <c r="AC193" s="258">
        <v>0</v>
      </c>
      <c r="AD193" s="258">
        <v>0</v>
      </c>
      <c r="AE193" s="258">
        <v>504</v>
      </c>
      <c r="AF193" s="257">
        <f>6238.91*AE193/I193</f>
        <v>5309.7106382978718</v>
      </c>
      <c r="AG193" s="258">
        <v>0</v>
      </c>
      <c r="AH193" s="257">
        <v>0</v>
      </c>
      <c r="AI193" s="258">
        <v>0</v>
      </c>
      <c r="AJ193" s="257">
        <v>0</v>
      </c>
      <c r="AK193" s="258">
        <v>0</v>
      </c>
      <c r="AL193" s="258">
        <v>0</v>
      </c>
      <c r="AM193" s="258">
        <v>0</v>
      </c>
      <c r="AN193" s="258"/>
      <c r="AO193" s="258">
        <v>0</v>
      </c>
    </row>
    <row r="194" spans="1:41" s="259" customFormat="1" ht="36" customHeight="1" x14ac:dyDescent="0.25">
      <c r="A194" s="259">
        <v>1</v>
      </c>
      <c r="B194" s="135">
        <f>SUBTOTAL(103,$A$16:A194)</f>
        <v>177</v>
      </c>
      <c r="C194" s="94" t="s">
        <v>415</v>
      </c>
      <c r="D194" s="124">
        <v>1958</v>
      </c>
      <c r="E194" s="124"/>
      <c r="F194" s="129" t="s">
        <v>269</v>
      </c>
      <c r="G194" s="124">
        <v>2</v>
      </c>
      <c r="H194" s="124" t="s">
        <v>305</v>
      </c>
      <c r="I194" s="125">
        <v>653.29999999999995</v>
      </c>
      <c r="J194" s="128">
        <v>605.6</v>
      </c>
      <c r="K194" s="128">
        <v>605.6</v>
      </c>
      <c r="L194" s="126">
        <v>30</v>
      </c>
      <c r="M194" s="124" t="s">
        <v>267</v>
      </c>
      <c r="N194" s="124" t="s">
        <v>271</v>
      </c>
      <c r="O194" s="127" t="s">
        <v>327</v>
      </c>
      <c r="P194" s="128">
        <v>78212.149999999994</v>
      </c>
      <c r="Q194" s="128">
        <v>0</v>
      </c>
      <c r="R194" s="128">
        <v>0</v>
      </c>
      <c r="S194" s="128">
        <f>P194-R194-Q194</f>
        <v>78212.149999999994</v>
      </c>
      <c r="T194" s="128">
        <f t="shared" si="16"/>
        <v>119.71858258074391</v>
      </c>
      <c r="U194" s="128">
        <v>119.71858258074391</v>
      </c>
      <c r="V194" s="257">
        <f t="shared" si="18"/>
        <v>0</v>
      </c>
      <c r="W194" s="257">
        <f t="shared" si="20"/>
        <v>6016.3987448339203</v>
      </c>
      <c r="X194" s="257">
        <v>0</v>
      </c>
      <c r="Y194" s="258">
        <v>0</v>
      </c>
      <c r="Z194" s="258">
        <v>0</v>
      </c>
      <c r="AA194" s="258">
        <v>0</v>
      </c>
      <c r="AB194" s="258">
        <v>0</v>
      </c>
      <c r="AC194" s="258">
        <v>0</v>
      </c>
      <c r="AD194" s="258">
        <v>0</v>
      </c>
      <c r="AE194" s="258">
        <v>630</v>
      </c>
      <c r="AF194" s="257">
        <f>6238.91*AE194/I194</f>
        <v>6016.3987448339203</v>
      </c>
      <c r="AG194" s="258">
        <v>0</v>
      </c>
      <c r="AH194" s="257">
        <v>0</v>
      </c>
      <c r="AI194" s="258">
        <v>0</v>
      </c>
      <c r="AJ194" s="257">
        <v>0</v>
      </c>
      <c r="AK194" s="258">
        <v>0</v>
      </c>
      <c r="AL194" s="258">
        <v>0</v>
      </c>
      <c r="AM194" s="258">
        <v>0</v>
      </c>
      <c r="AN194" s="258"/>
      <c r="AO194" s="258">
        <v>0</v>
      </c>
    </row>
    <row r="195" spans="1:41" s="259" customFormat="1" ht="36" customHeight="1" x14ac:dyDescent="0.25">
      <c r="A195" s="259">
        <v>1</v>
      </c>
      <c r="B195" s="135">
        <f>SUBTOTAL(103,$A$16:A195)</f>
        <v>178</v>
      </c>
      <c r="C195" s="94" t="s">
        <v>416</v>
      </c>
      <c r="D195" s="124">
        <v>1961</v>
      </c>
      <c r="E195" s="124"/>
      <c r="F195" s="129" t="s">
        <v>269</v>
      </c>
      <c r="G195" s="124">
        <v>2</v>
      </c>
      <c r="H195" s="124" t="s">
        <v>306</v>
      </c>
      <c r="I195" s="128">
        <v>291.64999999999998</v>
      </c>
      <c r="J195" s="128">
        <v>275.13</v>
      </c>
      <c r="K195" s="128">
        <v>275.13</v>
      </c>
      <c r="L195" s="126">
        <v>17</v>
      </c>
      <c r="M195" s="124" t="s">
        <v>267</v>
      </c>
      <c r="N195" s="124" t="s">
        <v>268</v>
      </c>
      <c r="O195" s="127" t="s">
        <v>270</v>
      </c>
      <c r="P195" s="128">
        <v>55647.31</v>
      </c>
      <c r="Q195" s="128">
        <v>0</v>
      </c>
      <c r="R195" s="128">
        <v>0</v>
      </c>
      <c r="S195" s="128">
        <f>P195-Q195-R195</f>
        <v>55647.31</v>
      </c>
      <c r="T195" s="128">
        <f t="shared" si="16"/>
        <v>190.8016800960055</v>
      </c>
      <c r="U195" s="128">
        <v>190.8016800960055</v>
      </c>
      <c r="V195" s="257">
        <f t="shared" si="18"/>
        <v>0</v>
      </c>
      <c r="W195" s="257">
        <f t="shared" si="20"/>
        <v>16963.246534544833</v>
      </c>
      <c r="X195" s="257">
        <v>0</v>
      </c>
      <c r="Y195" s="258">
        <v>0</v>
      </c>
      <c r="Z195" s="258">
        <v>0</v>
      </c>
      <c r="AA195" s="258">
        <v>0</v>
      </c>
      <c r="AB195" s="258">
        <v>0</v>
      </c>
      <c r="AC195" s="258">
        <v>0</v>
      </c>
      <c r="AD195" s="258">
        <v>0</v>
      </c>
      <c r="AE195" s="258">
        <v>792.98</v>
      </c>
      <c r="AF195" s="257">
        <f>6238.91*AE195/I195</f>
        <v>16963.246534544833</v>
      </c>
      <c r="AG195" s="258">
        <v>0</v>
      </c>
      <c r="AH195" s="257">
        <v>0</v>
      </c>
      <c r="AI195" s="258">
        <v>0</v>
      </c>
      <c r="AJ195" s="257">
        <v>0</v>
      </c>
      <c r="AK195" s="258">
        <v>0</v>
      </c>
      <c r="AL195" s="258">
        <v>0</v>
      </c>
      <c r="AM195" s="258">
        <v>0</v>
      </c>
      <c r="AN195" s="258"/>
      <c r="AO195" s="258">
        <v>0</v>
      </c>
    </row>
    <row r="196" spans="1:41" s="259" customFormat="1" ht="36" customHeight="1" x14ac:dyDescent="0.25">
      <c r="A196" s="259">
        <v>1</v>
      </c>
      <c r="B196" s="135">
        <f>SUBTOTAL(103,$A$16:A196)</f>
        <v>179</v>
      </c>
      <c r="C196" s="94" t="s">
        <v>424</v>
      </c>
      <c r="D196" s="124">
        <v>1962</v>
      </c>
      <c r="E196" s="124"/>
      <c r="F196" s="129" t="s">
        <v>326</v>
      </c>
      <c r="G196" s="124">
        <v>2</v>
      </c>
      <c r="H196" s="124" t="s">
        <v>305</v>
      </c>
      <c r="I196" s="125">
        <v>590.99</v>
      </c>
      <c r="J196" s="125">
        <v>550.29</v>
      </c>
      <c r="K196" s="125">
        <v>550.29</v>
      </c>
      <c r="L196" s="126">
        <v>18</v>
      </c>
      <c r="M196" s="124" t="s">
        <v>267</v>
      </c>
      <c r="N196" s="124" t="s">
        <v>271</v>
      </c>
      <c r="O196" s="127" t="s">
        <v>330</v>
      </c>
      <c r="P196" s="128">
        <v>74945.88</v>
      </c>
      <c r="Q196" s="128">
        <v>0</v>
      </c>
      <c r="R196" s="128">
        <v>0</v>
      </c>
      <c r="S196" s="128">
        <f>P196-Q196-R196</f>
        <v>74945.88</v>
      </c>
      <c r="T196" s="128">
        <f t="shared" si="16"/>
        <v>126.81412545051525</v>
      </c>
      <c r="U196" s="128">
        <v>126.81412545051525</v>
      </c>
      <c r="V196" s="257">
        <f t="shared" ref="V196" si="24">U196-T196</f>
        <v>0</v>
      </c>
      <c r="W196" s="257">
        <f t="shared" ref="W196" si="25">X196+Y196+Z196+AA196+AB196+AD196+AF196+AH196+AJ196+AL196+AN196+AO196</f>
        <v>4158.7844125958136</v>
      </c>
      <c r="X196" s="257">
        <v>0</v>
      </c>
      <c r="Y196" s="258">
        <v>0</v>
      </c>
      <c r="Z196" s="258">
        <v>0</v>
      </c>
      <c r="AA196" s="258">
        <v>0</v>
      </c>
      <c r="AB196" s="258">
        <v>0</v>
      </c>
      <c r="AC196" s="258">
        <v>1</v>
      </c>
      <c r="AD196" s="257">
        <f>2457800*AC196/I196</f>
        <v>4158.7844125958136</v>
      </c>
      <c r="AE196" s="258">
        <v>0</v>
      </c>
      <c r="AF196" s="257">
        <v>0</v>
      </c>
      <c r="AG196" s="258">
        <v>0</v>
      </c>
      <c r="AH196" s="257">
        <v>0</v>
      </c>
      <c r="AI196" s="258">
        <v>0</v>
      </c>
      <c r="AJ196" s="257">
        <v>0</v>
      </c>
      <c r="AK196" s="258">
        <v>0</v>
      </c>
      <c r="AL196" s="258">
        <v>0</v>
      </c>
      <c r="AM196" s="258">
        <v>0</v>
      </c>
      <c r="AN196" s="258"/>
      <c r="AO196" s="258">
        <v>0</v>
      </c>
    </row>
    <row r="197" spans="1:41" s="259" customFormat="1" ht="36" customHeight="1" x14ac:dyDescent="0.25">
      <c r="B197" s="94" t="s">
        <v>766</v>
      </c>
      <c r="C197" s="261"/>
      <c r="D197" s="124" t="s">
        <v>896</v>
      </c>
      <c r="E197" s="124" t="s">
        <v>896</v>
      </c>
      <c r="F197" s="124" t="s">
        <v>896</v>
      </c>
      <c r="G197" s="124" t="s">
        <v>896</v>
      </c>
      <c r="H197" s="124" t="s">
        <v>896</v>
      </c>
      <c r="I197" s="125">
        <f>SUM(I198:I234)</f>
        <v>220850.80000000002</v>
      </c>
      <c r="J197" s="125">
        <f>SUM(J198:J234)</f>
        <v>187176.02000000002</v>
      </c>
      <c r="K197" s="125">
        <f>SUM(K198:K234)</f>
        <v>179514.53000000003</v>
      </c>
      <c r="L197" s="126">
        <f>SUM(L198:L234)</f>
        <v>7973</v>
      </c>
      <c r="M197" s="124" t="s">
        <v>896</v>
      </c>
      <c r="N197" s="124" t="s">
        <v>896</v>
      </c>
      <c r="O197" s="127" t="s">
        <v>896</v>
      </c>
      <c r="P197" s="125">
        <v>137725231.69</v>
      </c>
      <c r="Q197" s="125">
        <f>SUM(Q198:Q234)</f>
        <v>0</v>
      </c>
      <c r="R197" s="125">
        <f>SUM(R198:R234)</f>
        <v>0</v>
      </c>
      <c r="S197" s="125">
        <f>SUM(S198:S234)</f>
        <v>137725231.69</v>
      </c>
      <c r="T197" s="128">
        <f t="shared" si="16"/>
        <v>623.61210233333986</v>
      </c>
      <c r="U197" s="128">
        <f>MAX(U198:U234)</f>
        <v>9843.0602092050212</v>
      </c>
      <c r="V197" s="257">
        <f t="shared" si="18"/>
        <v>9219.4481068716814</v>
      </c>
      <c r="W197" s="257"/>
      <c r="X197" s="257"/>
      <c r="Y197" s="258"/>
      <c r="Z197" s="258"/>
      <c r="AA197" s="258"/>
      <c r="AB197" s="258"/>
      <c r="AC197" s="258"/>
      <c r="AD197" s="258"/>
      <c r="AE197" s="258"/>
      <c r="AF197" s="258"/>
      <c r="AG197" s="258"/>
      <c r="AH197" s="258"/>
      <c r="AI197" s="258"/>
      <c r="AJ197" s="258"/>
      <c r="AK197" s="258"/>
      <c r="AL197" s="258"/>
      <c r="AM197" s="258"/>
      <c r="AN197" s="258"/>
      <c r="AO197" s="258"/>
    </row>
    <row r="198" spans="1:41" s="259" customFormat="1" ht="36" customHeight="1" x14ac:dyDescent="0.25">
      <c r="A198" s="259">
        <v>1</v>
      </c>
      <c r="B198" s="135">
        <f>SUBTOTAL(103,$A$16:A198)</f>
        <v>180</v>
      </c>
      <c r="C198" s="94" t="s">
        <v>767</v>
      </c>
      <c r="D198" s="124">
        <v>1960</v>
      </c>
      <c r="E198" s="124"/>
      <c r="F198" s="129" t="s">
        <v>269</v>
      </c>
      <c r="G198" s="124">
        <v>4</v>
      </c>
      <c r="H198" s="124" t="s">
        <v>314</v>
      </c>
      <c r="I198" s="128">
        <v>2116.5</v>
      </c>
      <c r="J198" s="128">
        <v>1931.2</v>
      </c>
      <c r="K198" s="128">
        <v>1680.5</v>
      </c>
      <c r="L198" s="126">
        <v>73</v>
      </c>
      <c r="M198" s="124" t="s">
        <v>267</v>
      </c>
      <c r="N198" s="124" t="s">
        <v>271</v>
      </c>
      <c r="O198" s="127" t="s">
        <v>807</v>
      </c>
      <c r="P198" s="128">
        <v>149143.37</v>
      </c>
      <c r="Q198" s="128">
        <v>0</v>
      </c>
      <c r="R198" s="128">
        <v>0</v>
      </c>
      <c r="S198" s="128">
        <f t="shared" ref="S198:S226" si="26">P198-Q198-R198</f>
        <v>149143.37</v>
      </c>
      <c r="T198" s="128">
        <f t="shared" si="16"/>
        <v>70.46698322702575</v>
      </c>
      <c r="U198" s="128">
        <v>70.46698322702575</v>
      </c>
      <c r="V198" s="257">
        <f t="shared" si="18"/>
        <v>0</v>
      </c>
      <c r="W198" s="257">
        <f t="shared" ref="W198:W234" si="27">X198+Y198+Z198+AA198+AB198+AD198+AF198+AH198+AJ198+AL198+AN198+AO198</f>
        <v>4927.7666902905748</v>
      </c>
      <c r="X198" s="257">
        <v>0</v>
      </c>
      <c r="Y198" s="258">
        <v>0</v>
      </c>
      <c r="Z198" s="258">
        <v>0</v>
      </c>
      <c r="AA198" s="258">
        <v>0</v>
      </c>
      <c r="AB198" s="258">
        <v>0</v>
      </c>
      <c r="AC198" s="258">
        <v>0</v>
      </c>
      <c r="AD198" s="258">
        <v>0</v>
      </c>
      <c r="AE198" s="258">
        <v>0</v>
      </c>
      <c r="AF198" s="257">
        <v>0</v>
      </c>
      <c r="AG198" s="258">
        <v>0</v>
      </c>
      <c r="AH198" s="257">
        <v>0</v>
      </c>
      <c r="AI198" s="258">
        <v>1402</v>
      </c>
      <c r="AJ198" s="257">
        <f>7439.1*AI198/I198</f>
        <v>4927.7666902905748</v>
      </c>
      <c r="AK198" s="258">
        <v>0</v>
      </c>
      <c r="AL198" s="258">
        <v>0</v>
      </c>
      <c r="AM198" s="258">
        <v>0</v>
      </c>
      <c r="AN198" s="258"/>
      <c r="AO198" s="258">
        <v>0</v>
      </c>
    </row>
    <row r="199" spans="1:41" s="259" customFormat="1" ht="36" customHeight="1" x14ac:dyDescent="0.25">
      <c r="A199" s="259">
        <v>1</v>
      </c>
      <c r="B199" s="135">
        <f>SUBTOTAL(103,$A$16:A199)</f>
        <v>181</v>
      </c>
      <c r="C199" s="94" t="s">
        <v>768</v>
      </c>
      <c r="D199" s="124">
        <v>1938</v>
      </c>
      <c r="E199" s="124"/>
      <c r="F199" s="129" t="s">
        <v>326</v>
      </c>
      <c r="G199" s="124">
        <v>2</v>
      </c>
      <c r="H199" s="124" t="s">
        <v>305</v>
      </c>
      <c r="I199" s="128">
        <v>692.4</v>
      </c>
      <c r="J199" s="128">
        <v>692.4</v>
      </c>
      <c r="K199" s="128">
        <v>632.79999999999995</v>
      </c>
      <c r="L199" s="126">
        <v>23</v>
      </c>
      <c r="M199" s="124" t="s">
        <v>267</v>
      </c>
      <c r="N199" s="124" t="s">
        <v>268</v>
      </c>
      <c r="O199" s="127" t="s">
        <v>270</v>
      </c>
      <c r="P199" s="128">
        <v>2194413.6799999997</v>
      </c>
      <c r="Q199" s="128">
        <v>0</v>
      </c>
      <c r="R199" s="128">
        <v>0</v>
      </c>
      <c r="S199" s="128">
        <f t="shared" si="26"/>
        <v>2194413.6799999997</v>
      </c>
      <c r="T199" s="128">
        <f t="shared" si="16"/>
        <v>3169.2860774119004</v>
      </c>
      <c r="U199" s="128">
        <v>4885.6425047660305</v>
      </c>
      <c r="V199" s="257">
        <f t="shared" si="18"/>
        <v>1716.3564273541301</v>
      </c>
      <c r="W199" s="257">
        <f t="shared" si="27"/>
        <v>4869.0349461294045</v>
      </c>
      <c r="X199" s="257">
        <v>0</v>
      </c>
      <c r="Y199" s="258">
        <v>0</v>
      </c>
      <c r="Z199" s="258">
        <v>0</v>
      </c>
      <c r="AA199" s="258">
        <v>0</v>
      </c>
      <c r="AB199" s="258">
        <v>0</v>
      </c>
      <c r="AC199" s="258">
        <v>0</v>
      </c>
      <c r="AD199" s="258">
        <v>0</v>
      </c>
      <c r="AE199" s="258">
        <v>540.37</v>
      </c>
      <c r="AF199" s="257">
        <f>6238.91*AE199/I199</f>
        <v>4869.0349461294045</v>
      </c>
      <c r="AG199" s="258">
        <v>0</v>
      </c>
      <c r="AH199" s="257">
        <v>0</v>
      </c>
      <c r="AI199" s="258">
        <v>0</v>
      </c>
      <c r="AJ199" s="257">
        <v>0</v>
      </c>
      <c r="AK199" s="258">
        <v>0</v>
      </c>
      <c r="AL199" s="258">
        <v>0</v>
      </c>
      <c r="AM199" s="258">
        <v>0</v>
      </c>
      <c r="AN199" s="258"/>
      <c r="AO199" s="258">
        <v>0</v>
      </c>
    </row>
    <row r="200" spans="1:41" s="259" customFormat="1" ht="36" customHeight="1" x14ac:dyDescent="0.25">
      <c r="A200" s="259">
        <v>1</v>
      </c>
      <c r="B200" s="135">
        <f>SUBTOTAL(103,$A$16:A200)</f>
        <v>182</v>
      </c>
      <c r="C200" s="94" t="s">
        <v>769</v>
      </c>
      <c r="D200" s="124">
        <v>1961</v>
      </c>
      <c r="E200" s="124"/>
      <c r="F200" s="129" t="s">
        <v>269</v>
      </c>
      <c r="G200" s="124">
        <v>2</v>
      </c>
      <c r="H200" s="124" t="s">
        <v>306</v>
      </c>
      <c r="I200" s="128">
        <v>296.39999999999998</v>
      </c>
      <c r="J200" s="128">
        <v>275.5</v>
      </c>
      <c r="K200" s="128">
        <v>275.5</v>
      </c>
      <c r="L200" s="126">
        <v>8</v>
      </c>
      <c r="M200" s="124" t="s">
        <v>267</v>
      </c>
      <c r="N200" s="124" t="s">
        <v>271</v>
      </c>
      <c r="O200" s="127" t="s">
        <v>808</v>
      </c>
      <c r="P200" s="128">
        <v>62023.07</v>
      </c>
      <c r="Q200" s="128">
        <v>0</v>
      </c>
      <c r="R200" s="128">
        <v>0</v>
      </c>
      <c r="S200" s="128">
        <f t="shared" si="26"/>
        <v>62023.07</v>
      </c>
      <c r="T200" s="128">
        <f t="shared" si="16"/>
        <v>209.25462213225373</v>
      </c>
      <c r="U200" s="128">
        <v>209.25462213225373</v>
      </c>
      <c r="V200" s="257">
        <f t="shared" si="18"/>
        <v>0</v>
      </c>
      <c r="W200" s="257">
        <f t="shared" si="27"/>
        <v>5577.9728407557359</v>
      </c>
      <c r="X200" s="257">
        <v>0</v>
      </c>
      <c r="Y200" s="258">
        <v>0</v>
      </c>
      <c r="Z200" s="258">
        <v>0</v>
      </c>
      <c r="AA200" s="258">
        <v>0</v>
      </c>
      <c r="AB200" s="258">
        <v>0</v>
      </c>
      <c r="AC200" s="258">
        <v>0</v>
      </c>
      <c r="AD200" s="258">
        <v>0</v>
      </c>
      <c r="AE200" s="258">
        <v>265</v>
      </c>
      <c r="AF200" s="257">
        <f>6238.91*AE200/I200</f>
        <v>5577.9728407557359</v>
      </c>
      <c r="AG200" s="258">
        <v>0</v>
      </c>
      <c r="AH200" s="257">
        <v>0</v>
      </c>
      <c r="AI200" s="258">
        <v>0</v>
      </c>
      <c r="AJ200" s="257">
        <v>0</v>
      </c>
      <c r="AK200" s="258">
        <v>0</v>
      </c>
      <c r="AL200" s="258">
        <v>0</v>
      </c>
      <c r="AM200" s="258">
        <v>0</v>
      </c>
      <c r="AN200" s="258"/>
      <c r="AO200" s="258">
        <v>0</v>
      </c>
    </row>
    <row r="201" spans="1:41" s="259" customFormat="1" ht="36" customHeight="1" x14ac:dyDescent="0.25">
      <c r="A201" s="259">
        <v>1</v>
      </c>
      <c r="B201" s="135">
        <f>SUBTOTAL(103,$A$16:A201)</f>
        <v>183</v>
      </c>
      <c r="C201" s="94" t="s">
        <v>770</v>
      </c>
      <c r="D201" s="124">
        <v>1988</v>
      </c>
      <c r="E201" s="124"/>
      <c r="F201" s="129" t="s">
        <v>320</v>
      </c>
      <c r="G201" s="124">
        <v>9</v>
      </c>
      <c r="H201" s="124" t="s">
        <v>314</v>
      </c>
      <c r="I201" s="128">
        <v>6561.4</v>
      </c>
      <c r="J201" s="128">
        <v>5844</v>
      </c>
      <c r="K201" s="128">
        <v>5844</v>
      </c>
      <c r="L201" s="126">
        <v>243</v>
      </c>
      <c r="M201" s="124" t="s">
        <v>267</v>
      </c>
      <c r="N201" s="124" t="s">
        <v>271</v>
      </c>
      <c r="O201" s="127" t="s">
        <v>809</v>
      </c>
      <c r="P201" s="128">
        <v>4939980.5199999996</v>
      </c>
      <c r="Q201" s="128">
        <v>0</v>
      </c>
      <c r="R201" s="128">
        <v>0</v>
      </c>
      <c r="S201" s="128">
        <f t="shared" si="26"/>
        <v>4939980.5199999996</v>
      </c>
      <c r="T201" s="128">
        <f t="shared" si="16"/>
        <v>752.88513427012526</v>
      </c>
      <c r="U201" s="128">
        <v>1123.7540768738379</v>
      </c>
      <c r="V201" s="257">
        <f t="shared" si="18"/>
        <v>370.86894260371264</v>
      </c>
      <c r="W201" s="257">
        <f t="shared" si="27"/>
        <v>1123.7540768738379</v>
      </c>
      <c r="X201" s="257">
        <v>0</v>
      </c>
      <c r="Y201" s="258">
        <v>0</v>
      </c>
      <c r="Z201" s="258">
        <v>0</v>
      </c>
      <c r="AA201" s="258">
        <v>0</v>
      </c>
      <c r="AB201" s="258">
        <v>0</v>
      </c>
      <c r="AC201" s="258">
        <v>3</v>
      </c>
      <c r="AD201" s="257">
        <f>2457800*AC201/I201</f>
        <v>1123.7540768738379</v>
      </c>
      <c r="AE201" s="258">
        <v>0</v>
      </c>
      <c r="AF201" s="257">
        <v>0</v>
      </c>
      <c r="AG201" s="258">
        <v>0</v>
      </c>
      <c r="AH201" s="257">
        <v>0</v>
      </c>
      <c r="AI201" s="258">
        <v>0</v>
      </c>
      <c r="AJ201" s="257">
        <v>0</v>
      </c>
      <c r="AK201" s="258">
        <v>0</v>
      </c>
      <c r="AL201" s="258">
        <v>0</v>
      </c>
      <c r="AM201" s="258">
        <v>0</v>
      </c>
      <c r="AN201" s="258"/>
      <c r="AO201" s="258">
        <v>0</v>
      </c>
    </row>
    <row r="202" spans="1:41" s="259" customFormat="1" ht="36" customHeight="1" x14ac:dyDescent="0.25">
      <c r="A202" s="259">
        <v>1</v>
      </c>
      <c r="B202" s="135">
        <f>SUBTOTAL(103,$A$16:A202)</f>
        <v>184</v>
      </c>
      <c r="C202" s="94" t="s">
        <v>771</v>
      </c>
      <c r="D202" s="124">
        <v>1988</v>
      </c>
      <c r="E202" s="124"/>
      <c r="F202" s="129" t="s">
        <v>269</v>
      </c>
      <c r="G202" s="124">
        <v>9</v>
      </c>
      <c r="H202" s="124" t="s">
        <v>310</v>
      </c>
      <c r="I202" s="128">
        <v>9256.7000000000007</v>
      </c>
      <c r="J202" s="128">
        <v>8471</v>
      </c>
      <c r="K202" s="128">
        <v>8471</v>
      </c>
      <c r="L202" s="126">
        <v>378</v>
      </c>
      <c r="M202" s="124" t="s">
        <v>267</v>
      </c>
      <c r="N202" s="124" t="s">
        <v>271</v>
      </c>
      <c r="O202" s="127" t="s">
        <v>808</v>
      </c>
      <c r="P202" s="128">
        <v>6608023.2199999997</v>
      </c>
      <c r="Q202" s="128">
        <v>0</v>
      </c>
      <c r="R202" s="128">
        <v>0</v>
      </c>
      <c r="S202" s="128">
        <f t="shared" si="26"/>
        <v>6608023.2199999997</v>
      </c>
      <c r="T202" s="128">
        <f t="shared" si="16"/>
        <v>713.8638197197705</v>
      </c>
      <c r="U202" s="128">
        <v>1062.0631542558363</v>
      </c>
      <c r="V202" s="257">
        <f t="shared" si="18"/>
        <v>348.19933453606575</v>
      </c>
      <c r="W202" s="257">
        <f t="shared" si="27"/>
        <v>1062.0631542558363</v>
      </c>
      <c r="X202" s="257">
        <v>0</v>
      </c>
      <c r="Y202" s="258">
        <v>0</v>
      </c>
      <c r="Z202" s="258">
        <v>0</v>
      </c>
      <c r="AA202" s="258">
        <v>0</v>
      </c>
      <c r="AB202" s="258">
        <v>0</v>
      </c>
      <c r="AC202" s="258">
        <v>4</v>
      </c>
      <c r="AD202" s="257">
        <f>2457800*AC202/I202</f>
        <v>1062.0631542558363</v>
      </c>
      <c r="AE202" s="258">
        <v>0</v>
      </c>
      <c r="AF202" s="257">
        <v>0</v>
      </c>
      <c r="AG202" s="258">
        <v>0</v>
      </c>
      <c r="AH202" s="257">
        <v>0</v>
      </c>
      <c r="AI202" s="258">
        <v>0</v>
      </c>
      <c r="AJ202" s="257">
        <v>0</v>
      </c>
      <c r="AK202" s="258">
        <v>0</v>
      </c>
      <c r="AL202" s="258">
        <v>0</v>
      </c>
      <c r="AM202" s="258">
        <v>0</v>
      </c>
      <c r="AN202" s="258"/>
      <c r="AO202" s="258">
        <v>0</v>
      </c>
    </row>
    <row r="203" spans="1:41" s="259" customFormat="1" ht="36" customHeight="1" x14ac:dyDescent="0.25">
      <c r="A203" s="259">
        <v>1</v>
      </c>
      <c r="B203" s="135">
        <f>SUBTOTAL(103,$A$16:A203)</f>
        <v>185</v>
      </c>
      <c r="C203" s="94" t="s">
        <v>772</v>
      </c>
      <c r="D203" s="124">
        <v>1984</v>
      </c>
      <c r="E203" s="124"/>
      <c r="F203" s="129" t="s">
        <v>320</v>
      </c>
      <c r="G203" s="124">
        <v>9</v>
      </c>
      <c r="H203" s="124" t="s">
        <v>353</v>
      </c>
      <c r="I203" s="128">
        <v>12333.3</v>
      </c>
      <c r="J203" s="128">
        <v>9669.2000000000007</v>
      </c>
      <c r="K203" s="128">
        <v>9669.2000000000007</v>
      </c>
      <c r="L203" s="126">
        <v>396</v>
      </c>
      <c r="M203" s="124" t="s">
        <v>267</v>
      </c>
      <c r="N203" s="124" t="s">
        <v>271</v>
      </c>
      <c r="O203" s="127" t="s">
        <v>810</v>
      </c>
      <c r="P203" s="128">
        <v>8162096.2000000002</v>
      </c>
      <c r="Q203" s="128">
        <v>0</v>
      </c>
      <c r="R203" s="128">
        <v>0</v>
      </c>
      <c r="S203" s="128">
        <f t="shared" si="26"/>
        <v>8162096.2000000002</v>
      </c>
      <c r="T203" s="128">
        <f t="shared" si="16"/>
        <v>661.79337241452015</v>
      </c>
      <c r="U203" s="128">
        <v>996.408098400266</v>
      </c>
      <c r="V203" s="257">
        <f t="shared" si="18"/>
        <v>334.61472598574585</v>
      </c>
      <c r="W203" s="257">
        <f t="shared" si="27"/>
        <v>996.408098400266</v>
      </c>
      <c r="X203" s="257">
        <v>0</v>
      </c>
      <c r="Y203" s="258">
        <v>0</v>
      </c>
      <c r="Z203" s="258">
        <v>0</v>
      </c>
      <c r="AA203" s="258">
        <v>0</v>
      </c>
      <c r="AB203" s="258">
        <v>0</v>
      </c>
      <c r="AC203" s="258">
        <v>5</v>
      </c>
      <c r="AD203" s="257">
        <f>2457800*AC203/I203</f>
        <v>996.408098400266</v>
      </c>
      <c r="AE203" s="258">
        <v>0</v>
      </c>
      <c r="AF203" s="257">
        <v>0</v>
      </c>
      <c r="AG203" s="258">
        <v>0</v>
      </c>
      <c r="AH203" s="257">
        <v>0</v>
      </c>
      <c r="AI203" s="258">
        <v>0</v>
      </c>
      <c r="AJ203" s="257">
        <v>0</v>
      </c>
      <c r="AK203" s="258">
        <v>0</v>
      </c>
      <c r="AL203" s="258">
        <v>0</v>
      </c>
      <c r="AM203" s="258">
        <v>0</v>
      </c>
      <c r="AN203" s="258"/>
      <c r="AO203" s="258">
        <v>0</v>
      </c>
    </row>
    <row r="204" spans="1:41" s="259" customFormat="1" ht="36" customHeight="1" x14ac:dyDescent="0.25">
      <c r="A204" s="259">
        <v>1</v>
      </c>
      <c r="B204" s="135">
        <f>SUBTOTAL(103,$A$16:A204)</f>
        <v>186</v>
      </c>
      <c r="C204" s="94" t="s">
        <v>773</v>
      </c>
      <c r="D204" s="124">
        <v>1987</v>
      </c>
      <c r="E204" s="124"/>
      <c r="F204" s="129" t="s">
        <v>320</v>
      </c>
      <c r="G204" s="124">
        <v>9</v>
      </c>
      <c r="H204" s="124" t="s">
        <v>353</v>
      </c>
      <c r="I204" s="128">
        <v>12462.6</v>
      </c>
      <c r="J204" s="128">
        <v>9746.7999999999993</v>
      </c>
      <c r="K204" s="128">
        <v>9746.7999999999993</v>
      </c>
      <c r="L204" s="126">
        <v>398</v>
      </c>
      <c r="M204" s="124" t="s">
        <v>267</v>
      </c>
      <c r="N204" s="124" t="s">
        <v>271</v>
      </c>
      <c r="O204" s="127" t="s">
        <v>810</v>
      </c>
      <c r="P204" s="128">
        <v>7899262.5999999996</v>
      </c>
      <c r="Q204" s="128">
        <v>0</v>
      </c>
      <c r="R204" s="128">
        <v>0</v>
      </c>
      <c r="S204" s="128">
        <f t="shared" si="26"/>
        <v>7899262.5999999996</v>
      </c>
      <c r="T204" s="128">
        <f t="shared" ref="T204:T268" si="28">P204/I204</f>
        <v>633.83744964935079</v>
      </c>
      <c r="U204" s="128">
        <v>986.07032240463468</v>
      </c>
      <c r="V204" s="257">
        <f t="shared" si="18"/>
        <v>352.23287275528389</v>
      </c>
      <c r="W204" s="257">
        <f t="shared" si="27"/>
        <v>986.07032240463468</v>
      </c>
      <c r="X204" s="257">
        <v>0</v>
      </c>
      <c r="Y204" s="258">
        <v>0</v>
      </c>
      <c r="Z204" s="258">
        <v>0</v>
      </c>
      <c r="AA204" s="258">
        <v>0</v>
      </c>
      <c r="AB204" s="258">
        <v>0</v>
      </c>
      <c r="AC204" s="258">
        <v>5</v>
      </c>
      <c r="AD204" s="257">
        <f>2457800*AC204/I204</f>
        <v>986.07032240463468</v>
      </c>
      <c r="AE204" s="258">
        <v>0</v>
      </c>
      <c r="AF204" s="257">
        <v>0</v>
      </c>
      <c r="AG204" s="258">
        <v>0</v>
      </c>
      <c r="AH204" s="257">
        <v>0</v>
      </c>
      <c r="AI204" s="258">
        <v>0</v>
      </c>
      <c r="AJ204" s="257">
        <v>0</v>
      </c>
      <c r="AK204" s="258">
        <v>0</v>
      </c>
      <c r="AL204" s="258">
        <v>0</v>
      </c>
      <c r="AM204" s="258">
        <v>0</v>
      </c>
      <c r="AN204" s="258"/>
      <c r="AO204" s="258">
        <v>0</v>
      </c>
    </row>
    <row r="205" spans="1:41" s="259" customFormat="1" ht="36" customHeight="1" x14ac:dyDescent="0.25">
      <c r="A205" s="259">
        <v>1</v>
      </c>
      <c r="B205" s="135">
        <f>SUBTOTAL(103,$A$16:A205)</f>
        <v>187</v>
      </c>
      <c r="C205" s="94" t="s">
        <v>774</v>
      </c>
      <c r="D205" s="124">
        <v>1937</v>
      </c>
      <c r="E205" s="124"/>
      <c r="F205" s="129" t="s">
        <v>269</v>
      </c>
      <c r="G205" s="124">
        <v>3</v>
      </c>
      <c r="H205" s="124" t="s">
        <v>310</v>
      </c>
      <c r="I205" s="128">
        <v>2718</v>
      </c>
      <c r="J205" s="128">
        <v>2039</v>
      </c>
      <c r="K205" s="128">
        <v>2039</v>
      </c>
      <c r="L205" s="126">
        <v>62</v>
      </c>
      <c r="M205" s="124" t="s">
        <v>267</v>
      </c>
      <c r="N205" s="124" t="s">
        <v>271</v>
      </c>
      <c r="O205" s="127" t="s">
        <v>811</v>
      </c>
      <c r="P205" s="128">
        <v>249196.36</v>
      </c>
      <c r="Q205" s="128">
        <v>0</v>
      </c>
      <c r="R205" s="128">
        <v>0</v>
      </c>
      <c r="S205" s="128">
        <f t="shared" si="26"/>
        <v>249196.36</v>
      </c>
      <c r="T205" s="128">
        <f t="shared" si="28"/>
        <v>91.683723325974981</v>
      </c>
      <c r="U205" s="128">
        <v>91.683723325974981</v>
      </c>
      <c r="V205" s="257">
        <f t="shared" si="18"/>
        <v>0</v>
      </c>
      <c r="W205" s="257">
        <f t="shared" si="27"/>
        <v>4341.5</v>
      </c>
      <c r="X205" s="257">
        <v>101.55</v>
      </c>
      <c r="Y205" s="258">
        <v>0</v>
      </c>
      <c r="Z205" s="258">
        <v>3259.66</v>
      </c>
      <c r="AA205" s="258">
        <v>184.98</v>
      </c>
      <c r="AB205" s="258">
        <v>795.31</v>
      </c>
      <c r="AC205" s="258">
        <v>0</v>
      </c>
      <c r="AD205" s="258">
        <v>0</v>
      </c>
      <c r="AE205" s="258">
        <v>0</v>
      </c>
      <c r="AF205" s="257">
        <v>0</v>
      </c>
      <c r="AG205" s="258">
        <v>0</v>
      </c>
      <c r="AH205" s="257">
        <v>0</v>
      </c>
      <c r="AI205" s="258">
        <v>0</v>
      </c>
      <c r="AJ205" s="257">
        <v>0</v>
      </c>
      <c r="AK205" s="258">
        <v>0</v>
      </c>
      <c r="AL205" s="258">
        <v>0</v>
      </c>
      <c r="AM205" s="258">
        <v>0</v>
      </c>
      <c r="AN205" s="258"/>
      <c r="AO205" s="258">
        <v>0</v>
      </c>
    </row>
    <row r="206" spans="1:41" s="259" customFormat="1" ht="36" customHeight="1" x14ac:dyDescent="0.25">
      <c r="A206" s="259">
        <v>1</v>
      </c>
      <c r="B206" s="135">
        <f>SUBTOTAL(103,$A$16:A206)</f>
        <v>188</v>
      </c>
      <c r="C206" s="94" t="s">
        <v>775</v>
      </c>
      <c r="D206" s="124">
        <v>1958</v>
      </c>
      <c r="E206" s="124"/>
      <c r="F206" s="129" t="s">
        <v>269</v>
      </c>
      <c r="G206" s="124">
        <v>2</v>
      </c>
      <c r="H206" s="124" t="s">
        <v>305</v>
      </c>
      <c r="I206" s="128">
        <v>478.27</v>
      </c>
      <c r="J206" s="128">
        <v>446.77</v>
      </c>
      <c r="K206" s="128">
        <v>446.77</v>
      </c>
      <c r="L206" s="126">
        <v>20</v>
      </c>
      <c r="M206" s="124" t="s">
        <v>267</v>
      </c>
      <c r="N206" s="124" t="s">
        <v>268</v>
      </c>
      <c r="O206" s="127" t="s">
        <v>270</v>
      </c>
      <c r="P206" s="128">
        <v>1703879.76</v>
      </c>
      <c r="Q206" s="128">
        <v>0</v>
      </c>
      <c r="R206" s="128">
        <v>0</v>
      </c>
      <c r="S206" s="128">
        <f t="shared" si="26"/>
        <v>1703879.76</v>
      </c>
      <c r="T206" s="128">
        <f t="shared" si="28"/>
        <v>3562.5896669245408</v>
      </c>
      <c r="U206" s="128">
        <v>8835.2358500428636</v>
      </c>
      <c r="V206" s="257">
        <f t="shared" si="18"/>
        <v>5272.6461831183224</v>
      </c>
      <c r="W206" s="257">
        <f t="shared" si="27"/>
        <v>8805.2026052229921</v>
      </c>
      <c r="X206" s="257">
        <v>0</v>
      </c>
      <c r="Y206" s="258">
        <v>0</v>
      </c>
      <c r="Z206" s="258">
        <v>0</v>
      </c>
      <c r="AA206" s="258">
        <v>0</v>
      </c>
      <c r="AB206" s="258">
        <v>0</v>
      </c>
      <c r="AC206" s="258">
        <v>0</v>
      </c>
      <c r="AD206" s="258">
        <v>0</v>
      </c>
      <c r="AE206" s="258">
        <v>675</v>
      </c>
      <c r="AF206" s="257">
        <f>6238.91*AE206/I206</f>
        <v>8805.2026052229921</v>
      </c>
      <c r="AG206" s="258">
        <v>0</v>
      </c>
      <c r="AH206" s="257">
        <v>0</v>
      </c>
      <c r="AI206" s="258">
        <v>0</v>
      </c>
      <c r="AJ206" s="257">
        <v>0</v>
      </c>
      <c r="AK206" s="258">
        <v>0</v>
      </c>
      <c r="AL206" s="258">
        <v>0</v>
      </c>
      <c r="AM206" s="258">
        <v>0</v>
      </c>
      <c r="AN206" s="258"/>
      <c r="AO206" s="258">
        <v>0</v>
      </c>
    </row>
    <row r="207" spans="1:41" s="259" customFormat="1" ht="36" customHeight="1" x14ac:dyDescent="0.25">
      <c r="A207" s="259">
        <v>1</v>
      </c>
      <c r="B207" s="135">
        <f>SUBTOTAL(103,$A$16:A207)</f>
        <v>189</v>
      </c>
      <c r="C207" s="94" t="s">
        <v>776</v>
      </c>
      <c r="D207" s="124">
        <v>1962</v>
      </c>
      <c r="E207" s="124"/>
      <c r="F207" s="129" t="s">
        <v>269</v>
      </c>
      <c r="G207" s="124">
        <v>6</v>
      </c>
      <c r="H207" s="124" t="s">
        <v>353</v>
      </c>
      <c r="I207" s="128">
        <v>5489.1</v>
      </c>
      <c r="J207" s="128">
        <v>4500.5</v>
      </c>
      <c r="K207" s="128">
        <v>4154.3</v>
      </c>
      <c r="L207" s="126">
        <v>130</v>
      </c>
      <c r="M207" s="124" t="s">
        <v>267</v>
      </c>
      <c r="N207" s="124" t="s">
        <v>271</v>
      </c>
      <c r="O207" s="127" t="s">
        <v>812</v>
      </c>
      <c r="P207" s="128">
        <v>114842.89</v>
      </c>
      <c r="Q207" s="128">
        <v>0</v>
      </c>
      <c r="R207" s="128">
        <v>0</v>
      </c>
      <c r="S207" s="128">
        <f t="shared" si="26"/>
        <v>114842.89</v>
      </c>
      <c r="T207" s="128">
        <f t="shared" si="28"/>
        <v>20.921989032810476</v>
      </c>
      <c r="U207" s="128">
        <v>20.921989032810476</v>
      </c>
      <c r="V207" s="257">
        <f t="shared" si="18"/>
        <v>0</v>
      </c>
      <c r="W207" s="257">
        <f>T207</f>
        <v>20.921989032810476</v>
      </c>
      <c r="X207" s="257">
        <v>0</v>
      </c>
      <c r="Y207" s="258">
        <v>0</v>
      </c>
      <c r="Z207" s="258">
        <v>0</v>
      </c>
      <c r="AA207" s="258">
        <v>0</v>
      </c>
      <c r="AB207" s="258">
        <v>0</v>
      </c>
      <c r="AC207" s="258">
        <v>0</v>
      </c>
      <c r="AD207" s="258">
        <v>0</v>
      </c>
      <c r="AE207" s="258">
        <v>0</v>
      </c>
      <c r="AF207" s="257">
        <v>0</v>
      </c>
      <c r="AG207" s="258">
        <v>0</v>
      </c>
      <c r="AH207" s="257">
        <v>0</v>
      </c>
      <c r="AI207" s="258">
        <v>0</v>
      </c>
      <c r="AJ207" s="257">
        <v>0</v>
      </c>
      <c r="AK207" s="258">
        <v>0</v>
      </c>
      <c r="AL207" s="258">
        <v>0</v>
      </c>
      <c r="AM207" s="258">
        <v>0</v>
      </c>
      <c r="AN207" s="258"/>
      <c r="AO207" s="258">
        <v>0</v>
      </c>
    </row>
    <row r="208" spans="1:41" s="259" customFormat="1" ht="36" customHeight="1" x14ac:dyDescent="0.25">
      <c r="A208" s="259">
        <v>1</v>
      </c>
      <c r="B208" s="135">
        <f>SUBTOTAL(103,$A$16:A208)</f>
        <v>190</v>
      </c>
      <c r="C208" s="94" t="s">
        <v>777</v>
      </c>
      <c r="D208" s="124">
        <v>1962</v>
      </c>
      <c r="E208" s="124"/>
      <c r="F208" s="129" t="s">
        <v>269</v>
      </c>
      <c r="G208" s="124">
        <v>4</v>
      </c>
      <c r="H208" s="124" t="s">
        <v>314</v>
      </c>
      <c r="I208" s="128">
        <v>2946.2</v>
      </c>
      <c r="J208" s="128">
        <v>1967.3</v>
      </c>
      <c r="K208" s="128">
        <v>1810.2</v>
      </c>
      <c r="L208" s="126">
        <v>95</v>
      </c>
      <c r="M208" s="124" t="s">
        <v>267</v>
      </c>
      <c r="N208" s="124" t="s">
        <v>271</v>
      </c>
      <c r="O208" s="127" t="s">
        <v>809</v>
      </c>
      <c r="P208" s="128">
        <v>136497.56</v>
      </c>
      <c r="Q208" s="128">
        <v>0</v>
      </c>
      <c r="R208" s="128">
        <v>0</v>
      </c>
      <c r="S208" s="128">
        <f t="shared" si="26"/>
        <v>136497.56</v>
      </c>
      <c r="T208" s="128">
        <f t="shared" si="28"/>
        <v>46.330038693910801</v>
      </c>
      <c r="U208" s="128">
        <v>46.330038693910801</v>
      </c>
      <c r="V208" s="257">
        <f t="shared" si="18"/>
        <v>0</v>
      </c>
      <c r="W208" s="257">
        <f t="shared" si="27"/>
        <v>2287.0215192451292</v>
      </c>
      <c r="X208" s="257">
        <v>0</v>
      </c>
      <c r="Y208" s="258">
        <v>0</v>
      </c>
      <c r="Z208" s="258">
        <v>0</v>
      </c>
      <c r="AA208" s="258">
        <v>0</v>
      </c>
      <c r="AB208" s="258">
        <v>0</v>
      </c>
      <c r="AC208" s="258">
        <v>0</v>
      </c>
      <c r="AD208" s="258">
        <v>0</v>
      </c>
      <c r="AE208" s="258">
        <v>1080</v>
      </c>
      <c r="AF208" s="257">
        <f>6238.91*AE208/I208</f>
        <v>2287.0215192451292</v>
      </c>
      <c r="AG208" s="258">
        <v>0</v>
      </c>
      <c r="AH208" s="257">
        <v>0</v>
      </c>
      <c r="AI208" s="258">
        <v>0</v>
      </c>
      <c r="AJ208" s="257">
        <v>0</v>
      </c>
      <c r="AK208" s="258">
        <v>0</v>
      </c>
      <c r="AL208" s="258">
        <v>0</v>
      </c>
      <c r="AM208" s="258">
        <v>0</v>
      </c>
      <c r="AN208" s="258"/>
      <c r="AO208" s="258">
        <v>0</v>
      </c>
    </row>
    <row r="209" spans="1:41" s="259" customFormat="1" ht="36" customHeight="1" x14ac:dyDescent="0.25">
      <c r="A209" s="259">
        <v>1</v>
      </c>
      <c r="B209" s="135">
        <f>SUBTOTAL(103,$A$16:A209)</f>
        <v>191</v>
      </c>
      <c r="C209" s="94" t="s">
        <v>1169</v>
      </c>
      <c r="D209" s="124">
        <v>1954</v>
      </c>
      <c r="E209" s="124"/>
      <c r="F209" s="129" t="s">
        <v>269</v>
      </c>
      <c r="G209" s="124">
        <v>2</v>
      </c>
      <c r="H209" s="124" t="s">
        <v>306</v>
      </c>
      <c r="I209" s="128">
        <v>777.3</v>
      </c>
      <c r="J209" s="128">
        <v>475.5</v>
      </c>
      <c r="K209" s="128">
        <v>475.5</v>
      </c>
      <c r="L209" s="126">
        <v>37</v>
      </c>
      <c r="M209" s="124" t="s">
        <v>267</v>
      </c>
      <c r="N209" s="124" t="s">
        <v>271</v>
      </c>
      <c r="O209" s="127" t="s">
        <v>1304</v>
      </c>
      <c r="P209" s="128">
        <v>3517276.18</v>
      </c>
      <c r="Q209" s="128">
        <v>0</v>
      </c>
      <c r="R209" s="128">
        <v>0</v>
      </c>
      <c r="S209" s="128">
        <f t="shared" si="26"/>
        <v>3517276.18</v>
      </c>
      <c r="T209" s="128">
        <f t="shared" si="28"/>
        <v>4524.991869291136</v>
      </c>
      <c r="U209" s="128">
        <v>7806.2219297568508</v>
      </c>
      <c r="V209" s="257">
        <f t="shared" si="18"/>
        <v>3281.2300604657148</v>
      </c>
      <c r="W209" s="257">
        <f t="shared" si="27"/>
        <v>11838.814784510487</v>
      </c>
      <c r="X209" s="257">
        <v>0</v>
      </c>
      <c r="Y209" s="258">
        <v>0</v>
      </c>
      <c r="Z209" s="258">
        <v>0</v>
      </c>
      <c r="AA209" s="258">
        <v>0</v>
      </c>
      <c r="AB209" s="258">
        <v>795.31</v>
      </c>
      <c r="AC209" s="258">
        <v>0</v>
      </c>
      <c r="AD209" s="258">
        <v>0</v>
      </c>
      <c r="AE209" s="258">
        <v>1375.9</v>
      </c>
      <c r="AF209" s="257">
        <f>6238.91*AE209/I209</f>
        <v>11043.504784510487</v>
      </c>
      <c r="AG209" s="258">
        <v>0</v>
      </c>
      <c r="AH209" s="257">
        <v>0</v>
      </c>
      <c r="AI209" s="258">
        <v>0</v>
      </c>
      <c r="AJ209" s="257">
        <v>0</v>
      </c>
      <c r="AK209" s="258">
        <v>0</v>
      </c>
      <c r="AL209" s="258">
        <v>0</v>
      </c>
      <c r="AM209" s="258">
        <v>0</v>
      </c>
      <c r="AN209" s="258"/>
      <c r="AO209" s="258">
        <v>0</v>
      </c>
    </row>
    <row r="210" spans="1:41" s="259" customFormat="1" ht="36" customHeight="1" x14ac:dyDescent="0.25">
      <c r="A210" s="259">
        <v>1</v>
      </c>
      <c r="B210" s="135">
        <f>SUBTOTAL(103,$A$16:A210)</f>
        <v>192</v>
      </c>
      <c r="C210" s="94" t="s">
        <v>1170</v>
      </c>
      <c r="D210" s="124">
        <v>1937</v>
      </c>
      <c r="E210" s="124"/>
      <c r="F210" s="129" t="s">
        <v>269</v>
      </c>
      <c r="G210" s="124" t="s">
        <v>310</v>
      </c>
      <c r="H210" s="124" t="s">
        <v>310</v>
      </c>
      <c r="I210" s="128">
        <v>2626</v>
      </c>
      <c r="J210" s="128">
        <v>2536</v>
      </c>
      <c r="K210" s="128">
        <v>2536</v>
      </c>
      <c r="L210" s="126">
        <v>96</v>
      </c>
      <c r="M210" s="124" t="s">
        <v>267</v>
      </c>
      <c r="N210" s="124" t="s">
        <v>271</v>
      </c>
      <c r="O210" s="127" t="s">
        <v>816</v>
      </c>
      <c r="P210" s="128">
        <v>581865.37</v>
      </c>
      <c r="Q210" s="128">
        <v>0</v>
      </c>
      <c r="R210" s="128">
        <v>0</v>
      </c>
      <c r="S210" s="128">
        <f t="shared" si="26"/>
        <v>581865.37</v>
      </c>
      <c r="T210" s="128">
        <f t="shared" si="28"/>
        <v>221.57858720487434</v>
      </c>
      <c r="U210" s="128">
        <v>810.46</v>
      </c>
      <c r="V210" s="257">
        <f t="shared" ref="V210:V234" si="29">U210-T210</f>
        <v>588.8814127951257</v>
      </c>
      <c r="W210" s="257">
        <f t="shared" si="27"/>
        <v>2310.653581873572</v>
      </c>
      <c r="X210" s="257">
        <v>0</v>
      </c>
      <c r="Y210" s="258">
        <v>0</v>
      </c>
      <c r="Z210" s="258">
        <v>0</v>
      </c>
      <c r="AA210" s="258">
        <v>0</v>
      </c>
      <c r="AB210" s="258">
        <v>0</v>
      </c>
      <c r="AC210" s="258">
        <v>0</v>
      </c>
      <c r="AD210" s="258">
        <v>0</v>
      </c>
      <c r="AE210" s="258">
        <v>0</v>
      </c>
      <c r="AF210" s="257">
        <v>0</v>
      </c>
      <c r="AG210" s="258">
        <v>0</v>
      </c>
      <c r="AH210" s="257">
        <v>0</v>
      </c>
      <c r="AI210" s="258">
        <v>815.66</v>
      </c>
      <c r="AJ210" s="257">
        <f>7439.1*AI210/I210</f>
        <v>2310.653581873572</v>
      </c>
      <c r="AK210" s="258">
        <v>0</v>
      </c>
      <c r="AL210" s="258">
        <v>0</v>
      </c>
      <c r="AM210" s="258">
        <v>0</v>
      </c>
      <c r="AN210" s="258"/>
      <c r="AO210" s="258">
        <v>0</v>
      </c>
    </row>
    <row r="211" spans="1:41" s="259" customFormat="1" ht="36" customHeight="1" x14ac:dyDescent="0.25">
      <c r="A211" s="259">
        <v>1</v>
      </c>
      <c r="B211" s="135">
        <f>SUBTOTAL(103,$A$16:A211)</f>
        <v>193</v>
      </c>
      <c r="C211" s="94" t="s">
        <v>1171</v>
      </c>
      <c r="D211" s="124">
        <v>1934</v>
      </c>
      <c r="E211" s="124"/>
      <c r="F211" s="129" t="s">
        <v>269</v>
      </c>
      <c r="G211" s="124">
        <v>4</v>
      </c>
      <c r="H211" s="124" t="s">
        <v>373</v>
      </c>
      <c r="I211" s="128">
        <v>3106.06</v>
      </c>
      <c r="J211" s="128">
        <v>3106.06</v>
      </c>
      <c r="K211" s="128">
        <v>3042.06</v>
      </c>
      <c r="L211" s="126">
        <v>138</v>
      </c>
      <c r="M211" s="124" t="s">
        <v>267</v>
      </c>
      <c r="N211" s="124" t="s">
        <v>271</v>
      </c>
      <c r="O211" s="127" t="s">
        <v>1615</v>
      </c>
      <c r="P211" s="128">
        <v>5597667.4300000006</v>
      </c>
      <c r="Q211" s="128">
        <v>0</v>
      </c>
      <c r="R211" s="128">
        <v>0</v>
      </c>
      <c r="S211" s="128">
        <f t="shared" si="26"/>
        <v>5597667.4300000006</v>
      </c>
      <c r="T211" s="128">
        <f t="shared" si="28"/>
        <v>1802.1762071563332</v>
      </c>
      <c r="U211" s="128">
        <v>2431.1076997224777</v>
      </c>
      <c r="V211" s="257">
        <f t="shared" si="29"/>
        <v>628.93149256614447</v>
      </c>
      <c r="W211" s="257">
        <f t="shared" si="27"/>
        <v>795.31</v>
      </c>
      <c r="X211" s="257">
        <v>0</v>
      </c>
      <c r="Y211" s="258">
        <v>0</v>
      </c>
      <c r="Z211" s="258">
        <v>0</v>
      </c>
      <c r="AA211" s="258">
        <v>0</v>
      </c>
      <c r="AB211" s="258">
        <v>795.31</v>
      </c>
      <c r="AC211" s="258">
        <v>0</v>
      </c>
      <c r="AD211" s="258">
        <v>0</v>
      </c>
      <c r="AE211" s="258">
        <v>0</v>
      </c>
      <c r="AF211" s="257">
        <v>0</v>
      </c>
      <c r="AG211" s="258">
        <v>0</v>
      </c>
      <c r="AH211" s="257">
        <v>0</v>
      </c>
      <c r="AI211" s="258">
        <v>0</v>
      </c>
      <c r="AJ211" s="257">
        <v>0</v>
      </c>
      <c r="AK211" s="258">
        <v>0</v>
      </c>
      <c r="AL211" s="258">
        <v>0</v>
      </c>
      <c r="AM211" s="258">
        <v>0</v>
      </c>
      <c r="AN211" s="258"/>
      <c r="AO211" s="258">
        <v>0</v>
      </c>
    </row>
    <row r="212" spans="1:41" s="259" customFormat="1" ht="36" customHeight="1" x14ac:dyDescent="0.25">
      <c r="A212" s="259">
        <v>1</v>
      </c>
      <c r="B212" s="135">
        <f>SUBTOTAL(103,$A$16:A212)</f>
        <v>194</v>
      </c>
      <c r="C212" s="94" t="s">
        <v>1174</v>
      </c>
      <c r="D212" s="124">
        <v>1981</v>
      </c>
      <c r="E212" s="124"/>
      <c r="F212" s="129" t="s">
        <v>320</v>
      </c>
      <c r="G212" s="124">
        <v>5</v>
      </c>
      <c r="H212" s="124" t="s">
        <v>373</v>
      </c>
      <c r="I212" s="128">
        <v>6247.1</v>
      </c>
      <c r="J212" s="128">
        <v>4719.7</v>
      </c>
      <c r="K212" s="128">
        <v>4641.3999999999996</v>
      </c>
      <c r="L212" s="126">
        <v>189</v>
      </c>
      <c r="M212" s="124" t="s">
        <v>267</v>
      </c>
      <c r="N212" s="124" t="s">
        <v>271</v>
      </c>
      <c r="O212" s="127" t="s">
        <v>1350</v>
      </c>
      <c r="P212" s="128">
        <v>3797251.5799999996</v>
      </c>
      <c r="Q212" s="128">
        <v>0</v>
      </c>
      <c r="R212" s="128">
        <v>0</v>
      </c>
      <c r="S212" s="128">
        <f t="shared" si="26"/>
        <v>3797251.5799999996</v>
      </c>
      <c r="T212" s="128">
        <f t="shared" si="28"/>
        <v>607.84229162331314</v>
      </c>
      <c r="U212" s="128">
        <v>1114.2298444078051</v>
      </c>
      <c r="V212" s="257">
        <f t="shared" si="29"/>
        <v>506.38755278449196</v>
      </c>
      <c r="W212" s="257">
        <f t="shared" si="27"/>
        <v>1204.6386355588993</v>
      </c>
      <c r="X212" s="257">
        <v>0</v>
      </c>
      <c r="Y212" s="258">
        <v>0</v>
      </c>
      <c r="Z212" s="258">
        <v>0</v>
      </c>
      <c r="AA212" s="258">
        <v>0</v>
      </c>
      <c r="AB212" s="258">
        <v>0</v>
      </c>
      <c r="AC212" s="258">
        <v>0</v>
      </c>
      <c r="AD212" s="258">
        <v>0</v>
      </c>
      <c r="AE212" s="258">
        <v>1206.22</v>
      </c>
      <c r="AF212" s="257">
        <f>6238.91*AE212/I212</f>
        <v>1204.6386355588993</v>
      </c>
      <c r="AG212" s="258">
        <v>0</v>
      </c>
      <c r="AH212" s="257">
        <v>0</v>
      </c>
      <c r="AI212" s="258">
        <v>0</v>
      </c>
      <c r="AJ212" s="257">
        <v>0</v>
      </c>
      <c r="AK212" s="258">
        <v>0</v>
      </c>
      <c r="AL212" s="258">
        <v>0</v>
      </c>
      <c r="AM212" s="258">
        <v>0</v>
      </c>
      <c r="AN212" s="258"/>
      <c r="AO212" s="258">
        <v>0</v>
      </c>
    </row>
    <row r="213" spans="1:41" s="259" customFormat="1" ht="36" customHeight="1" x14ac:dyDescent="0.25">
      <c r="A213" s="259">
        <v>1</v>
      </c>
      <c r="B213" s="135">
        <f>SUBTOTAL(103,$A$16:A213)</f>
        <v>195</v>
      </c>
      <c r="C213" s="94" t="s">
        <v>1175</v>
      </c>
      <c r="D213" s="124" t="s">
        <v>1332</v>
      </c>
      <c r="E213" s="124"/>
      <c r="F213" s="129" t="s">
        <v>269</v>
      </c>
      <c r="G213" s="124" t="s">
        <v>305</v>
      </c>
      <c r="H213" s="124" t="s">
        <v>306</v>
      </c>
      <c r="I213" s="128">
        <v>286.8</v>
      </c>
      <c r="J213" s="128">
        <v>286.8</v>
      </c>
      <c r="K213" s="128">
        <v>286.8</v>
      </c>
      <c r="L213" s="126">
        <v>9</v>
      </c>
      <c r="M213" s="124" t="s">
        <v>267</v>
      </c>
      <c r="N213" s="124" t="s">
        <v>268</v>
      </c>
      <c r="O213" s="127" t="s">
        <v>270</v>
      </c>
      <c r="P213" s="128">
        <v>1338677.8699999999</v>
      </c>
      <c r="Q213" s="128">
        <v>0</v>
      </c>
      <c r="R213" s="128">
        <v>0</v>
      </c>
      <c r="S213" s="128">
        <f t="shared" si="26"/>
        <v>1338677.8699999999</v>
      </c>
      <c r="T213" s="128">
        <f t="shared" si="28"/>
        <v>4667.6355299860525</v>
      </c>
      <c r="U213" s="128">
        <v>9843.0602092050212</v>
      </c>
      <c r="V213" s="257">
        <f t="shared" si="29"/>
        <v>5175.4246792189688</v>
      </c>
      <c r="W213" s="257">
        <f t="shared" si="27"/>
        <v>980.29</v>
      </c>
      <c r="X213" s="257">
        <v>0</v>
      </c>
      <c r="Y213" s="258">
        <v>0</v>
      </c>
      <c r="Z213" s="258">
        <v>0</v>
      </c>
      <c r="AA213" s="258">
        <v>184.98</v>
      </c>
      <c r="AB213" s="258">
        <v>795.31</v>
      </c>
      <c r="AC213" s="258">
        <v>0</v>
      </c>
      <c r="AD213" s="258">
        <v>0</v>
      </c>
      <c r="AE213" s="258">
        <v>0</v>
      </c>
      <c r="AF213" s="257">
        <v>0</v>
      </c>
      <c r="AG213" s="258">
        <v>0</v>
      </c>
      <c r="AH213" s="257">
        <v>0</v>
      </c>
      <c r="AI213" s="258">
        <v>0</v>
      </c>
      <c r="AJ213" s="257">
        <v>0</v>
      </c>
      <c r="AK213" s="258">
        <v>0</v>
      </c>
      <c r="AL213" s="258">
        <v>0</v>
      </c>
      <c r="AM213" s="258">
        <v>0</v>
      </c>
      <c r="AN213" s="258"/>
      <c r="AO213" s="258">
        <v>0</v>
      </c>
    </row>
    <row r="214" spans="1:41" s="259" customFormat="1" ht="36" customHeight="1" x14ac:dyDescent="0.25">
      <c r="A214" s="259">
        <v>1</v>
      </c>
      <c r="B214" s="135">
        <f>SUBTOTAL(103,$A$16:A214)</f>
        <v>196</v>
      </c>
      <c r="C214" s="94" t="s">
        <v>1176</v>
      </c>
      <c r="D214" s="124">
        <v>1979</v>
      </c>
      <c r="E214" s="124"/>
      <c r="F214" s="129" t="s">
        <v>269</v>
      </c>
      <c r="G214" s="124">
        <v>9</v>
      </c>
      <c r="H214" s="124" t="s">
        <v>2297</v>
      </c>
      <c r="I214" s="128">
        <v>21489.200000000001</v>
      </c>
      <c r="J214" s="128">
        <v>21489.200000000001</v>
      </c>
      <c r="K214" s="128">
        <v>21320.3</v>
      </c>
      <c r="L214" s="126">
        <v>1110</v>
      </c>
      <c r="M214" s="124" t="s">
        <v>267</v>
      </c>
      <c r="N214" s="124" t="s">
        <v>271</v>
      </c>
      <c r="O214" s="127" t="s">
        <v>809</v>
      </c>
      <c r="P214" s="128">
        <v>4355063.8499999996</v>
      </c>
      <c r="Q214" s="128">
        <v>0</v>
      </c>
      <c r="R214" s="128">
        <v>0</v>
      </c>
      <c r="S214" s="128">
        <f t="shared" si="26"/>
        <v>4355063.8499999996</v>
      </c>
      <c r="T214" s="128">
        <f t="shared" si="28"/>
        <v>202.66291206745711</v>
      </c>
      <c r="U214" s="128">
        <v>343.12119576345327</v>
      </c>
      <c r="V214" s="257">
        <f t="shared" si="29"/>
        <v>140.45828369599616</v>
      </c>
      <c r="W214" s="257">
        <f t="shared" si="27"/>
        <v>322.81536906911379</v>
      </c>
      <c r="X214" s="257">
        <v>0</v>
      </c>
      <c r="Y214" s="258">
        <v>0</v>
      </c>
      <c r="Z214" s="258">
        <v>0</v>
      </c>
      <c r="AA214" s="258">
        <v>0</v>
      </c>
      <c r="AB214" s="258">
        <v>0</v>
      </c>
      <c r="AC214" s="258">
        <v>0</v>
      </c>
      <c r="AD214" s="258">
        <v>0</v>
      </c>
      <c r="AE214" s="258">
        <v>1111.9000000000001</v>
      </c>
      <c r="AF214" s="257">
        <f>6238.91*AE214/I214</f>
        <v>322.81536906911379</v>
      </c>
      <c r="AG214" s="258">
        <v>0</v>
      </c>
      <c r="AH214" s="257">
        <v>0</v>
      </c>
      <c r="AI214" s="258">
        <v>0</v>
      </c>
      <c r="AJ214" s="257">
        <v>0</v>
      </c>
      <c r="AK214" s="258">
        <v>0</v>
      </c>
      <c r="AL214" s="258">
        <v>0</v>
      </c>
      <c r="AM214" s="258">
        <v>0</v>
      </c>
      <c r="AN214" s="258"/>
      <c r="AO214" s="258">
        <v>0</v>
      </c>
    </row>
    <row r="215" spans="1:41" s="259" customFormat="1" ht="36" customHeight="1" x14ac:dyDescent="0.25">
      <c r="A215" s="259">
        <v>1</v>
      </c>
      <c r="B215" s="135">
        <f>SUBTOTAL(103,$A$16:A215)</f>
        <v>197</v>
      </c>
      <c r="C215" s="94" t="s">
        <v>1177</v>
      </c>
      <c r="D215" s="124">
        <v>1949</v>
      </c>
      <c r="E215" s="124"/>
      <c r="F215" s="129" t="s">
        <v>269</v>
      </c>
      <c r="G215" s="124">
        <v>2</v>
      </c>
      <c r="H215" s="124" t="s">
        <v>306</v>
      </c>
      <c r="I215" s="128">
        <v>402.7</v>
      </c>
      <c r="J215" s="128">
        <v>402.7</v>
      </c>
      <c r="K215" s="128">
        <v>402.7</v>
      </c>
      <c r="L215" s="126">
        <v>20</v>
      </c>
      <c r="M215" s="124" t="s">
        <v>267</v>
      </c>
      <c r="N215" s="124" t="s">
        <v>271</v>
      </c>
      <c r="O215" s="127" t="s">
        <v>1304</v>
      </c>
      <c r="P215" s="128">
        <v>1700754.66</v>
      </c>
      <c r="Q215" s="128">
        <v>0</v>
      </c>
      <c r="R215" s="128">
        <v>0</v>
      </c>
      <c r="S215" s="128">
        <f t="shared" si="26"/>
        <v>1700754.66</v>
      </c>
      <c r="T215" s="128">
        <f t="shared" si="28"/>
        <v>4223.3788428110256</v>
      </c>
      <c r="U215" s="128">
        <v>9303.7703600695313</v>
      </c>
      <c r="V215" s="257">
        <f t="shared" si="29"/>
        <v>5080.3915172585057</v>
      </c>
      <c r="W215" s="257">
        <f t="shared" si="27"/>
        <v>7010.1556195679168</v>
      </c>
      <c r="X215" s="257">
        <v>0</v>
      </c>
      <c r="Y215" s="258">
        <v>0</v>
      </c>
      <c r="Z215" s="258">
        <v>0</v>
      </c>
      <c r="AA215" s="258">
        <v>0</v>
      </c>
      <c r="AB215" s="258">
        <v>0</v>
      </c>
      <c r="AC215" s="258">
        <v>0</v>
      </c>
      <c r="AD215" s="258">
        <v>0</v>
      </c>
      <c r="AE215" s="258">
        <v>0</v>
      </c>
      <c r="AF215" s="257">
        <v>0</v>
      </c>
      <c r="AG215" s="258">
        <v>0</v>
      </c>
      <c r="AH215" s="257">
        <v>0</v>
      </c>
      <c r="AI215" s="258">
        <v>379.48</v>
      </c>
      <c r="AJ215" s="257">
        <f>7439.1*AI215/I215</f>
        <v>7010.1556195679168</v>
      </c>
      <c r="AK215" s="258">
        <v>0</v>
      </c>
      <c r="AL215" s="258">
        <v>0</v>
      </c>
      <c r="AM215" s="258">
        <v>0</v>
      </c>
      <c r="AN215" s="258"/>
      <c r="AO215" s="258">
        <v>0</v>
      </c>
    </row>
    <row r="216" spans="1:41" s="259" customFormat="1" ht="36" customHeight="1" x14ac:dyDescent="0.25">
      <c r="A216" s="259">
        <v>1</v>
      </c>
      <c r="B216" s="135">
        <f>SUBTOTAL(103,$A$16:A216)</f>
        <v>198</v>
      </c>
      <c r="C216" s="94" t="s">
        <v>1178</v>
      </c>
      <c r="D216" s="124">
        <v>1958</v>
      </c>
      <c r="E216" s="124"/>
      <c r="F216" s="129" t="s">
        <v>269</v>
      </c>
      <c r="G216" s="124">
        <v>2</v>
      </c>
      <c r="H216" s="124" t="s">
        <v>306</v>
      </c>
      <c r="I216" s="128">
        <v>294.39999999999998</v>
      </c>
      <c r="J216" s="128">
        <v>294.39999999999998</v>
      </c>
      <c r="K216" s="128">
        <v>294.39999999999998</v>
      </c>
      <c r="L216" s="126">
        <v>10</v>
      </c>
      <c r="M216" s="124" t="s">
        <v>267</v>
      </c>
      <c r="N216" s="124" t="s">
        <v>271</v>
      </c>
      <c r="O216" s="127" t="s">
        <v>1304</v>
      </c>
      <c r="P216" s="128">
        <v>1561052.04</v>
      </c>
      <c r="Q216" s="128">
        <v>0</v>
      </c>
      <c r="R216" s="128">
        <v>0</v>
      </c>
      <c r="S216" s="128">
        <f t="shared" si="26"/>
        <v>1561052.04</v>
      </c>
      <c r="T216" s="128">
        <f t="shared" si="28"/>
        <v>5302.4865489130443</v>
      </c>
      <c r="U216" s="128">
        <v>9517.7017866847855</v>
      </c>
      <c r="V216" s="257">
        <f t="shared" si="29"/>
        <v>4215.2152377717412</v>
      </c>
      <c r="W216" s="257">
        <f t="shared" si="27"/>
        <v>25045.516304347828</v>
      </c>
      <c r="X216" s="257">
        <v>0</v>
      </c>
      <c r="Y216" s="258">
        <v>0</v>
      </c>
      <c r="Z216" s="258">
        <v>0</v>
      </c>
      <c r="AA216" s="258">
        <v>0</v>
      </c>
      <c r="AB216" s="258">
        <v>0</v>
      </c>
      <c r="AC216" s="258">
        <v>3</v>
      </c>
      <c r="AD216" s="257">
        <f>2457800*AC216/I216</f>
        <v>25045.516304347828</v>
      </c>
      <c r="AE216" s="258">
        <v>0</v>
      </c>
      <c r="AF216" s="257">
        <v>0</v>
      </c>
      <c r="AG216" s="258">
        <v>0</v>
      </c>
      <c r="AH216" s="257">
        <v>0</v>
      </c>
      <c r="AI216" s="258">
        <v>0</v>
      </c>
      <c r="AJ216" s="257">
        <v>0</v>
      </c>
      <c r="AK216" s="258">
        <v>0</v>
      </c>
      <c r="AL216" s="258">
        <v>0</v>
      </c>
      <c r="AM216" s="258">
        <v>0</v>
      </c>
      <c r="AN216" s="258"/>
      <c r="AO216" s="258">
        <v>0</v>
      </c>
    </row>
    <row r="217" spans="1:41" s="259" customFormat="1" ht="36" customHeight="1" x14ac:dyDescent="0.25">
      <c r="A217" s="259">
        <v>1</v>
      </c>
      <c r="B217" s="135">
        <f>SUBTOTAL(103,$A$16:A217)</f>
        <v>199</v>
      </c>
      <c r="C217" s="94" t="s">
        <v>1179</v>
      </c>
      <c r="D217" s="124">
        <v>1993</v>
      </c>
      <c r="E217" s="124"/>
      <c r="F217" s="129" t="s">
        <v>320</v>
      </c>
      <c r="G217" s="124">
        <v>9</v>
      </c>
      <c r="H217" s="124" t="s">
        <v>310</v>
      </c>
      <c r="I217" s="128">
        <v>10873.5</v>
      </c>
      <c r="J217" s="128">
        <v>7723.2</v>
      </c>
      <c r="K217" s="128">
        <v>7661.3</v>
      </c>
      <c r="L217" s="126">
        <v>328</v>
      </c>
      <c r="M217" s="124" t="s">
        <v>267</v>
      </c>
      <c r="N217" s="124" t="s">
        <v>271</v>
      </c>
      <c r="O217" s="127" t="s">
        <v>1351</v>
      </c>
      <c r="P217" s="128">
        <v>6356844.0800000001</v>
      </c>
      <c r="Q217" s="128">
        <v>0</v>
      </c>
      <c r="R217" s="128">
        <v>0</v>
      </c>
      <c r="S217" s="128">
        <f t="shared" si="26"/>
        <v>6356844.0800000001</v>
      </c>
      <c r="T217" s="128">
        <f t="shared" si="28"/>
        <v>584.61802363544393</v>
      </c>
      <c r="U217" s="128">
        <v>904.14310019772847</v>
      </c>
      <c r="V217" s="257">
        <f t="shared" si="29"/>
        <v>319.52507656228454</v>
      </c>
      <c r="W217" s="257">
        <f t="shared" si="27"/>
        <v>344.56507325148294</v>
      </c>
      <c r="X217" s="257">
        <v>0</v>
      </c>
      <c r="Y217" s="258">
        <v>0</v>
      </c>
      <c r="Z217" s="258">
        <v>0</v>
      </c>
      <c r="AA217" s="258">
        <v>0</v>
      </c>
      <c r="AB217" s="258">
        <v>0</v>
      </c>
      <c r="AC217" s="258">
        <v>0</v>
      </c>
      <c r="AD217" s="258">
        <v>0</v>
      </c>
      <c r="AE217" s="258">
        <v>0</v>
      </c>
      <c r="AF217" s="257">
        <v>0</v>
      </c>
      <c r="AG217" s="258">
        <v>0</v>
      </c>
      <c r="AH217" s="257">
        <v>0</v>
      </c>
      <c r="AI217" s="258">
        <v>503.64</v>
      </c>
      <c r="AJ217" s="257">
        <f>7439.1*AI217/I217</f>
        <v>344.56507325148294</v>
      </c>
      <c r="AK217" s="258">
        <v>0</v>
      </c>
      <c r="AL217" s="258">
        <v>0</v>
      </c>
      <c r="AM217" s="258">
        <v>0</v>
      </c>
      <c r="AN217" s="258"/>
      <c r="AO217" s="258">
        <v>0</v>
      </c>
    </row>
    <row r="218" spans="1:41" s="259" customFormat="1" ht="36" customHeight="1" x14ac:dyDescent="0.25">
      <c r="A218" s="259">
        <v>1</v>
      </c>
      <c r="B218" s="135">
        <f>SUBTOTAL(103,$A$16:A218)</f>
        <v>200</v>
      </c>
      <c r="C218" s="94" t="s">
        <v>1283</v>
      </c>
      <c r="D218" s="124">
        <v>1931</v>
      </c>
      <c r="E218" s="124"/>
      <c r="F218" s="129" t="s">
        <v>269</v>
      </c>
      <c r="G218" s="124">
        <v>4</v>
      </c>
      <c r="H218" s="124" t="s">
        <v>373</v>
      </c>
      <c r="I218" s="128">
        <v>4408.1000000000004</v>
      </c>
      <c r="J218" s="128">
        <v>4408.1000000000004</v>
      </c>
      <c r="K218" s="128">
        <v>2703.21</v>
      </c>
      <c r="L218" s="126">
        <v>109</v>
      </c>
      <c r="M218" s="124" t="s">
        <v>267</v>
      </c>
      <c r="N218" s="124" t="s">
        <v>271</v>
      </c>
      <c r="O218" s="127" t="s">
        <v>1360</v>
      </c>
      <c r="P218" s="128">
        <v>172775.04000000001</v>
      </c>
      <c r="Q218" s="128">
        <v>0</v>
      </c>
      <c r="R218" s="128">
        <v>0</v>
      </c>
      <c r="S218" s="128">
        <f t="shared" si="26"/>
        <v>172775.04000000001</v>
      </c>
      <c r="T218" s="128">
        <f t="shared" si="28"/>
        <v>39.19490029718019</v>
      </c>
      <c r="U218" s="128">
        <v>39.19490029718019</v>
      </c>
      <c r="V218" s="257">
        <f t="shared" si="29"/>
        <v>0</v>
      </c>
      <c r="W218" s="257">
        <f t="shared" si="27"/>
        <v>690.10938113926636</v>
      </c>
      <c r="X218" s="257">
        <v>0</v>
      </c>
      <c r="Y218" s="258">
        <v>0</v>
      </c>
      <c r="Z218" s="258">
        <v>0</v>
      </c>
      <c r="AA218" s="258">
        <v>0</v>
      </c>
      <c r="AB218" s="258">
        <v>0</v>
      </c>
      <c r="AC218" s="258">
        <v>0</v>
      </c>
      <c r="AD218" s="258">
        <v>0</v>
      </c>
      <c r="AE218" s="258">
        <v>0</v>
      </c>
      <c r="AF218" s="257">
        <v>0</v>
      </c>
      <c r="AG218" s="258">
        <v>0</v>
      </c>
      <c r="AH218" s="257">
        <v>0</v>
      </c>
      <c r="AI218" s="258">
        <v>408.93</v>
      </c>
      <c r="AJ218" s="257">
        <f>7439.1*AI218/I218</f>
        <v>690.10938113926636</v>
      </c>
      <c r="AK218" s="258">
        <v>0</v>
      </c>
      <c r="AL218" s="258">
        <v>0</v>
      </c>
      <c r="AM218" s="258">
        <v>0</v>
      </c>
      <c r="AN218" s="258"/>
      <c r="AO218" s="258">
        <v>0</v>
      </c>
    </row>
    <row r="219" spans="1:41" s="259" customFormat="1" ht="36" customHeight="1" x14ac:dyDescent="0.25">
      <c r="A219" s="259">
        <v>1</v>
      </c>
      <c r="B219" s="135">
        <f>SUBTOTAL(103,$A$16:A219)</f>
        <v>201</v>
      </c>
      <c r="C219" s="94" t="s">
        <v>1375</v>
      </c>
      <c r="D219" s="124">
        <v>1986</v>
      </c>
      <c r="E219" s="124"/>
      <c r="F219" s="129" t="s">
        <v>269</v>
      </c>
      <c r="G219" s="124">
        <v>9</v>
      </c>
      <c r="H219" s="124" t="s">
        <v>359</v>
      </c>
      <c r="I219" s="128">
        <v>22008.74</v>
      </c>
      <c r="J219" s="128">
        <v>20090.2</v>
      </c>
      <c r="K219" s="128">
        <v>16765.8</v>
      </c>
      <c r="L219" s="126">
        <v>668</v>
      </c>
      <c r="M219" s="124" t="s">
        <v>267</v>
      </c>
      <c r="N219" s="124" t="s">
        <v>343</v>
      </c>
      <c r="O219" s="127" t="s">
        <v>1396</v>
      </c>
      <c r="P219" s="128">
        <v>13083489.59</v>
      </c>
      <c r="Q219" s="128">
        <v>0</v>
      </c>
      <c r="R219" s="128">
        <v>0</v>
      </c>
      <c r="S219" s="128">
        <f t="shared" si="26"/>
        <v>13083489.59</v>
      </c>
      <c r="T219" s="128">
        <f t="shared" si="28"/>
        <v>594.46790638628102</v>
      </c>
      <c r="U219" s="128">
        <v>1005.0643517075488</v>
      </c>
      <c r="V219" s="257">
        <f t="shared" si="29"/>
        <v>410.59644532126777</v>
      </c>
      <c r="W219" s="257">
        <f t="shared" si="27"/>
        <v>446.69526742557724</v>
      </c>
      <c r="X219" s="257">
        <v>0</v>
      </c>
      <c r="Y219" s="258">
        <v>0</v>
      </c>
      <c r="Z219" s="258">
        <v>0</v>
      </c>
      <c r="AA219" s="258">
        <v>0</v>
      </c>
      <c r="AB219" s="258">
        <v>0</v>
      </c>
      <c r="AC219" s="258">
        <v>4</v>
      </c>
      <c r="AD219" s="257">
        <f>2457800*AC219/I219</f>
        <v>446.69526742557724</v>
      </c>
      <c r="AE219" s="258">
        <v>0</v>
      </c>
      <c r="AF219" s="257">
        <v>0</v>
      </c>
      <c r="AG219" s="258">
        <v>0</v>
      </c>
      <c r="AH219" s="257">
        <v>0</v>
      </c>
      <c r="AI219" s="258">
        <v>0</v>
      </c>
      <c r="AJ219" s="257">
        <v>0</v>
      </c>
      <c r="AK219" s="258">
        <v>0</v>
      </c>
      <c r="AL219" s="258">
        <v>0</v>
      </c>
      <c r="AM219" s="258">
        <v>0</v>
      </c>
      <c r="AN219" s="258"/>
      <c r="AO219" s="258">
        <v>0</v>
      </c>
    </row>
    <row r="220" spans="1:41" s="259" customFormat="1" ht="36" customHeight="1" x14ac:dyDescent="0.25">
      <c r="A220" s="259">
        <v>1</v>
      </c>
      <c r="B220" s="135">
        <f>SUBTOTAL(103,$A$16:A220)</f>
        <v>202</v>
      </c>
      <c r="C220" s="94" t="s">
        <v>1391</v>
      </c>
      <c r="D220" s="124">
        <v>1986</v>
      </c>
      <c r="E220" s="124"/>
      <c r="F220" s="129" t="s">
        <v>320</v>
      </c>
      <c r="G220" s="124">
        <v>9</v>
      </c>
      <c r="H220" s="124" t="s">
        <v>314</v>
      </c>
      <c r="I220" s="128">
        <v>5847.8</v>
      </c>
      <c r="J220" s="128">
        <v>5847.8</v>
      </c>
      <c r="K220" s="128">
        <v>5847.8</v>
      </c>
      <c r="L220" s="126">
        <v>220</v>
      </c>
      <c r="M220" s="124" t="s">
        <v>267</v>
      </c>
      <c r="N220" s="124" t="s">
        <v>271</v>
      </c>
      <c r="O220" s="127" t="s">
        <v>1397</v>
      </c>
      <c r="P220" s="128">
        <v>5478127.7400000002</v>
      </c>
      <c r="Q220" s="128">
        <v>0</v>
      </c>
      <c r="R220" s="128">
        <v>0</v>
      </c>
      <c r="S220" s="128">
        <f t="shared" si="26"/>
        <v>5478127.7400000002</v>
      </c>
      <c r="T220" s="128">
        <f t="shared" si="28"/>
        <v>936.78438729094705</v>
      </c>
      <c r="U220" s="128">
        <v>1260.8844351722014</v>
      </c>
      <c r="V220" s="257">
        <f t="shared" si="29"/>
        <v>324.10004788125434</v>
      </c>
      <c r="W220" s="257">
        <f t="shared" si="27"/>
        <v>1652.3754948698656</v>
      </c>
      <c r="X220" s="257">
        <v>0</v>
      </c>
      <c r="Y220" s="258">
        <v>0</v>
      </c>
      <c r="Z220" s="258">
        <v>0</v>
      </c>
      <c r="AA220" s="258">
        <v>0</v>
      </c>
      <c r="AB220" s="258">
        <v>0</v>
      </c>
      <c r="AC220" s="258">
        <v>0</v>
      </c>
      <c r="AD220" s="258">
        <v>0</v>
      </c>
      <c r="AE220" s="258">
        <v>1548.79</v>
      </c>
      <c r="AF220" s="257">
        <f>6238.91*AE220/I220</f>
        <v>1652.3754948698656</v>
      </c>
      <c r="AG220" s="258">
        <v>0</v>
      </c>
      <c r="AH220" s="257">
        <v>0</v>
      </c>
      <c r="AI220" s="258">
        <v>0</v>
      </c>
      <c r="AJ220" s="257">
        <v>0</v>
      </c>
      <c r="AK220" s="258">
        <v>0</v>
      </c>
      <c r="AL220" s="258">
        <v>0</v>
      </c>
      <c r="AM220" s="258">
        <v>0</v>
      </c>
      <c r="AN220" s="258"/>
      <c r="AO220" s="258">
        <v>0</v>
      </c>
    </row>
    <row r="221" spans="1:41" s="259" customFormat="1" ht="36" customHeight="1" x14ac:dyDescent="0.25">
      <c r="A221" s="259">
        <v>1</v>
      </c>
      <c r="B221" s="135">
        <f>SUBTOTAL(103,$A$16:A221)</f>
        <v>203</v>
      </c>
      <c r="C221" s="94" t="s">
        <v>1392</v>
      </c>
      <c r="D221" s="124">
        <v>1986</v>
      </c>
      <c r="E221" s="124"/>
      <c r="F221" s="129" t="s">
        <v>320</v>
      </c>
      <c r="G221" s="124">
        <v>9</v>
      </c>
      <c r="H221" s="124" t="s">
        <v>310</v>
      </c>
      <c r="I221" s="128">
        <v>8861.6</v>
      </c>
      <c r="J221" s="128">
        <v>7954.2</v>
      </c>
      <c r="K221" s="128">
        <v>7894.7</v>
      </c>
      <c r="L221" s="126">
        <v>295</v>
      </c>
      <c r="M221" s="124" t="s">
        <v>267</v>
      </c>
      <c r="N221" s="124" t="s">
        <v>300</v>
      </c>
      <c r="O221" s="127" t="s">
        <v>1398</v>
      </c>
      <c r="P221" s="128">
        <v>7310851.2000000002</v>
      </c>
      <c r="Q221" s="128">
        <v>0</v>
      </c>
      <c r="R221" s="128">
        <v>0</v>
      </c>
      <c r="S221" s="128">
        <f t="shared" si="26"/>
        <v>7310851.2000000002</v>
      </c>
      <c r="T221" s="128">
        <f t="shared" si="28"/>
        <v>825.00352080888331</v>
      </c>
      <c r="U221" s="128">
        <v>1109.4159068339802</v>
      </c>
      <c r="V221" s="257">
        <f t="shared" si="29"/>
        <v>284.41238602509691</v>
      </c>
      <c r="W221" s="257">
        <f t="shared" si="27"/>
        <v>2496.1857903764558</v>
      </c>
      <c r="X221" s="257">
        <v>0</v>
      </c>
      <c r="Y221" s="258">
        <v>0</v>
      </c>
      <c r="Z221" s="258">
        <v>0</v>
      </c>
      <c r="AA221" s="258">
        <v>0</v>
      </c>
      <c r="AB221" s="258">
        <v>0</v>
      </c>
      <c r="AC221" s="258">
        <v>9</v>
      </c>
      <c r="AD221" s="257">
        <f t="shared" ref="AD221:AD229" si="30">2457800*AC221/I221</f>
        <v>2496.1857903764558</v>
      </c>
      <c r="AE221" s="258">
        <v>0</v>
      </c>
      <c r="AF221" s="257">
        <v>0</v>
      </c>
      <c r="AG221" s="258">
        <v>0</v>
      </c>
      <c r="AH221" s="257">
        <v>0</v>
      </c>
      <c r="AI221" s="258">
        <v>0</v>
      </c>
      <c r="AJ221" s="257">
        <v>0</v>
      </c>
      <c r="AK221" s="258">
        <v>0</v>
      </c>
      <c r="AL221" s="258">
        <v>0</v>
      </c>
      <c r="AM221" s="258">
        <v>0</v>
      </c>
      <c r="AN221" s="258"/>
      <c r="AO221" s="258">
        <v>0</v>
      </c>
    </row>
    <row r="222" spans="1:41" s="259" customFormat="1" ht="36" customHeight="1" x14ac:dyDescent="0.25">
      <c r="A222" s="259">
        <v>1</v>
      </c>
      <c r="B222" s="135">
        <f>SUBTOTAL(103,$A$16:A222)</f>
        <v>204</v>
      </c>
      <c r="C222" s="94" t="s">
        <v>1393</v>
      </c>
      <c r="D222" s="124">
        <v>1988</v>
      </c>
      <c r="E222" s="124"/>
      <c r="F222" s="129" t="s">
        <v>320</v>
      </c>
      <c r="G222" s="124">
        <v>9</v>
      </c>
      <c r="H222" s="124" t="s">
        <v>314</v>
      </c>
      <c r="I222" s="128">
        <v>8029.8</v>
      </c>
      <c r="J222" s="128">
        <v>5819.3</v>
      </c>
      <c r="K222" s="128">
        <v>5819.3</v>
      </c>
      <c r="L222" s="126">
        <v>281</v>
      </c>
      <c r="M222" s="124" t="s">
        <v>267</v>
      </c>
      <c r="N222" s="124" t="s">
        <v>271</v>
      </c>
      <c r="O222" s="127" t="s">
        <v>1399</v>
      </c>
      <c r="P222" s="128">
        <v>5327196</v>
      </c>
      <c r="Q222" s="128">
        <v>0</v>
      </c>
      <c r="R222" s="128">
        <v>0</v>
      </c>
      <c r="S222" s="128">
        <f t="shared" si="26"/>
        <v>5327196</v>
      </c>
      <c r="T222" s="128">
        <f t="shared" si="28"/>
        <v>663.42822984383167</v>
      </c>
      <c r="U222" s="128">
        <v>918.25450198012402</v>
      </c>
      <c r="V222" s="257">
        <f t="shared" si="29"/>
        <v>254.82627213629235</v>
      </c>
      <c r="W222" s="257">
        <f t="shared" si="27"/>
        <v>918.25450198012402</v>
      </c>
      <c r="X222" s="257">
        <v>0</v>
      </c>
      <c r="Y222" s="258">
        <v>0</v>
      </c>
      <c r="Z222" s="258">
        <v>0</v>
      </c>
      <c r="AA222" s="258">
        <v>0</v>
      </c>
      <c r="AB222" s="258">
        <v>0</v>
      </c>
      <c r="AC222" s="258">
        <v>3</v>
      </c>
      <c r="AD222" s="257">
        <f t="shared" si="30"/>
        <v>918.25450198012402</v>
      </c>
      <c r="AE222" s="258">
        <v>0</v>
      </c>
      <c r="AF222" s="257">
        <v>0</v>
      </c>
      <c r="AG222" s="258">
        <v>0</v>
      </c>
      <c r="AH222" s="257">
        <v>0</v>
      </c>
      <c r="AI222" s="258">
        <v>0</v>
      </c>
      <c r="AJ222" s="257">
        <v>0</v>
      </c>
      <c r="AK222" s="258">
        <v>0</v>
      </c>
      <c r="AL222" s="258">
        <v>0</v>
      </c>
      <c r="AM222" s="258">
        <v>0</v>
      </c>
      <c r="AN222" s="258"/>
      <c r="AO222" s="258">
        <v>0</v>
      </c>
    </row>
    <row r="223" spans="1:41" s="259" customFormat="1" ht="36" customHeight="1" x14ac:dyDescent="0.25">
      <c r="A223" s="259">
        <v>1</v>
      </c>
      <c r="B223" s="135">
        <f>SUBTOTAL(103,$A$16:A223)</f>
        <v>205</v>
      </c>
      <c r="C223" s="94" t="s">
        <v>1394</v>
      </c>
      <c r="D223" s="124">
        <v>1986</v>
      </c>
      <c r="E223" s="124"/>
      <c r="F223" s="129" t="s">
        <v>320</v>
      </c>
      <c r="G223" s="124">
        <v>9</v>
      </c>
      <c r="H223" s="124" t="s">
        <v>310</v>
      </c>
      <c r="I223" s="128">
        <v>8130.5</v>
      </c>
      <c r="J223" s="128">
        <v>7378.4</v>
      </c>
      <c r="K223" s="128">
        <v>6959.7</v>
      </c>
      <c r="L223" s="126">
        <v>323</v>
      </c>
      <c r="M223" s="124" t="s">
        <v>267</v>
      </c>
      <c r="N223" s="124" t="s">
        <v>271</v>
      </c>
      <c r="O223" s="127" t="s">
        <v>808</v>
      </c>
      <c r="P223" s="128">
        <v>7367915.9199999999</v>
      </c>
      <c r="Q223" s="128">
        <v>0</v>
      </c>
      <c r="R223" s="128">
        <v>0</v>
      </c>
      <c r="S223" s="128">
        <f t="shared" si="26"/>
        <v>7367915.9199999999</v>
      </c>
      <c r="T223" s="128">
        <f t="shared" si="28"/>
        <v>906.20698850009228</v>
      </c>
      <c r="U223" s="128">
        <v>1209.1753274706352</v>
      </c>
      <c r="V223" s="257">
        <f t="shared" si="29"/>
        <v>302.96833897054296</v>
      </c>
      <c r="W223" s="257">
        <f t="shared" si="27"/>
        <v>1209.1753274706352</v>
      </c>
      <c r="X223" s="257">
        <v>0</v>
      </c>
      <c r="Y223" s="258">
        <v>0</v>
      </c>
      <c r="Z223" s="258">
        <v>0</v>
      </c>
      <c r="AA223" s="258">
        <v>0</v>
      </c>
      <c r="AB223" s="258">
        <v>0</v>
      </c>
      <c r="AC223" s="258">
        <v>4</v>
      </c>
      <c r="AD223" s="257">
        <f t="shared" si="30"/>
        <v>1209.1753274706352</v>
      </c>
      <c r="AE223" s="258">
        <v>0</v>
      </c>
      <c r="AF223" s="257">
        <v>0</v>
      </c>
      <c r="AG223" s="258">
        <v>0</v>
      </c>
      <c r="AH223" s="257">
        <v>0</v>
      </c>
      <c r="AI223" s="258">
        <v>0</v>
      </c>
      <c r="AJ223" s="257">
        <v>0</v>
      </c>
      <c r="AK223" s="258">
        <v>0</v>
      </c>
      <c r="AL223" s="258">
        <v>0</v>
      </c>
      <c r="AM223" s="258">
        <v>0</v>
      </c>
      <c r="AN223" s="258"/>
      <c r="AO223" s="258">
        <v>0</v>
      </c>
    </row>
    <row r="224" spans="1:41" s="259" customFormat="1" ht="36" customHeight="1" x14ac:dyDescent="0.25">
      <c r="A224" s="259">
        <v>1</v>
      </c>
      <c r="B224" s="135">
        <f>SUBTOTAL(103,$A$16:A224)</f>
        <v>206</v>
      </c>
      <c r="C224" s="94" t="s">
        <v>1395</v>
      </c>
      <c r="D224" s="124">
        <v>1987</v>
      </c>
      <c r="E224" s="124"/>
      <c r="F224" s="129" t="s">
        <v>269</v>
      </c>
      <c r="G224" s="124">
        <v>9</v>
      </c>
      <c r="H224" s="124" t="s">
        <v>314</v>
      </c>
      <c r="I224" s="128">
        <v>7146.1</v>
      </c>
      <c r="J224" s="128">
        <v>3870.6</v>
      </c>
      <c r="K224" s="128">
        <v>3226.3</v>
      </c>
      <c r="L224" s="126">
        <v>206</v>
      </c>
      <c r="M224" s="124" t="s">
        <v>267</v>
      </c>
      <c r="N224" s="124" t="s">
        <v>271</v>
      </c>
      <c r="O224" s="127" t="s">
        <v>811</v>
      </c>
      <c r="P224" s="128">
        <v>5462413.6200000001</v>
      </c>
      <c r="Q224" s="128">
        <v>0</v>
      </c>
      <c r="R224" s="128">
        <v>0</v>
      </c>
      <c r="S224" s="128">
        <f t="shared" si="26"/>
        <v>5462413.6200000001</v>
      </c>
      <c r="T224" s="128">
        <f t="shared" si="28"/>
        <v>764.39087334350199</v>
      </c>
      <c r="U224" s="128">
        <v>1031.8075593680469</v>
      </c>
      <c r="V224" s="257">
        <f t="shared" si="29"/>
        <v>267.4166860245449</v>
      </c>
      <c r="W224" s="257">
        <f t="shared" si="27"/>
        <v>1031.8075593680469</v>
      </c>
      <c r="X224" s="257">
        <v>0</v>
      </c>
      <c r="Y224" s="258">
        <v>0</v>
      </c>
      <c r="Z224" s="258">
        <v>0</v>
      </c>
      <c r="AA224" s="258">
        <v>0</v>
      </c>
      <c r="AB224" s="258">
        <v>0</v>
      </c>
      <c r="AC224" s="258">
        <v>3</v>
      </c>
      <c r="AD224" s="257">
        <f t="shared" si="30"/>
        <v>1031.8075593680469</v>
      </c>
      <c r="AE224" s="258">
        <v>0</v>
      </c>
      <c r="AF224" s="257">
        <v>0</v>
      </c>
      <c r="AG224" s="258">
        <v>0</v>
      </c>
      <c r="AH224" s="257">
        <v>0</v>
      </c>
      <c r="AI224" s="258">
        <v>0</v>
      </c>
      <c r="AJ224" s="257">
        <v>0</v>
      </c>
      <c r="AK224" s="258">
        <v>0</v>
      </c>
      <c r="AL224" s="258">
        <v>0</v>
      </c>
      <c r="AM224" s="258">
        <v>0</v>
      </c>
      <c r="AN224" s="258"/>
      <c r="AO224" s="258">
        <v>0</v>
      </c>
    </row>
    <row r="225" spans="1:41" s="259" customFormat="1" ht="36" customHeight="1" x14ac:dyDescent="0.25">
      <c r="A225" s="259">
        <v>1</v>
      </c>
      <c r="B225" s="135">
        <f>SUBTOTAL(103,$A$16:A225)</f>
        <v>207</v>
      </c>
      <c r="C225" s="94" t="s">
        <v>1546</v>
      </c>
      <c r="D225" s="124">
        <v>1986</v>
      </c>
      <c r="E225" s="124"/>
      <c r="F225" s="129" t="s">
        <v>269</v>
      </c>
      <c r="G225" s="124">
        <v>9</v>
      </c>
      <c r="H225" s="124" t="s">
        <v>306</v>
      </c>
      <c r="I225" s="128">
        <v>3555.69</v>
      </c>
      <c r="J225" s="128">
        <v>3555.69</v>
      </c>
      <c r="K225" s="128">
        <v>3353.49</v>
      </c>
      <c r="L225" s="126">
        <v>294</v>
      </c>
      <c r="M225" s="124" t="s">
        <v>267</v>
      </c>
      <c r="N225" s="124" t="s">
        <v>271</v>
      </c>
      <c r="O225" s="127" t="s">
        <v>1397</v>
      </c>
      <c r="P225" s="128">
        <v>1452147.29</v>
      </c>
      <c r="Q225" s="128">
        <v>0</v>
      </c>
      <c r="R225" s="128">
        <v>0</v>
      </c>
      <c r="S225" s="128">
        <f t="shared" si="26"/>
        <v>1452147.29</v>
      </c>
      <c r="T225" s="128">
        <f t="shared" si="28"/>
        <v>408.40098265034356</v>
      </c>
      <c r="U225" s="128">
        <v>691.23011286135738</v>
      </c>
      <c r="V225" s="257">
        <f t="shared" si="29"/>
        <v>282.82913021101382</v>
      </c>
      <c r="W225" s="257">
        <f t="shared" si="27"/>
        <v>2764.9204514454295</v>
      </c>
      <c r="X225" s="257">
        <v>0</v>
      </c>
      <c r="Y225" s="258">
        <v>0</v>
      </c>
      <c r="Z225" s="258">
        <v>0</v>
      </c>
      <c r="AA225" s="258">
        <v>0</v>
      </c>
      <c r="AB225" s="258">
        <v>0</v>
      </c>
      <c r="AC225" s="258">
        <v>4</v>
      </c>
      <c r="AD225" s="257">
        <f t="shared" si="30"/>
        <v>2764.9204514454295</v>
      </c>
      <c r="AE225" s="258">
        <v>0</v>
      </c>
      <c r="AF225" s="257">
        <v>0</v>
      </c>
      <c r="AG225" s="258">
        <v>0</v>
      </c>
      <c r="AH225" s="257">
        <v>0</v>
      </c>
      <c r="AI225" s="258">
        <v>0</v>
      </c>
      <c r="AJ225" s="257">
        <v>0</v>
      </c>
      <c r="AK225" s="258">
        <v>0</v>
      </c>
      <c r="AL225" s="258">
        <v>0</v>
      </c>
      <c r="AM225" s="258">
        <v>0</v>
      </c>
      <c r="AN225" s="258"/>
      <c r="AO225" s="258">
        <v>0</v>
      </c>
    </row>
    <row r="226" spans="1:41" s="259" customFormat="1" ht="36" customHeight="1" x14ac:dyDescent="0.25">
      <c r="A226" s="259">
        <v>1</v>
      </c>
      <c r="B226" s="135">
        <f>SUBTOTAL(103,$A$16:A226)</f>
        <v>208</v>
      </c>
      <c r="C226" s="94" t="s">
        <v>1547</v>
      </c>
      <c r="D226" s="124">
        <v>1984</v>
      </c>
      <c r="E226" s="124"/>
      <c r="F226" s="129" t="s">
        <v>320</v>
      </c>
      <c r="G226" s="124">
        <v>9</v>
      </c>
      <c r="H226" s="124" t="s">
        <v>305</v>
      </c>
      <c r="I226" s="128">
        <v>3925.2</v>
      </c>
      <c r="J226" s="128">
        <v>3897.5</v>
      </c>
      <c r="K226" s="128">
        <v>3897.5</v>
      </c>
      <c r="L226" s="126">
        <v>156</v>
      </c>
      <c r="M226" s="124" t="s">
        <v>267</v>
      </c>
      <c r="N226" s="124" t="s">
        <v>271</v>
      </c>
      <c r="O226" s="127" t="s">
        <v>1397</v>
      </c>
      <c r="P226" s="128">
        <v>2915220.6</v>
      </c>
      <c r="Q226" s="128">
        <v>0</v>
      </c>
      <c r="R226" s="128">
        <v>0</v>
      </c>
      <c r="S226" s="128">
        <f t="shared" si="26"/>
        <v>2915220.6</v>
      </c>
      <c r="T226" s="128">
        <f t="shared" si="28"/>
        <v>742.69351880158979</v>
      </c>
      <c r="U226" s="128">
        <v>1252.3183532049322</v>
      </c>
      <c r="V226" s="257">
        <f t="shared" si="29"/>
        <v>509.62483440334245</v>
      </c>
      <c r="W226" s="257">
        <f t="shared" si="27"/>
        <v>1878.4775298073985</v>
      </c>
      <c r="X226" s="257">
        <v>0</v>
      </c>
      <c r="Y226" s="258">
        <v>0</v>
      </c>
      <c r="Z226" s="258">
        <v>0</v>
      </c>
      <c r="AA226" s="258">
        <v>0</v>
      </c>
      <c r="AB226" s="258">
        <v>0</v>
      </c>
      <c r="AC226" s="258">
        <v>3</v>
      </c>
      <c r="AD226" s="257">
        <f t="shared" si="30"/>
        <v>1878.4775298073985</v>
      </c>
      <c r="AE226" s="258">
        <v>0</v>
      </c>
      <c r="AF226" s="257">
        <v>0</v>
      </c>
      <c r="AG226" s="258">
        <v>0</v>
      </c>
      <c r="AH226" s="257">
        <v>0</v>
      </c>
      <c r="AI226" s="258">
        <v>0</v>
      </c>
      <c r="AJ226" s="257">
        <v>0</v>
      </c>
      <c r="AK226" s="258">
        <v>0</v>
      </c>
      <c r="AL226" s="258">
        <v>0</v>
      </c>
      <c r="AM226" s="258">
        <v>0</v>
      </c>
      <c r="AN226" s="258"/>
      <c r="AO226" s="258">
        <v>0</v>
      </c>
    </row>
    <row r="227" spans="1:41" s="259" customFormat="1" ht="36" customHeight="1" x14ac:dyDescent="0.25">
      <c r="A227" s="259">
        <v>1</v>
      </c>
      <c r="B227" s="135">
        <f>SUBTOTAL(103,$A$16:A227)</f>
        <v>209</v>
      </c>
      <c r="C227" s="94" t="s">
        <v>1548</v>
      </c>
      <c r="D227" s="124">
        <v>1984</v>
      </c>
      <c r="E227" s="124"/>
      <c r="F227" s="129" t="s">
        <v>320</v>
      </c>
      <c r="G227" s="124">
        <v>9</v>
      </c>
      <c r="H227" s="124" t="s">
        <v>314</v>
      </c>
      <c r="I227" s="128">
        <v>6500.5</v>
      </c>
      <c r="J227" s="128">
        <v>5846.6</v>
      </c>
      <c r="K227" s="128">
        <v>5846.6</v>
      </c>
      <c r="L227" s="126">
        <v>233</v>
      </c>
      <c r="M227" s="124" t="s">
        <v>267</v>
      </c>
      <c r="N227" s="124" t="s">
        <v>271</v>
      </c>
      <c r="O227" s="127" t="s">
        <v>1587</v>
      </c>
      <c r="P227" s="128">
        <v>4354761.09</v>
      </c>
      <c r="Q227" s="128">
        <v>0</v>
      </c>
      <c r="R227" s="128">
        <v>0</v>
      </c>
      <c r="S227" s="128">
        <f>P227-R227-Q227</f>
        <v>4354761.09</v>
      </c>
      <c r="T227" s="128">
        <f t="shared" si="28"/>
        <v>669.911712945158</v>
      </c>
      <c r="U227" s="128">
        <v>1134.2819783093607</v>
      </c>
      <c r="V227" s="257">
        <f t="shared" si="29"/>
        <v>464.37026536420274</v>
      </c>
      <c r="W227" s="257">
        <f t="shared" si="27"/>
        <v>378.09399276978695</v>
      </c>
      <c r="X227" s="257">
        <v>0</v>
      </c>
      <c r="Y227" s="258">
        <v>0</v>
      </c>
      <c r="Z227" s="258">
        <v>0</v>
      </c>
      <c r="AA227" s="258">
        <v>0</v>
      </c>
      <c r="AB227" s="258">
        <v>0</v>
      </c>
      <c r="AC227" s="258">
        <v>1</v>
      </c>
      <c r="AD227" s="257">
        <f t="shared" si="30"/>
        <v>378.09399276978695</v>
      </c>
      <c r="AE227" s="258">
        <v>0</v>
      </c>
      <c r="AF227" s="257">
        <v>0</v>
      </c>
      <c r="AG227" s="258">
        <v>0</v>
      </c>
      <c r="AH227" s="257">
        <v>0</v>
      </c>
      <c r="AI227" s="258">
        <v>0</v>
      </c>
      <c r="AJ227" s="257">
        <v>0</v>
      </c>
      <c r="AK227" s="258">
        <v>0</v>
      </c>
      <c r="AL227" s="258">
        <v>0</v>
      </c>
      <c r="AM227" s="258">
        <v>0</v>
      </c>
      <c r="AN227" s="258"/>
      <c r="AO227" s="258">
        <v>0</v>
      </c>
    </row>
    <row r="228" spans="1:41" s="259" customFormat="1" ht="36" customHeight="1" x14ac:dyDescent="0.25">
      <c r="A228" s="259">
        <v>1</v>
      </c>
      <c r="B228" s="135">
        <f>SUBTOTAL(103,$A$16:A228)</f>
        <v>210</v>
      </c>
      <c r="C228" s="94" t="s">
        <v>780</v>
      </c>
      <c r="D228" s="124">
        <v>1992</v>
      </c>
      <c r="E228" s="124"/>
      <c r="F228" s="129" t="s">
        <v>320</v>
      </c>
      <c r="G228" s="124">
        <v>9</v>
      </c>
      <c r="H228" s="124" t="s">
        <v>314</v>
      </c>
      <c r="I228" s="128">
        <v>8073.1</v>
      </c>
      <c r="J228" s="128">
        <v>5829</v>
      </c>
      <c r="K228" s="128">
        <v>5829</v>
      </c>
      <c r="L228" s="126">
        <v>241</v>
      </c>
      <c r="M228" s="124" t="s">
        <v>267</v>
      </c>
      <c r="N228" s="124" t="s">
        <v>271</v>
      </c>
      <c r="O228" s="127" t="s">
        <v>807</v>
      </c>
      <c r="P228" s="128">
        <v>6862081.1600000001</v>
      </c>
      <c r="Q228" s="128">
        <v>0</v>
      </c>
      <c r="R228" s="128">
        <v>0</v>
      </c>
      <c r="S228" s="128">
        <f>P228-R228-Q228</f>
        <v>6862081.1600000001</v>
      </c>
      <c r="T228" s="128">
        <f t="shared" si="28"/>
        <v>849.99333093854898</v>
      </c>
      <c r="U228" s="128">
        <v>913.32945213115158</v>
      </c>
      <c r="V228" s="257">
        <f t="shared" si="29"/>
        <v>63.336121192602604</v>
      </c>
      <c r="W228" s="257">
        <f t="shared" si="27"/>
        <v>608.88630142076772</v>
      </c>
      <c r="X228" s="257">
        <v>0</v>
      </c>
      <c r="Y228" s="258">
        <v>0</v>
      </c>
      <c r="Z228" s="258">
        <v>0</v>
      </c>
      <c r="AA228" s="258">
        <v>0</v>
      </c>
      <c r="AB228" s="258">
        <v>0</v>
      </c>
      <c r="AC228" s="258">
        <v>2</v>
      </c>
      <c r="AD228" s="257">
        <f t="shared" si="30"/>
        <v>608.88630142076772</v>
      </c>
      <c r="AE228" s="258">
        <v>0</v>
      </c>
      <c r="AF228" s="257">
        <v>0</v>
      </c>
      <c r="AG228" s="258">
        <v>0</v>
      </c>
      <c r="AH228" s="257">
        <v>0</v>
      </c>
      <c r="AI228" s="258">
        <v>0</v>
      </c>
      <c r="AJ228" s="257">
        <v>0</v>
      </c>
      <c r="AK228" s="258">
        <v>0</v>
      </c>
      <c r="AL228" s="258">
        <v>0</v>
      </c>
      <c r="AM228" s="258">
        <v>0</v>
      </c>
      <c r="AN228" s="258"/>
      <c r="AO228" s="258">
        <v>0</v>
      </c>
    </row>
    <row r="229" spans="1:41" s="259" customFormat="1" ht="36" customHeight="1" x14ac:dyDescent="0.25">
      <c r="A229" s="259">
        <v>1</v>
      </c>
      <c r="B229" s="135">
        <f>SUBTOTAL(103,$A$16:A229)</f>
        <v>211</v>
      </c>
      <c r="C229" s="94" t="s">
        <v>783</v>
      </c>
      <c r="D229" s="124">
        <v>1994</v>
      </c>
      <c r="E229" s="124"/>
      <c r="F229" s="129" t="s">
        <v>320</v>
      </c>
      <c r="G229" s="124">
        <v>9</v>
      </c>
      <c r="H229" s="124" t="s">
        <v>305</v>
      </c>
      <c r="I229" s="128">
        <v>4401.8</v>
      </c>
      <c r="J229" s="128">
        <v>3886.2</v>
      </c>
      <c r="K229" s="128">
        <v>3886.2</v>
      </c>
      <c r="L229" s="126">
        <v>159</v>
      </c>
      <c r="M229" s="124" t="s">
        <v>267</v>
      </c>
      <c r="N229" s="124" t="s">
        <v>271</v>
      </c>
      <c r="O229" s="127" t="s">
        <v>809</v>
      </c>
      <c r="P229" s="128">
        <v>4848740.71</v>
      </c>
      <c r="Q229" s="128">
        <v>0</v>
      </c>
      <c r="R229" s="128">
        <v>0</v>
      </c>
      <c r="S229" s="128">
        <f>P229-R229-Q229</f>
        <v>4848740.71</v>
      </c>
      <c r="T229" s="128">
        <f t="shared" si="28"/>
        <v>1101.5358966786314</v>
      </c>
      <c r="U229" s="128">
        <v>1116.7249761461219</v>
      </c>
      <c r="V229" s="257">
        <f t="shared" si="29"/>
        <v>15.189079467490501</v>
      </c>
      <c r="W229" s="257">
        <f t="shared" si="27"/>
        <v>1675.0874642191829</v>
      </c>
      <c r="X229" s="257">
        <v>0</v>
      </c>
      <c r="Y229" s="258">
        <v>0</v>
      </c>
      <c r="Z229" s="258">
        <v>0</v>
      </c>
      <c r="AA229" s="258">
        <v>0</v>
      </c>
      <c r="AB229" s="258">
        <v>0</v>
      </c>
      <c r="AC229" s="258">
        <v>3</v>
      </c>
      <c r="AD229" s="257">
        <f t="shared" si="30"/>
        <v>1675.0874642191829</v>
      </c>
      <c r="AE229" s="258">
        <v>0</v>
      </c>
      <c r="AF229" s="257">
        <v>0</v>
      </c>
      <c r="AG229" s="258">
        <v>0</v>
      </c>
      <c r="AH229" s="257">
        <v>0</v>
      </c>
      <c r="AI229" s="258">
        <v>0</v>
      </c>
      <c r="AJ229" s="257">
        <v>0</v>
      </c>
      <c r="AK229" s="258">
        <v>0</v>
      </c>
      <c r="AL229" s="258">
        <v>0</v>
      </c>
      <c r="AM229" s="258">
        <v>0</v>
      </c>
      <c r="AN229" s="258"/>
      <c r="AO229" s="258">
        <v>0</v>
      </c>
    </row>
    <row r="230" spans="1:41" s="259" customFormat="1" ht="36" customHeight="1" x14ac:dyDescent="0.25">
      <c r="A230" s="259">
        <v>1</v>
      </c>
      <c r="B230" s="135">
        <f>SUBTOTAL(103,$A$16:A230)</f>
        <v>212</v>
      </c>
      <c r="C230" s="94" t="s">
        <v>785</v>
      </c>
      <c r="D230" s="124">
        <v>1992</v>
      </c>
      <c r="E230" s="124"/>
      <c r="F230" s="129" t="s">
        <v>320</v>
      </c>
      <c r="G230" s="124">
        <v>9</v>
      </c>
      <c r="H230" s="124" t="s">
        <v>305</v>
      </c>
      <c r="I230" s="128">
        <v>4929.04</v>
      </c>
      <c r="J230" s="128">
        <v>3924.5</v>
      </c>
      <c r="K230" s="128">
        <v>3924.5</v>
      </c>
      <c r="L230" s="126">
        <v>180</v>
      </c>
      <c r="M230" s="124" t="s">
        <v>267</v>
      </c>
      <c r="N230" s="124" t="s">
        <v>271</v>
      </c>
      <c r="O230" s="127" t="s">
        <v>814</v>
      </c>
      <c r="P230" s="128">
        <v>4848888.49</v>
      </c>
      <c r="Q230" s="128">
        <v>0</v>
      </c>
      <c r="R230" s="128">
        <v>0</v>
      </c>
      <c r="S230" s="128">
        <f>P230-R230-Q230</f>
        <v>4848888.49</v>
      </c>
      <c r="T230" s="128">
        <f t="shared" si="28"/>
        <v>983.73892076347533</v>
      </c>
      <c r="U230" s="128">
        <v>997.27330271208996</v>
      </c>
      <c r="V230" s="257">
        <f t="shared" si="29"/>
        <v>13.534381948614623</v>
      </c>
      <c r="W230" s="257">
        <f>X230+Y230+Z230+AA230+AB230+AD230+AF230+AH230+AJ230+AL230+AN230+AO230</f>
        <v>712.1</v>
      </c>
      <c r="X230" s="257">
        <v>0</v>
      </c>
      <c r="Y230" s="258">
        <v>0</v>
      </c>
      <c r="Z230" s="258">
        <v>0</v>
      </c>
      <c r="AA230" s="258">
        <v>0</v>
      </c>
      <c r="AB230" s="258">
        <v>0</v>
      </c>
      <c r="AC230" s="258">
        <v>0</v>
      </c>
      <c r="AD230" s="258">
        <v>0</v>
      </c>
      <c r="AE230" s="258">
        <v>0</v>
      </c>
      <c r="AF230" s="257">
        <v>0</v>
      </c>
      <c r="AG230" s="258">
        <v>0</v>
      </c>
      <c r="AH230" s="257">
        <v>0</v>
      </c>
      <c r="AI230" s="258">
        <v>0</v>
      </c>
      <c r="AJ230" s="257">
        <v>0</v>
      </c>
      <c r="AK230" s="258">
        <v>0</v>
      </c>
      <c r="AL230" s="258">
        <v>0</v>
      </c>
      <c r="AM230" s="258">
        <v>0</v>
      </c>
      <c r="AN230" s="258"/>
      <c r="AO230" s="258">
        <v>712.1</v>
      </c>
    </row>
    <row r="231" spans="1:41" s="259" customFormat="1" ht="36" customHeight="1" x14ac:dyDescent="0.25">
      <c r="A231" s="259">
        <v>1</v>
      </c>
      <c r="B231" s="135">
        <f>SUBTOTAL(103,$A$16:A231)</f>
        <v>213</v>
      </c>
      <c r="C231" s="94" t="s">
        <v>781</v>
      </c>
      <c r="D231" s="124">
        <v>1993</v>
      </c>
      <c r="E231" s="124"/>
      <c r="F231" s="129" t="s">
        <v>320</v>
      </c>
      <c r="G231" s="124">
        <v>9</v>
      </c>
      <c r="H231" s="124" t="s">
        <v>310</v>
      </c>
      <c r="I231" s="125">
        <v>11047.1</v>
      </c>
      <c r="J231" s="125">
        <v>7851.2</v>
      </c>
      <c r="K231" s="125">
        <v>7851.2</v>
      </c>
      <c r="L231" s="126">
        <v>267</v>
      </c>
      <c r="M231" s="124" t="s">
        <v>267</v>
      </c>
      <c r="N231" s="124" t="s">
        <v>271</v>
      </c>
      <c r="O231" s="127" t="s">
        <v>813</v>
      </c>
      <c r="P231" s="128">
        <v>123350.33</v>
      </c>
      <c r="Q231" s="128">
        <v>0</v>
      </c>
      <c r="R231" s="128">
        <v>0</v>
      </c>
      <c r="S231" s="128">
        <f>P231-Q231-R231</f>
        <v>123350.33</v>
      </c>
      <c r="T231" s="128">
        <f t="shared" si="28"/>
        <v>11.16585619755411</v>
      </c>
      <c r="U231" s="128">
        <v>11.16585619755411</v>
      </c>
      <c r="V231" s="257">
        <f t="shared" si="29"/>
        <v>0</v>
      </c>
      <c r="W231" s="257">
        <f t="shared" si="27"/>
        <v>667.45118628418311</v>
      </c>
      <c r="X231" s="257">
        <v>0</v>
      </c>
      <c r="Y231" s="258">
        <v>0</v>
      </c>
      <c r="Z231" s="258">
        <v>0</v>
      </c>
      <c r="AA231" s="258">
        <v>0</v>
      </c>
      <c r="AB231" s="258">
        <v>0</v>
      </c>
      <c r="AC231" s="258">
        <v>3</v>
      </c>
      <c r="AD231" s="257">
        <f>2457800*AC231/I231</f>
        <v>667.45118628418311</v>
      </c>
      <c r="AE231" s="258">
        <v>0</v>
      </c>
      <c r="AF231" s="257">
        <v>0</v>
      </c>
      <c r="AG231" s="258">
        <v>0</v>
      </c>
      <c r="AH231" s="257">
        <v>0</v>
      </c>
      <c r="AI231" s="258">
        <v>0</v>
      </c>
      <c r="AJ231" s="257">
        <v>0</v>
      </c>
      <c r="AK231" s="258">
        <v>0</v>
      </c>
      <c r="AL231" s="258">
        <v>0</v>
      </c>
      <c r="AM231" s="258">
        <v>0</v>
      </c>
      <c r="AN231" s="258"/>
      <c r="AO231" s="258">
        <v>0</v>
      </c>
    </row>
    <row r="232" spans="1:41" s="259" customFormat="1" ht="36" customHeight="1" x14ac:dyDescent="0.25">
      <c r="A232" s="259">
        <v>1</v>
      </c>
      <c r="B232" s="135">
        <f>SUBTOTAL(103,$A$16:A232)</f>
        <v>214</v>
      </c>
      <c r="C232" s="94" t="s">
        <v>786</v>
      </c>
      <c r="D232" s="124">
        <v>1990</v>
      </c>
      <c r="E232" s="124"/>
      <c r="F232" s="129" t="s">
        <v>269</v>
      </c>
      <c r="G232" s="124">
        <v>9</v>
      </c>
      <c r="H232" s="124" t="s">
        <v>306</v>
      </c>
      <c r="I232" s="125">
        <v>5846.4</v>
      </c>
      <c r="J232" s="125">
        <v>4863.8999999999996</v>
      </c>
      <c r="K232" s="125">
        <v>4863.8999999999996</v>
      </c>
      <c r="L232" s="126">
        <v>374</v>
      </c>
      <c r="M232" s="124" t="s">
        <v>267</v>
      </c>
      <c r="N232" s="124" t="s">
        <v>271</v>
      </c>
      <c r="O232" s="127" t="s">
        <v>815</v>
      </c>
      <c r="P232" s="128">
        <v>2226554.6800000002</v>
      </c>
      <c r="Q232" s="128">
        <v>0</v>
      </c>
      <c r="R232" s="128">
        <v>0</v>
      </c>
      <c r="S232" s="128">
        <f>P232-Q232-R232</f>
        <v>2226554.6800000002</v>
      </c>
      <c r="T232" s="128">
        <f t="shared" si="28"/>
        <v>380.84200191570886</v>
      </c>
      <c r="U232" s="128">
        <v>420.39545703338808</v>
      </c>
      <c r="V232" s="257">
        <f t="shared" si="29"/>
        <v>39.553455117679221</v>
      </c>
      <c r="W232" s="257">
        <f t="shared" si="27"/>
        <v>840.79091406677617</v>
      </c>
      <c r="X232" s="257">
        <v>0</v>
      </c>
      <c r="Y232" s="258">
        <v>0</v>
      </c>
      <c r="Z232" s="258">
        <v>0</v>
      </c>
      <c r="AA232" s="258">
        <v>0</v>
      </c>
      <c r="AB232" s="258">
        <v>0</v>
      </c>
      <c r="AC232" s="258">
        <v>2</v>
      </c>
      <c r="AD232" s="257">
        <f>2457800*AC232/I232</f>
        <v>840.79091406677617</v>
      </c>
      <c r="AE232" s="258">
        <v>0</v>
      </c>
      <c r="AF232" s="257">
        <v>0</v>
      </c>
      <c r="AG232" s="258">
        <v>0</v>
      </c>
      <c r="AH232" s="257">
        <v>0</v>
      </c>
      <c r="AI232" s="258">
        <v>0</v>
      </c>
      <c r="AJ232" s="257">
        <v>0</v>
      </c>
      <c r="AK232" s="258">
        <v>0</v>
      </c>
      <c r="AL232" s="258">
        <v>0</v>
      </c>
      <c r="AM232" s="258">
        <v>0</v>
      </c>
      <c r="AN232" s="258"/>
      <c r="AO232" s="258">
        <v>0</v>
      </c>
    </row>
    <row r="233" spans="1:41" s="259" customFormat="1" ht="36" customHeight="1" x14ac:dyDescent="0.25">
      <c r="A233" s="259">
        <v>1</v>
      </c>
      <c r="B233" s="135">
        <f>SUBTOTAL(103,$A$16:A233)</f>
        <v>215</v>
      </c>
      <c r="C233" s="94" t="s">
        <v>1688</v>
      </c>
      <c r="D233" s="124">
        <v>1991</v>
      </c>
      <c r="E233" s="124"/>
      <c r="F233" s="129" t="s">
        <v>320</v>
      </c>
      <c r="G233" s="124">
        <v>9</v>
      </c>
      <c r="H233" s="124" t="s">
        <v>305</v>
      </c>
      <c r="I233" s="125">
        <v>5099.5</v>
      </c>
      <c r="J233" s="125">
        <v>3949.7</v>
      </c>
      <c r="K233" s="125">
        <v>3949.7</v>
      </c>
      <c r="L233" s="126">
        <v>168</v>
      </c>
      <c r="M233" s="124" t="s">
        <v>267</v>
      </c>
      <c r="N233" s="124" t="s">
        <v>271</v>
      </c>
      <c r="O233" s="127" t="s">
        <v>1689</v>
      </c>
      <c r="P233" s="128">
        <v>4654905.9400000004</v>
      </c>
      <c r="Q233" s="128">
        <v>0</v>
      </c>
      <c r="R233" s="128">
        <v>0</v>
      </c>
      <c r="S233" s="128">
        <f>P233-Q233-R233</f>
        <v>4654905.9400000004</v>
      </c>
      <c r="T233" s="128">
        <f t="shared" ref="T233" si="31">P233/I233</f>
        <v>912.81614668104726</v>
      </c>
      <c r="U233" s="128">
        <v>963.93764094519065</v>
      </c>
      <c r="V233" s="257">
        <f t="shared" si="29"/>
        <v>51.121494264143394</v>
      </c>
      <c r="W233" s="257">
        <f t="shared" si="27"/>
        <v>963.93764094519065</v>
      </c>
      <c r="X233" s="257">
        <v>0</v>
      </c>
      <c r="Y233" s="258">
        <v>0</v>
      </c>
      <c r="Z233" s="258">
        <v>0</v>
      </c>
      <c r="AA233" s="258">
        <v>0</v>
      </c>
      <c r="AB233" s="258">
        <v>0</v>
      </c>
      <c r="AC233" s="258">
        <v>2</v>
      </c>
      <c r="AD233" s="257">
        <f>2457800*AC233/I233</f>
        <v>963.93764094519065</v>
      </c>
      <c r="AE233" s="258">
        <v>0</v>
      </c>
      <c r="AF233" s="257">
        <v>0</v>
      </c>
      <c r="AG233" s="258">
        <v>0</v>
      </c>
      <c r="AH233" s="257">
        <v>0</v>
      </c>
      <c r="AI233" s="258">
        <v>0</v>
      </c>
      <c r="AJ233" s="257">
        <v>0</v>
      </c>
      <c r="AK233" s="258">
        <v>0</v>
      </c>
      <c r="AL233" s="258">
        <v>0</v>
      </c>
      <c r="AM233" s="258">
        <v>0</v>
      </c>
      <c r="AN233" s="258"/>
      <c r="AO233" s="258">
        <v>0</v>
      </c>
    </row>
    <row r="234" spans="1:41" s="259" customFormat="1" ht="36" customHeight="1" x14ac:dyDescent="0.25">
      <c r="A234" s="259">
        <v>1</v>
      </c>
      <c r="B234" s="135">
        <f>SUBTOTAL(103,$A$16:A234)</f>
        <v>216</v>
      </c>
      <c r="C234" s="94" t="s">
        <v>1173</v>
      </c>
      <c r="D234" s="124">
        <v>1937</v>
      </c>
      <c r="E234" s="124"/>
      <c r="F234" s="129" t="s">
        <v>269</v>
      </c>
      <c r="G234" s="124" t="s">
        <v>310</v>
      </c>
      <c r="H234" s="124" t="s">
        <v>314</v>
      </c>
      <c r="I234" s="128">
        <v>1585.9</v>
      </c>
      <c r="J234" s="128">
        <v>1585.9</v>
      </c>
      <c r="K234" s="128">
        <v>1465.1</v>
      </c>
      <c r="L234" s="126">
        <v>36</v>
      </c>
      <c r="M234" s="124" t="s">
        <v>267</v>
      </c>
      <c r="N234" s="124" t="s">
        <v>268</v>
      </c>
      <c r="O234" s="127" t="s">
        <v>270</v>
      </c>
      <c r="P234" s="128">
        <v>210000</v>
      </c>
      <c r="Q234" s="128">
        <v>0</v>
      </c>
      <c r="R234" s="128">
        <v>0</v>
      </c>
      <c r="S234" s="128">
        <f t="shared" ref="S234" si="32">P234-Q234-R234</f>
        <v>210000</v>
      </c>
      <c r="T234" s="128">
        <f t="shared" si="28"/>
        <v>132.41692414401916</v>
      </c>
      <c r="U234" s="128">
        <f>T234</f>
        <v>132.41692414401916</v>
      </c>
      <c r="V234" s="257">
        <f t="shared" si="29"/>
        <v>0</v>
      </c>
      <c r="W234" s="257">
        <f t="shared" si="27"/>
        <v>12120.693789015701</v>
      </c>
      <c r="X234" s="257">
        <v>0</v>
      </c>
      <c r="Y234" s="258">
        <v>0</v>
      </c>
      <c r="Z234" s="258">
        <v>0</v>
      </c>
      <c r="AA234" s="258">
        <v>0</v>
      </c>
      <c r="AB234" s="258">
        <v>0</v>
      </c>
      <c r="AC234" s="258">
        <v>0</v>
      </c>
      <c r="AD234" s="258">
        <v>0</v>
      </c>
      <c r="AE234" s="258">
        <v>627</v>
      </c>
      <c r="AF234" s="257">
        <f>6238.91*AE234/I234</f>
        <v>2466.6098556024967</v>
      </c>
      <c r="AG234" s="258">
        <v>0</v>
      </c>
      <c r="AH234" s="257">
        <v>0</v>
      </c>
      <c r="AI234" s="258">
        <v>2058.1</v>
      </c>
      <c r="AJ234" s="257">
        <f>7439.1*AI234/I234</f>
        <v>9654.0839334132033</v>
      </c>
      <c r="AK234" s="258">
        <v>0</v>
      </c>
      <c r="AL234" s="258">
        <v>0</v>
      </c>
      <c r="AM234" s="258">
        <v>0</v>
      </c>
      <c r="AN234" s="258"/>
      <c r="AO234" s="258">
        <v>0</v>
      </c>
    </row>
    <row r="235" spans="1:41" s="259" customFormat="1" ht="36" customHeight="1" x14ac:dyDescent="0.25">
      <c r="B235" s="94" t="s">
        <v>764</v>
      </c>
      <c r="C235" s="261"/>
      <c r="D235" s="124" t="s">
        <v>896</v>
      </c>
      <c r="E235" s="124" t="s">
        <v>896</v>
      </c>
      <c r="F235" s="124" t="s">
        <v>896</v>
      </c>
      <c r="G235" s="124" t="s">
        <v>896</v>
      </c>
      <c r="H235" s="124" t="s">
        <v>896</v>
      </c>
      <c r="I235" s="125">
        <f>SUM(I236:I240)</f>
        <v>38189.1</v>
      </c>
      <c r="J235" s="125">
        <f>SUM(J236:J240)</f>
        <v>33999.300000000003</v>
      </c>
      <c r="K235" s="125">
        <f>SUM(K236:K240)</f>
        <v>33586.1</v>
      </c>
      <c r="L235" s="126">
        <f>SUM(L236:L240)</f>
        <v>1569</v>
      </c>
      <c r="M235" s="124" t="s">
        <v>896</v>
      </c>
      <c r="N235" s="124" t="s">
        <v>896</v>
      </c>
      <c r="O235" s="127" t="s">
        <v>896</v>
      </c>
      <c r="P235" s="125">
        <v>11570369.789999999</v>
      </c>
      <c r="Q235" s="125">
        <f>SUM(Q236:Q240)</f>
        <v>0</v>
      </c>
      <c r="R235" s="125">
        <f>SUM(R236:R240)</f>
        <v>0</v>
      </c>
      <c r="S235" s="125">
        <f>SUM(S236:S240)</f>
        <v>11570369.789999999</v>
      </c>
      <c r="T235" s="128">
        <f t="shared" si="28"/>
        <v>302.975712703363</v>
      </c>
      <c r="U235" s="128">
        <f>MAX(U236:U240)</f>
        <v>5695.2876648267411</v>
      </c>
      <c r="V235" s="257">
        <f t="shared" ref="V235:V272" si="33">U235-T235</f>
        <v>5392.3119521233784</v>
      </c>
      <c r="W235" s="257"/>
      <c r="X235" s="257"/>
      <c r="Y235" s="258"/>
      <c r="Z235" s="258"/>
      <c r="AA235" s="258"/>
      <c r="AB235" s="258"/>
      <c r="AC235" s="258"/>
      <c r="AD235" s="258"/>
      <c r="AE235" s="258"/>
      <c r="AF235" s="258"/>
      <c r="AG235" s="258"/>
      <c r="AH235" s="258"/>
      <c r="AI235" s="258"/>
      <c r="AJ235" s="258"/>
      <c r="AK235" s="258"/>
      <c r="AL235" s="258"/>
      <c r="AM235" s="258"/>
      <c r="AN235" s="258"/>
      <c r="AO235" s="258"/>
    </row>
    <row r="236" spans="1:41" s="259" customFormat="1" ht="36" customHeight="1" x14ac:dyDescent="0.25">
      <c r="A236" s="259">
        <v>1</v>
      </c>
      <c r="B236" s="135">
        <f>SUBTOTAL(103,$A$16:A236)</f>
        <v>217</v>
      </c>
      <c r="C236" s="94" t="s">
        <v>381</v>
      </c>
      <c r="D236" s="124">
        <v>1977</v>
      </c>
      <c r="E236" s="124">
        <v>2016</v>
      </c>
      <c r="F236" s="129" t="s">
        <v>313</v>
      </c>
      <c r="G236" s="124">
        <v>14</v>
      </c>
      <c r="H236" s="124" t="s">
        <v>306</v>
      </c>
      <c r="I236" s="128">
        <v>4634.7</v>
      </c>
      <c r="J236" s="128">
        <v>4158.8</v>
      </c>
      <c r="K236" s="128">
        <v>3801.6</v>
      </c>
      <c r="L236" s="126">
        <v>190</v>
      </c>
      <c r="M236" s="124" t="s">
        <v>267</v>
      </c>
      <c r="N236" s="124" t="s">
        <v>271</v>
      </c>
      <c r="O236" s="127" t="s">
        <v>321</v>
      </c>
      <c r="P236" s="128">
        <v>1217400.68</v>
      </c>
      <c r="Q236" s="128">
        <v>0</v>
      </c>
      <c r="R236" s="128">
        <v>0</v>
      </c>
      <c r="S236" s="128">
        <f>P236-Q236-R236</f>
        <v>1217400.68</v>
      </c>
      <c r="T236" s="128">
        <f t="shared" si="28"/>
        <v>262.67086974345699</v>
      </c>
      <c r="U236" s="128">
        <v>521.64873195676091</v>
      </c>
      <c r="V236" s="257">
        <f t="shared" si="33"/>
        <v>258.97786221330392</v>
      </c>
      <c r="W236" s="257">
        <f t="shared" ref="W236:W240" si="34">X236+Y236+Z236+AA236+AB236+AD236+AF236+AH236+AJ236+AL236+AN236+AO236</f>
        <v>519.87551340971368</v>
      </c>
      <c r="X236" s="257">
        <v>0</v>
      </c>
      <c r="Y236" s="258">
        <v>0</v>
      </c>
      <c r="Z236" s="258">
        <v>0</v>
      </c>
      <c r="AA236" s="258">
        <v>0</v>
      </c>
      <c r="AB236" s="258">
        <v>0</v>
      </c>
      <c r="AC236" s="258">
        <v>0</v>
      </c>
      <c r="AD236" s="258">
        <v>0</v>
      </c>
      <c r="AE236" s="258">
        <v>386.2</v>
      </c>
      <c r="AF236" s="257">
        <f>6238.91*AE236/I236</f>
        <v>519.87551340971368</v>
      </c>
      <c r="AG236" s="258">
        <v>0</v>
      </c>
      <c r="AH236" s="257">
        <v>0</v>
      </c>
      <c r="AI236" s="258">
        <v>0</v>
      </c>
      <c r="AJ236" s="257">
        <v>0</v>
      </c>
      <c r="AK236" s="258">
        <v>0</v>
      </c>
      <c r="AL236" s="258">
        <v>0</v>
      </c>
      <c r="AM236" s="258">
        <v>0</v>
      </c>
      <c r="AN236" s="258"/>
      <c r="AO236" s="258">
        <v>0</v>
      </c>
    </row>
    <row r="237" spans="1:41" s="259" customFormat="1" ht="36" customHeight="1" x14ac:dyDescent="0.25">
      <c r="A237" s="259">
        <v>1</v>
      </c>
      <c r="B237" s="135">
        <f>SUBTOTAL(103,$A$16:A237)</f>
        <v>218</v>
      </c>
      <c r="C237" s="94" t="s">
        <v>382</v>
      </c>
      <c r="D237" s="124">
        <v>1982</v>
      </c>
      <c r="E237" s="124">
        <v>2016</v>
      </c>
      <c r="F237" s="129" t="s">
        <v>313</v>
      </c>
      <c r="G237" s="124">
        <v>5</v>
      </c>
      <c r="H237" s="124" t="s">
        <v>353</v>
      </c>
      <c r="I237" s="128">
        <v>3913.2</v>
      </c>
      <c r="J237" s="128">
        <v>3443.4</v>
      </c>
      <c r="K237" s="128">
        <v>3443.4</v>
      </c>
      <c r="L237" s="126">
        <v>152</v>
      </c>
      <c r="M237" s="124" t="s">
        <v>267</v>
      </c>
      <c r="N237" s="124" t="s">
        <v>271</v>
      </c>
      <c r="O237" s="127" t="s">
        <v>321</v>
      </c>
      <c r="P237" s="128">
        <v>3757493.57</v>
      </c>
      <c r="Q237" s="128">
        <v>0</v>
      </c>
      <c r="R237" s="128">
        <v>0</v>
      </c>
      <c r="S237" s="128">
        <f>P237-Q237-R237</f>
        <v>3757493.57</v>
      </c>
      <c r="T237" s="128">
        <f t="shared" si="28"/>
        <v>960.20994837984256</v>
      </c>
      <c r="U237" s="128">
        <v>5695.2876648267411</v>
      </c>
      <c r="V237" s="257">
        <f t="shared" si="33"/>
        <v>4735.0777164468982</v>
      </c>
      <c r="W237" s="257">
        <f t="shared" si="34"/>
        <v>5973.586655167127</v>
      </c>
      <c r="X237" s="257">
        <v>0</v>
      </c>
      <c r="Y237" s="258">
        <v>0</v>
      </c>
      <c r="Z237" s="258">
        <v>0</v>
      </c>
      <c r="AA237" s="258">
        <v>0</v>
      </c>
      <c r="AB237" s="258">
        <v>0</v>
      </c>
      <c r="AC237" s="258">
        <v>0</v>
      </c>
      <c r="AD237" s="258">
        <v>0</v>
      </c>
      <c r="AE237" s="258">
        <v>0</v>
      </c>
      <c r="AF237" s="257">
        <v>0</v>
      </c>
      <c r="AG237" s="258">
        <v>0</v>
      </c>
      <c r="AH237" s="257">
        <v>0</v>
      </c>
      <c r="AI237" s="258">
        <v>2995.9</v>
      </c>
      <c r="AJ237" s="257">
        <f>7802.61*AI237/I237</f>
        <v>5973.586655167127</v>
      </c>
      <c r="AK237" s="258">
        <v>0</v>
      </c>
      <c r="AL237" s="258">
        <v>0</v>
      </c>
      <c r="AM237" s="258">
        <v>0</v>
      </c>
      <c r="AN237" s="258"/>
      <c r="AO237" s="258">
        <v>0</v>
      </c>
    </row>
    <row r="238" spans="1:41" s="259" customFormat="1" ht="36" customHeight="1" x14ac:dyDescent="0.25">
      <c r="A238" s="259">
        <v>1</v>
      </c>
      <c r="B238" s="135">
        <f>SUBTOTAL(103,$A$16:A238)</f>
        <v>219</v>
      </c>
      <c r="C238" s="94" t="s">
        <v>383</v>
      </c>
      <c r="D238" s="124">
        <v>1995</v>
      </c>
      <c r="E238" s="124">
        <v>2015</v>
      </c>
      <c r="F238" s="129" t="s">
        <v>313</v>
      </c>
      <c r="G238" s="124">
        <v>9</v>
      </c>
      <c r="H238" s="124" t="s">
        <v>353</v>
      </c>
      <c r="I238" s="128">
        <v>12180.7</v>
      </c>
      <c r="J238" s="128">
        <v>10849.3</v>
      </c>
      <c r="K238" s="128">
        <v>10849.3</v>
      </c>
      <c r="L238" s="126">
        <v>500</v>
      </c>
      <c r="M238" s="124" t="s">
        <v>267</v>
      </c>
      <c r="N238" s="124" t="s">
        <v>271</v>
      </c>
      <c r="O238" s="127" t="s">
        <v>321</v>
      </c>
      <c r="P238" s="128">
        <v>174120.8</v>
      </c>
      <c r="Q238" s="128">
        <v>0</v>
      </c>
      <c r="R238" s="128">
        <v>0</v>
      </c>
      <c r="S238" s="128">
        <f>P238-Q238-R238</f>
        <v>174120.8</v>
      </c>
      <c r="T238" s="128">
        <f t="shared" si="28"/>
        <v>14.294810643066489</v>
      </c>
      <c r="U238" s="128">
        <v>14.294810643066489</v>
      </c>
      <c r="V238" s="257">
        <f t="shared" si="33"/>
        <v>0</v>
      </c>
      <c r="W238" s="257">
        <f>T238</f>
        <v>14.294810643066489</v>
      </c>
      <c r="X238" s="257">
        <v>0</v>
      </c>
      <c r="Y238" s="258">
        <v>0</v>
      </c>
      <c r="Z238" s="258">
        <v>0</v>
      </c>
      <c r="AA238" s="258">
        <v>0</v>
      </c>
      <c r="AB238" s="258">
        <v>0</v>
      </c>
      <c r="AC238" s="258">
        <v>0</v>
      </c>
      <c r="AD238" s="258">
        <v>0</v>
      </c>
      <c r="AE238" s="258">
        <v>0</v>
      </c>
      <c r="AF238" s="257">
        <v>0</v>
      </c>
      <c r="AG238" s="258">
        <v>0</v>
      </c>
      <c r="AH238" s="257">
        <v>0</v>
      </c>
      <c r="AI238" s="258">
        <v>0</v>
      </c>
      <c r="AJ238" s="257">
        <v>0</v>
      </c>
      <c r="AK238" s="258">
        <v>0</v>
      </c>
      <c r="AL238" s="258">
        <v>0</v>
      </c>
      <c r="AM238" s="258">
        <v>0</v>
      </c>
      <c r="AN238" s="258"/>
      <c r="AO238" s="258">
        <v>0</v>
      </c>
    </row>
    <row r="239" spans="1:41" s="259" customFormat="1" ht="36" customHeight="1" x14ac:dyDescent="0.25">
      <c r="A239" s="259">
        <v>1</v>
      </c>
      <c r="B239" s="135">
        <f>SUBTOTAL(103,$A$16:A239)</f>
        <v>220</v>
      </c>
      <c r="C239" s="94" t="s">
        <v>1565</v>
      </c>
      <c r="D239" s="124">
        <v>1981</v>
      </c>
      <c r="E239" s="124">
        <v>2015</v>
      </c>
      <c r="F239" s="129" t="s">
        <v>269</v>
      </c>
      <c r="G239" s="124">
        <v>9</v>
      </c>
      <c r="H239" s="124" t="s">
        <v>310</v>
      </c>
      <c r="I239" s="128">
        <v>8863.2999999999993</v>
      </c>
      <c r="J239" s="128">
        <v>7831.5</v>
      </c>
      <c r="K239" s="128">
        <v>7831.5</v>
      </c>
      <c r="L239" s="126">
        <v>357</v>
      </c>
      <c r="M239" s="124" t="s">
        <v>267</v>
      </c>
      <c r="N239" s="124" t="s">
        <v>271</v>
      </c>
      <c r="O239" s="127" t="s">
        <v>321</v>
      </c>
      <c r="P239" s="128">
        <v>6300657.04</v>
      </c>
      <c r="Q239" s="128">
        <v>0</v>
      </c>
      <c r="R239" s="128">
        <v>0</v>
      </c>
      <c r="S239" s="128">
        <f>P239-Q239-R239</f>
        <v>6300657.04</v>
      </c>
      <c r="T239" s="128">
        <f t="shared" si="28"/>
        <v>710.87033497681455</v>
      </c>
      <c r="U239" s="128">
        <v>1109.2031184773166</v>
      </c>
      <c r="V239" s="257">
        <f t="shared" si="33"/>
        <v>398.33278350050205</v>
      </c>
      <c r="W239" s="257">
        <f t="shared" si="34"/>
        <v>795.31</v>
      </c>
      <c r="X239" s="257">
        <v>0</v>
      </c>
      <c r="Y239" s="258">
        <v>0</v>
      </c>
      <c r="Z239" s="258">
        <v>0</v>
      </c>
      <c r="AA239" s="258">
        <v>0</v>
      </c>
      <c r="AB239" s="258">
        <v>795.31</v>
      </c>
      <c r="AC239" s="258">
        <v>0</v>
      </c>
      <c r="AD239" s="258">
        <v>0</v>
      </c>
      <c r="AE239" s="258">
        <v>0</v>
      </c>
      <c r="AF239" s="257">
        <v>0</v>
      </c>
      <c r="AG239" s="258">
        <v>0</v>
      </c>
      <c r="AH239" s="257">
        <v>0</v>
      </c>
      <c r="AI239" s="258">
        <v>0</v>
      </c>
      <c r="AJ239" s="257">
        <v>0</v>
      </c>
      <c r="AK239" s="258">
        <v>0</v>
      </c>
      <c r="AL239" s="258">
        <v>0</v>
      </c>
      <c r="AM239" s="258">
        <v>0</v>
      </c>
      <c r="AN239" s="258"/>
      <c r="AO239" s="258">
        <v>0</v>
      </c>
    </row>
    <row r="240" spans="1:41" s="259" customFormat="1" ht="36" customHeight="1" x14ac:dyDescent="0.25">
      <c r="A240" s="259">
        <v>1</v>
      </c>
      <c r="B240" s="135">
        <f>SUBTOTAL(103,$A$16:A240)</f>
        <v>221</v>
      </c>
      <c r="C240" s="94" t="s">
        <v>384</v>
      </c>
      <c r="D240" s="124">
        <v>1982</v>
      </c>
      <c r="E240" s="124">
        <v>2015</v>
      </c>
      <c r="F240" s="129" t="s">
        <v>320</v>
      </c>
      <c r="G240" s="124">
        <v>9</v>
      </c>
      <c r="H240" s="124" t="s">
        <v>310</v>
      </c>
      <c r="I240" s="128">
        <v>8597.2000000000007</v>
      </c>
      <c r="J240" s="128">
        <v>7716.3</v>
      </c>
      <c r="K240" s="128">
        <v>7660.3</v>
      </c>
      <c r="L240" s="126">
        <v>370</v>
      </c>
      <c r="M240" s="124" t="s">
        <v>267</v>
      </c>
      <c r="N240" s="124" t="s">
        <v>271</v>
      </c>
      <c r="O240" s="127" t="s">
        <v>321</v>
      </c>
      <c r="P240" s="128">
        <v>120697.7</v>
      </c>
      <c r="Q240" s="128">
        <v>0</v>
      </c>
      <c r="R240" s="128">
        <v>0</v>
      </c>
      <c r="S240" s="128">
        <f>P240-R240-Q240</f>
        <v>120697.7</v>
      </c>
      <c r="T240" s="128">
        <f t="shared" si="28"/>
        <v>14.039187177220489</v>
      </c>
      <c r="U240" s="128">
        <v>14.039187177220489</v>
      </c>
      <c r="V240" s="257">
        <f t="shared" si="33"/>
        <v>0</v>
      </c>
      <c r="W240" s="257">
        <f t="shared" si="34"/>
        <v>1143.5351044526124</v>
      </c>
      <c r="X240" s="257">
        <v>0</v>
      </c>
      <c r="Y240" s="258">
        <v>0</v>
      </c>
      <c r="Z240" s="258">
        <v>0</v>
      </c>
      <c r="AA240" s="258">
        <v>0</v>
      </c>
      <c r="AB240" s="258">
        <v>0</v>
      </c>
      <c r="AC240" s="258">
        <v>4</v>
      </c>
      <c r="AD240" s="257">
        <f>2457800*AC240/I240</f>
        <v>1143.5351044526124</v>
      </c>
      <c r="AE240" s="258">
        <v>0</v>
      </c>
      <c r="AF240" s="257">
        <v>0</v>
      </c>
      <c r="AG240" s="258">
        <v>0</v>
      </c>
      <c r="AH240" s="257">
        <v>0</v>
      </c>
      <c r="AI240" s="258">
        <v>0</v>
      </c>
      <c r="AJ240" s="257">
        <v>0</v>
      </c>
      <c r="AK240" s="258">
        <v>0</v>
      </c>
      <c r="AL240" s="258">
        <v>0</v>
      </c>
      <c r="AM240" s="258">
        <v>0</v>
      </c>
      <c r="AN240" s="258"/>
      <c r="AO240" s="258">
        <v>0</v>
      </c>
    </row>
    <row r="241" spans="1:41" s="259" customFormat="1" ht="36" customHeight="1" x14ac:dyDescent="0.25">
      <c r="B241" s="94" t="s">
        <v>821</v>
      </c>
      <c r="C241" s="261"/>
      <c r="D241" s="124" t="s">
        <v>896</v>
      </c>
      <c r="E241" s="124" t="s">
        <v>896</v>
      </c>
      <c r="F241" s="124" t="s">
        <v>896</v>
      </c>
      <c r="G241" s="124" t="s">
        <v>896</v>
      </c>
      <c r="H241" s="124" t="s">
        <v>896</v>
      </c>
      <c r="I241" s="125">
        <f>SUM(I242:I267)</f>
        <v>91721.91</v>
      </c>
      <c r="J241" s="125">
        <f>SUM(J242:J267)</f>
        <v>72937.19</v>
      </c>
      <c r="K241" s="125">
        <f>SUM(K242:K267)</f>
        <v>69950.03</v>
      </c>
      <c r="L241" s="126">
        <f>SUM(L242:L267)</f>
        <v>3374</v>
      </c>
      <c r="M241" s="124" t="s">
        <v>896</v>
      </c>
      <c r="N241" s="124" t="s">
        <v>896</v>
      </c>
      <c r="O241" s="127" t="s">
        <v>896</v>
      </c>
      <c r="P241" s="125">
        <v>66002186.390000001</v>
      </c>
      <c r="Q241" s="125">
        <f>SUM(Q242:Q267)</f>
        <v>0</v>
      </c>
      <c r="R241" s="125">
        <f>SUM(R242:R267)</f>
        <v>0</v>
      </c>
      <c r="S241" s="125">
        <f>SUM(S242:S267)</f>
        <v>66002186.390000001</v>
      </c>
      <c r="T241" s="128">
        <f t="shared" si="28"/>
        <v>719.59018723007398</v>
      </c>
      <c r="U241" s="128">
        <f>MAX(U242:U267)</f>
        <v>9061.8802569960026</v>
      </c>
      <c r="V241" s="257">
        <f t="shared" si="33"/>
        <v>8342.2900697659279</v>
      </c>
      <c r="W241" s="257"/>
      <c r="X241" s="257"/>
      <c r="Y241" s="258"/>
      <c r="Z241" s="258"/>
      <c r="AA241" s="258"/>
      <c r="AB241" s="258"/>
      <c r="AC241" s="258"/>
      <c r="AD241" s="258"/>
      <c r="AE241" s="258"/>
      <c r="AF241" s="258"/>
      <c r="AG241" s="258"/>
      <c r="AH241" s="258"/>
      <c r="AI241" s="258"/>
      <c r="AJ241" s="258"/>
      <c r="AK241" s="258"/>
      <c r="AL241" s="258"/>
      <c r="AM241" s="258"/>
      <c r="AN241" s="258"/>
      <c r="AO241" s="258"/>
    </row>
    <row r="242" spans="1:41" s="259" customFormat="1" ht="36" customHeight="1" x14ac:dyDescent="0.25">
      <c r="A242" s="259">
        <v>1</v>
      </c>
      <c r="B242" s="135">
        <f>SUBTOTAL(103,$A$16:A242)</f>
        <v>222</v>
      </c>
      <c r="C242" s="94" t="s">
        <v>618</v>
      </c>
      <c r="D242" s="124">
        <v>1987</v>
      </c>
      <c r="E242" s="124"/>
      <c r="F242" s="129" t="s">
        <v>269</v>
      </c>
      <c r="G242" s="124">
        <v>10</v>
      </c>
      <c r="H242" s="124" t="s">
        <v>306</v>
      </c>
      <c r="I242" s="128">
        <v>4253.2</v>
      </c>
      <c r="J242" s="128">
        <v>3669.9</v>
      </c>
      <c r="K242" s="128">
        <v>3245.8</v>
      </c>
      <c r="L242" s="126">
        <v>147</v>
      </c>
      <c r="M242" s="124" t="s">
        <v>267</v>
      </c>
      <c r="N242" s="124" t="s">
        <v>343</v>
      </c>
      <c r="O242" s="127" t="s">
        <v>708</v>
      </c>
      <c r="P242" s="128">
        <v>3589738.75</v>
      </c>
      <c r="Q242" s="128">
        <v>0</v>
      </c>
      <c r="R242" s="128">
        <v>0</v>
      </c>
      <c r="S242" s="128">
        <f t="shared" ref="S242:S266" si="35">P242-Q242-R242</f>
        <v>3589738.75</v>
      </c>
      <c r="T242" s="128">
        <f t="shared" si="28"/>
        <v>844.0089226935014</v>
      </c>
      <c r="U242" s="128">
        <v>1251.6970751434214</v>
      </c>
      <c r="V242" s="257">
        <f t="shared" si="33"/>
        <v>407.68815244992004</v>
      </c>
      <c r="W242" s="257">
        <f t="shared" ref="W242:W267" si="36">X242+Y242+Z242+AA242+AB242+AD242+AF242+AH242+AJ242+AL242+AN242+AO242</f>
        <v>1251.6970751434214</v>
      </c>
      <c r="X242" s="257">
        <v>0</v>
      </c>
      <c r="Y242" s="258">
        <v>0</v>
      </c>
      <c r="Z242" s="258">
        <v>0</v>
      </c>
      <c r="AA242" s="258">
        <v>0</v>
      </c>
      <c r="AB242" s="258">
        <v>0</v>
      </c>
      <c r="AC242" s="258">
        <v>2</v>
      </c>
      <c r="AD242" s="257">
        <f>2661859*AC242/I242</f>
        <v>1251.6970751434214</v>
      </c>
      <c r="AE242" s="258">
        <v>0</v>
      </c>
      <c r="AF242" s="257">
        <v>0</v>
      </c>
      <c r="AG242" s="258">
        <v>0</v>
      </c>
      <c r="AH242" s="257">
        <v>0</v>
      </c>
      <c r="AI242" s="258">
        <v>0</v>
      </c>
      <c r="AJ242" s="257">
        <v>0</v>
      </c>
      <c r="AK242" s="258">
        <v>0</v>
      </c>
      <c r="AL242" s="258">
        <v>0</v>
      </c>
      <c r="AM242" s="258">
        <v>0</v>
      </c>
      <c r="AN242" s="258"/>
      <c r="AO242" s="258">
        <v>0</v>
      </c>
    </row>
    <row r="243" spans="1:41" s="259" customFormat="1" ht="36" customHeight="1" x14ac:dyDescent="0.25">
      <c r="A243" s="259">
        <v>1</v>
      </c>
      <c r="B243" s="135">
        <f>SUBTOTAL(103,$A$16:A243)</f>
        <v>223</v>
      </c>
      <c r="C243" s="94" t="s">
        <v>622</v>
      </c>
      <c r="D243" s="124">
        <v>1967</v>
      </c>
      <c r="E243" s="124"/>
      <c r="F243" s="129" t="s">
        <v>269</v>
      </c>
      <c r="G243" s="124">
        <v>5</v>
      </c>
      <c r="H243" s="124" t="s">
        <v>310</v>
      </c>
      <c r="I243" s="128">
        <v>3578.24</v>
      </c>
      <c r="J243" s="128">
        <v>3300</v>
      </c>
      <c r="K243" s="128">
        <v>3012.01</v>
      </c>
      <c r="L243" s="126">
        <v>117</v>
      </c>
      <c r="M243" s="124" t="s">
        <v>267</v>
      </c>
      <c r="N243" s="124" t="s">
        <v>271</v>
      </c>
      <c r="O243" s="127" t="s">
        <v>709</v>
      </c>
      <c r="P243" s="128">
        <v>130936.07</v>
      </c>
      <c r="Q243" s="128">
        <v>0</v>
      </c>
      <c r="R243" s="128">
        <v>0</v>
      </c>
      <c r="S243" s="128">
        <f t="shared" si="35"/>
        <v>130936.07</v>
      </c>
      <c r="T243" s="128">
        <f t="shared" si="28"/>
        <v>36.592310744947241</v>
      </c>
      <c r="U243" s="128">
        <v>36.592310744947241</v>
      </c>
      <c r="V243" s="257">
        <f t="shared" si="33"/>
        <v>0</v>
      </c>
      <c r="W243" s="257">
        <f t="shared" si="36"/>
        <v>1883.4686992487927</v>
      </c>
      <c r="X243" s="257">
        <v>0</v>
      </c>
      <c r="Y243" s="258">
        <v>0</v>
      </c>
      <c r="Z243" s="258">
        <v>0</v>
      </c>
      <c r="AA243" s="258">
        <v>0</v>
      </c>
      <c r="AB243" s="258">
        <v>0</v>
      </c>
      <c r="AC243" s="258">
        <v>0</v>
      </c>
      <c r="AD243" s="258">
        <v>0</v>
      </c>
      <c r="AE243" s="258">
        <v>0</v>
      </c>
      <c r="AF243" s="257">
        <v>0</v>
      </c>
      <c r="AG243" s="258">
        <v>0</v>
      </c>
      <c r="AH243" s="257">
        <v>0</v>
      </c>
      <c r="AI243" s="258">
        <v>0</v>
      </c>
      <c r="AJ243" s="257">
        <v>0</v>
      </c>
      <c r="AK243" s="258">
        <v>0</v>
      </c>
      <c r="AL243" s="258">
        <v>0</v>
      </c>
      <c r="AM243" s="258">
        <v>964.92</v>
      </c>
      <c r="AN243" s="258">
        <f>6984.52*AM243/I243</f>
        <v>1883.4686992487927</v>
      </c>
      <c r="AO243" s="258">
        <v>0</v>
      </c>
    </row>
    <row r="244" spans="1:41" s="259" customFormat="1" ht="36" customHeight="1" x14ac:dyDescent="0.25">
      <c r="A244" s="259">
        <v>1</v>
      </c>
      <c r="B244" s="135">
        <f>SUBTOTAL(103,$A$16:A244)</f>
        <v>224</v>
      </c>
      <c r="C244" s="94" t="s">
        <v>623</v>
      </c>
      <c r="D244" s="124">
        <v>1965</v>
      </c>
      <c r="E244" s="124"/>
      <c r="F244" s="129" t="s">
        <v>269</v>
      </c>
      <c r="G244" s="124">
        <v>5</v>
      </c>
      <c r="H244" s="124" t="s">
        <v>305</v>
      </c>
      <c r="I244" s="128">
        <v>4985.66</v>
      </c>
      <c r="J244" s="128">
        <v>2392.1999999999998</v>
      </c>
      <c r="K244" s="128">
        <v>2300.6</v>
      </c>
      <c r="L244" s="126">
        <v>185</v>
      </c>
      <c r="M244" s="124" t="s">
        <v>267</v>
      </c>
      <c r="N244" s="124" t="s">
        <v>271</v>
      </c>
      <c r="O244" s="127" t="s">
        <v>710</v>
      </c>
      <c r="P244" s="128">
        <v>143632.79</v>
      </c>
      <c r="Q244" s="128">
        <v>0</v>
      </c>
      <c r="R244" s="128">
        <v>0</v>
      </c>
      <c r="S244" s="128">
        <f t="shared" si="35"/>
        <v>143632.79</v>
      </c>
      <c r="T244" s="128">
        <f t="shared" si="28"/>
        <v>28.809182736087099</v>
      </c>
      <c r="U244" s="128">
        <v>28.809182736087099</v>
      </c>
      <c r="V244" s="257">
        <f t="shared" si="33"/>
        <v>0</v>
      </c>
      <c r="W244" s="257">
        <f>T244</f>
        <v>28.809182736087099</v>
      </c>
      <c r="X244" s="257">
        <v>0</v>
      </c>
      <c r="Y244" s="258">
        <v>0</v>
      </c>
      <c r="Z244" s="258">
        <v>0</v>
      </c>
      <c r="AA244" s="258">
        <v>0</v>
      </c>
      <c r="AB244" s="258">
        <v>0</v>
      </c>
      <c r="AC244" s="258">
        <v>0</v>
      </c>
      <c r="AD244" s="258">
        <v>0</v>
      </c>
      <c r="AE244" s="258">
        <v>0</v>
      </c>
      <c r="AF244" s="257">
        <v>0</v>
      </c>
      <c r="AG244" s="258">
        <v>0</v>
      </c>
      <c r="AH244" s="257">
        <v>0</v>
      </c>
      <c r="AI244" s="258">
        <v>0</v>
      </c>
      <c r="AJ244" s="257">
        <v>0</v>
      </c>
      <c r="AK244" s="258">
        <v>0</v>
      </c>
      <c r="AL244" s="258">
        <v>0</v>
      </c>
      <c r="AM244" s="258">
        <v>0</v>
      </c>
      <c r="AN244" s="258"/>
      <c r="AO244" s="258">
        <v>0</v>
      </c>
    </row>
    <row r="245" spans="1:41" s="259" customFormat="1" ht="36" customHeight="1" x14ac:dyDescent="0.25">
      <c r="A245" s="259">
        <v>1</v>
      </c>
      <c r="B245" s="135">
        <f>SUBTOTAL(103,$A$16:A245)</f>
        <v>225</v>
      </c>
      <c r="C245" s="94" t="s">
        <v>626</v>
      </c>
      <c r="D245" s="124">
        <v>1993</v>
      </c>
      <c r="E245" s="124"/>
      <c r="F245" s="129" t="s">
        <v>313</v>
      </c>
      <c r="G245" s="124">
        <v>9</v>
      </c>
      <c r="H245" s="124" t="s">
        <v>305</v>
      </c>
      <c r="I245" s="128">
        <v>5060.3</v>
      </c>
      <c r="J245" s="128">
        <v>5060.3</v>
      </c>
      <c r="K245" s="128">
        <v>5060.3</v>
      </c>
      <c r="L245" s="126">
        <v>206</v>
      </c>
      <c r="M245" s="124" t="s">
        <v>267</v>
      </c>
      <c r="N245" s="124" t="s">
        <v>271</v>
      </c>
      <c r="O245" s="127" t="s">
        <v>711</v>
      </c>
      <c r="P245" s="128">
        <v>3407945.42</v>
      </c>
      <c r="Q245" s="128">
        <v>0</v>
      </c>
      <c r="R245" s="128">
        <v>0</v>
      </c>
      <c r="S245" s="128">
        <f t="shared" si="35"/>
        <v>3407945.42</v>
      </c>
      <c r="T245" s="128">
        <f t="shared" si="28"/>
        <v>673.46707112226545</v>
      </c>
      <c r="U245" s="128">
        <v>971.40485741952057</v>
      </c>
      <c r="V245" s="257">
        <f t="shared" si="33"/>
        <v>297.93778629725512</v>
      </c>
      <c r="W245" s="257">
        <f t="shared" si="36"/>
        <v>971.40485741952057</v>
      </c>
      <c r="X245" s="257">
        <v>0</v>
      </c>
      <c r="Y245" s="258">
        <v>0</v>
      </c>
      <c r="Z245" s="258">
        <v>0</v>
      </c>
      <c r="AA245" s="258">
        <v>0</v>
      </c>
      <c r="AB245" s="258">
        <v>0</v>
      </c>
      <c r="AC245" s="258">
        <v>2</v>
      </c>
      <c r="AD245" s="257">
        <f>2457800*AC245/I245</f>
        <v>971.40485741952057</v>
      </c>
      <c r="AE245" s="258">
        <v>0</v>
      </c>
      <c r="AF245" s="257">
        <v>0</v>
      </c>
      <c r="AG245" s="258">
        <v>0</v>
      </c>
      <c r="AH245" s="257">
        <v>0</v>
      </c>
      <c r="AI245" s="258">
        <v>0</v>
      </c>
      <c r="AJ245" s="257">
        <v>0</v>
      </c>
      <c r="AK245" s="258">
        <v>0</v>
      </c>
      <c r="AL245" s="258">
        <v>0</v>
      </c>
      <c r="AM245" s="258">
        <v>0</v>
      </c>
      <c r="AN245" s="258"/>
      <c r="AO245" s="258">
        <v>0</v>
      </c>
    </row>
    <row r="246" spans="1:41" s="259" customFormat="1" ht="36" customHeight="1" x14ac:dyDescent="0.25">
      <c r="A246" s="259">
        <v>1</v>
      </c>
      <c r="B246" s="135">
        <f>SUBTOTAL(103,$A$16:A246)</f>
        <v>226</v>
      </c>
      <c r="C246" s="94" t="s">
        <v>628</v>
      </c>
      <c r="D246" s="124">
        <v>1959</v>
      </c>
      <c r="E246" s="124"/>
      <c r="F246" s="129" t="s">
        <v>269</v>
      </c>
      <c r="G246" s="124">
        <v>2</v>
      </c>
      <c r="H246" s="124" t="s">
        <v>305</v>
      </c>
      <c r="I246" s="128">
        <v>608.20000000000005</v>
      </c>
      <c r="J246" s="128">
        <v>564.4</v>
      </c>
      <c r="K246" s="128">
        <v>525.79999999999995</v>
      </c>
      <c r="L246" s="126">
        <v>29</v>
      </c>
      <c r="M246" s="124" t="s">
        <v>267</v>
      </c>
      <c r="N246" s="124" t="s">
        <v>271</v>
      </c>
      <c r="O246" s="127" t="s">
        <v>709</v>
      </c>
      <c r="P246" s="128">
        <v>1860691.51</v>
      </c>
      <c r="Q246" s="128">
        <v>0</v>
      </c>
      <c r="R246" s="128">
        <v>0</v>
      </c>
      <c r="S246" s="128">
        <f t="shared" si="35"/>
        <v>1860691.51</v>
      </c>
      <c r="T246" s="128">
        <f t="shared" si="28"/>
        <v>3059.3415159487008</v>
      </c>
      <c r="U246" s="128">
        <v>5146.4896415652738</v>
      </c>
      <c r="V246" s="257">
        <f t="shared" si="33"/>
        <v>2087.148125616573</v>
      </c>
      <c r="W246" s="257">
        <f t="shared" si="36"/>
        <v>5128.9953962512327</v>
      </c>
      <c r="X246" s="257">
        <v>0</v>
      </c>
      <c r="Y246" s="258">
        <v>0</v>
      </c>
      <c r="Z246" s="258">
        <v>0</v>
      </c>
      <c r="AA246" s="258">
        <v>0</v>
      </c>
      <c r="AB246" s="258">
        <v>0</v>
      </c>
      <c r="AC246" s="258">
        <v>0</v>
      </c>
      <c r="AD246" s="258">
        <v>0</v>
      </c>
      <c r="AE246" s="258">
        <v>500</v>
      </c>
      <c r="AF246" s="257">
        <f>6238.91*AE246/I246</f>
        <v>5128.9953962512327</v>
      </c>
      <c r="AG246" s="258">
        <v>0</v>
      </c>
      <c r="AH246" s="257">
        <v>0</v>
      </c>
      <c r="AI246" s="258">
        <v>0</v>
      </c>
      <c r="AJ246" s="257">
        <v>0</v>
      </c>
      <c r="AK246" s="258">
        <v>0</v>
      </c>
      <c r="AL246" s="258">
        <v>0</v>
      </c>
      <c r="AM246" s="258">
        <v>0</v>
      </c>
      <c r="AN246" s="258"/>
      <c r="AO246" s="258">
        <v>0</v>
      </c>
    </row>
    <row r="247" spans="1:41" s="259" customFormat="1" ht="36" customHeight="1" x14ac:dyDescent="0.25">
      <c r="A247" s="259">
        <v>1</v>
      </c>
      <c r="B247" s="135">
        <f>SUBTOTAL(103,$A$16:A247)</f>
        <v>227</v>
      </c>
      <c r="C247" s="94" t="s">
        <v>631</v>
      </c>
      <c r="D247" s="124">
        <v>1965</v>
      </c>
      <c r="E247" s="124"/>
      <c r="F247" s="129" t="s">
        <v>269</v>
      </c>
      <c r="G247" s="124">
        <v>5</v>
      </c>
      <c r="H247" s="124" t="s">
        <v>305</v>
      </c>
      <c r="I247" s="128">
        <v>2026.2</v>
      </c>
      <c r="J247" s="128">
        <v>1684.6</v>
      </c>
      <c r="K247" s="128">
        <v>1684.6</v>
      </c>
      <c r="L247" s="126">
        <v>76</v>
      </c>
      <c r="M247" s="124" t="s">
        <v>267</v>
      </c>
      <c r="N247" s="124" t="s">
        <v>271</v>
      </c>
      <c r="O247" s="127" t="s">
        <v>711</v>
      </c>
      <c r="P247" s="128">
        <v>2404378.48</v>
      </c>
      <c r="Q247" s="128">
        <v>0</v>
      </c>
      <c r="R247" s="128">
        <v>0</v>
      </c>
      <c r="S247" s="128">
        <f t="shared" si="35"/>
        <v>2404378.48</v>
      </c>
      <c r="T247" s="128">
        <f t="shared" si="28"/>
        <v>1186.6442009673281</v>
      </c>
      <c r="U247" s="128">
        <v>1673.338714835653</v>
      </c>
      <c r="V247" s="257">
        <f t="shared" si="33"/>
        <v>486.69451386832498</v>
      </c>
      <c r="W247" s="257">
        <f t="shared" si="36"/>
        <v>1667.6506050735366</v>
      </c>
      <c r="X247" s="257">
        <v>0</v>
      </c>
      <c r="Y247" s="258">
        <v>0</v>
      </c>
      <c r="Z247" s="258">
        <v>0</v>
      </c>
      <c r="AA247" s="258">
        <v>0</v>
      </c>
      <c r="AB247" s="258">
        <v>0</v>
      </c>
      <c r="AC247" s="258">
        <v>0</v>
      </c>
      <c r="AD247" s="258">
        <v>0</v>
      </c>
      <c r="AE247" s="258">
        <v>541.6</v>
      </c>
      <c r="AF247" s="257">
        <f>6238.91*AE247/I247</f>
        <v>1667.6506050735366</v>
      </c>
      <c r="AG247" s="258">
        <v>0</v>
      </c>
      <c r="AH247" s="257">
        <v>0</v>
      </c>
      <c r="AI247" s="258">
        <v>0</v>
      </c>
      <c r="AJ247" s="257">
        <v>0</v>
      </c>
      <c r="AK247" s="258">
        <v>0</v>
      </c>
      <c r="AL247" s="258">
        <v>0</v>
      </c>
      <c r="AM247" s="258">
        <v>0</v>
      </c>
      <c r="AN247" s="258"/>
      <c r="AO247" s="258">
        <v>0</v>
      </c>
    </row>
    <row r="248" spans="1:41" s="259" customFormat="1" ht="36" customHeight="1" x14ac:dyDescent="0.25">
      <c r="A248" s="259">
        <v>1</v>
      </c>
      <c r="B248" s="135">
        <f>SUBTOTAL(103,$A$16:A248)</f>
        <v>228</v>
      </c>
      <c r="C248" s="94" t="s">
        <v>632</v>
      </c>
      <c r="D248" s="124">
        <v>1963</v>
      </c>
      <c r="E248" s="124"/>
      <c r="F248" s="129" t="s">
        <v>269</v>
      </c>
      <c r="G248" s="124">
        <v>2</v>
      </c>
      <c r="H248" s="124" t="s">
        <v>305</v>
      </c>
      <c r="I248" s="128">
        <v>429.2</v>
      </c>
      <c r="J248" s="128">
        <v>389</v>
      </c>
      <c r="K248" s="128">
        <v>389</v>
      </c>
      <c r="L248" s="126">
        <v>13</v>
      </c>
      <c r="M248" s="124" t="s">
        <v>267</v>
      </c>
      <c r="N248" s="124" t="s">
        <v>271</v>
      </c>
      <c r="O248" s="127" t="s">
        <v>712</v>
      </c>
      <c r="P248" s="128">
        <v>1323171.2200000002</v>
      </c>
      <c r="Q248" s="128">
        <v>0</v>
      </c>
      <c r="R248" s="128">
        <v>0</v>
      </c>
      <c r="S248" s="128">
        <f t="shared" si="35"/>
        <v>1323171.2200000002</v>
      </c>
      <c r="T248" s="128">
        <f t="shared" si="28"/>
        <v>3082.8779589934766</v>
      </c>
      <c r="U248" s="128">
        <v>5705.932730661696</v>
      </c>
      <c r="V248" s="257">
        <f t="shared" si="33"/>
        <v>2623.0547716682195</v>
      </c>
      <c r="W248" s="257">
        <f t="shared" si="36"/>
        <v>5686.5367940354145</v>
      </c>
      <c r="X248" s="257">
        <v>0</v>
      </c>
      <c r="Y248" s="258">
        <v>0</v>
      </c>
      <c r="Z248" s="258">
        <v>0</v>
      </c>
      <c r="AA248" s="258">
        <v>0</v>
      </c>
      <c r="AB248" s="258">
        <v>0</v>
      </c>
      <c r="AC248" s="258">
        <v>0</v>
      </c>
      <c r="AD248" s="258">
        <v>0</v>
      </c>
      <c r="AE248" s="258">
        <v>391.2</v>
      </c>
      <c r="AF248" s="257">
        <f>6238.91*AE248/I248</f>
        <v>5686.5367940354145</v>
      </c>
      <c r="AG248" s="258">
        <v>0</v>
      </c>
      <c r="AH248" s="257">
        <v>0</v>
      </c>
      <c r="AI248" s="258">
        <v>0</v>
      </c>
      <c r="AJ248" s="257">
        <v>0</v>
      </c>
      <c r="AK248" s="258">
        <v>0</v>
      </c>
      <c r="AL248" s="258">
        <v>0</v>
      </c>
      <c r="AM248" s="258">
        <v>0</v>
      </c>
      <c r="AN248" s="258"/>
      <c r="AO248" s="258">
        <v>0</v>
      </c>
    </row>
    <row r="249" spans="1:41" s="259" customFormat="1" ht="36" customHeight="1" x14ac:dyDescent="0.25">
      <c r="A249" s="259">
        <v>1</v>
      </c>
      <c r="B249" s="135">
        <f>SUBTOTAL(103,$A$16:A249)</f>
        <v>229</v>
      </c>
      <c r="C249" s="94" t="s">
        <v>633</v>
      </c>
      <c r="D249" s="124">
        <v>1987</v>
      </c>
      <c r="E249" s="124"/>
      <c r="F249" s="129" t="s">
        <v>269</v>
      </c>
      <c r="G249" s="124">
        <v>9</v>
      </c>
      <c r="H249" s="124" t="s">
        <v>305</v>
      </c>
      <c r="I249" s="128">
        <v>7472.7</v>
      </c>
      <c r="J249" s="128">
        <v>3451.84</v>
      </c>
      <c r="K249" s="128">
        <v>3451.84</v>
      </c>
      <c r="L249" s="126">
        <v>160</v>
      </c>
      <c r="M249" s="124" t="s">
        <v>267</v>
      </c>
      <c r="N249" s="124" t="s">
        <v>285</v>
      </c>
      <c r="O249" s="127" t="s">
        <v>270</v>
      </c>
      <c r="P249" s="128">
        <v>1623216.35</v>
      </c>
      <c r="Q249" s="128">
        <v>0</v>
      </c>
      <c r="R249" s="128">
        <v>0</v>
      </c>
      <c r="S249" s="128">
        <f t="shared" si="35"/>
        <v>1623216.35</v>
      </c>
      <c r="T249" s="128">
        <f t="shared" si="28"/>
        <v>217.2195257403616</v>
      </c>
      <c r="U249" s="128">
        <v>328.90387677813908</v>
      </c>
      <c r="V249" s="257">
        <f t="shared" si="33"/>
        <v>111.68435103777747</v>
      </c>
      <c r="W249" s="257">
        <f t="shared" si="36"/>
        <v>328.90387677813908</v>
      </c>
      <c r="X249" s="257">
        <v>0</v>
      </c>
      <c r="Y249" s="258">
        <v>0</v>
      </c>
      <c r="Z249" s="258">
        <v>0</v>
      </c>
      <c r="AA249" s="258">
        <v>0</v>
      </c>
      <c r="AB249" s="258">
        <v>0</v>
      </c>
      <c r="AC249" s="258">
        <v>1</v>
      </c>
      <c r="AD249" s="257">
        <f>2457800*AC249/I249</f>
        <v>328.90387677813908</v>
      </c>
      <c r="AE249" s="258">
        <v>0</v>
      </c>
      <c r="AF249" s="257">
        <v>0</v>
      </c>
      <c r="AG249" s="258">
        <v>0</v>
      </c>
      <c r="AH249" s="257">
        <v>0</v>
      </c>
      <c r="AI249" s="258">
        <v>0</v>
      </c>
      <c r="AJ249" s="257">
        <v>0</v>
      </c>
      <c r="AK249" s="258">
        <v>0</v>
      </c>
      <c r="AL249" s="258">
        <v>0</v>
      </c>
      <c r="AM249" s="258">
        <v>0</v>
      </c>
      <c r="AN249" s="258"/>
      <c r="AO249" s="258">
        <v>0</v>
      </c>
    </row>
    <row r="250" spans="1:41" s="259" customFormat="1" ht="36" customHeight="1" x14ac:dyDescent="0.25">
      <c r="A250" s="259">
        <v>1</v>
      </c>
      <c r="B250" s="135">
        <f>SUBTOTAL(103,$A$16:A250)</f>
        <v>230</v>
      </c>
      <c r="C250" s="94" t="s">
        <v>635</v>
      </c>
      <c r="D250" s="124">
        <v>1917</v>
      </c>
      <c r="E250" s="124"/>
      <c r="F250" s="129" t="s">
        <v>269</v>
      </c>
      <c r="G250" s="124">
        <v>2</v>
      </c>
      <c r="H250" s="124" t="s">
        <v>306</v>
      </c>
      <c r="I250" s="128">
        <v>237.3</v>
      </c>
      <c r="J250" s="128">
        <v>207.2</v>
      </c>
      <c r="K250" s="128">
        <v>207.2</v>
      </c>
      <c r="L250" s="126">
        <v>13</v>
      </c>
      <c r="M250" s="124" t="s">
        <v>267</v>
      </c>
      <c r="N250" s="124" t="s">
        <v>268</v>
      </c>
      <c r="O250" s="127" t="s">
        <v>270</v>
      </c>
      <c r="P250" s="128">
        <v>840825.44000000006</v>
      </c>
      <c r="Q250" s="128">
        <v>0</v>
      </c>
      <c r="R250" s="128">
        <v>0</v>
      </c>
      <c r="S250" s="128">
        <f t="shared" si="35"/>
        <v>840825.44000000006</v>
      </c>
      <c r="T250" s="128">
        <f t="shared" si="28"/>
        <v>3543.3014749262538</v>
      </c>
      <c r="U250" s="128">
        <v>5695.6385208596712</v>
      </c>
      <c r="V250" s="257">
        <f t="shared" si="33"/>
        <v>2152.3370459334174</v>
      </c>
      <c r="W250" s="257">
        <f t="shared" si="36"/>
        <v>6309.8963337547402</v>
      </c>
      <c r="X250" s="257">
        <v>0</v>
      </c>
      <c r="Y250" s="258">
        <v>0</v>
      </c>
      <c r="Z250" s="258">
        <v>0</v>
      </c>
      <c r="AA250" s="258">
        <v>0</v>
      </c>
      <c r="AB250" s="258">
        <v>0</v>
      </c>
      <c r="AC250" s="258">
        <v>0</v>
      </c>
      <c r="AD250" s="258">
        <v>0</v>
      </c>
      <c r="AE250" s="258">
        <v>240</v>
      </c>
      <c r="AF250" s="257">
        <f t="shared" ref="AF250:AF255" si="37">6238.91*AE250/I250</f>
        <v>6309.8963337547402</v>
      </c>
      <c r="AG250" s="258">
        <v>0</v>
      </c>
      <c r="AH250" s="257">
        <v>0</v>
      </c>
      <c r="AI250" s="258">
        <v>0</v>
      </c>
      <c r="AJ250" s="257">
        <v>0</v>
      </c>
      <c r="AK250" s="258">
        <v>0</v>
      </c>
      <c r="AL250" s="258">
        <v>0</v>
      </c>
      <c r="AM250" s="258">
        <v>0</v>
      </c>
      <c r="AN250" s="258"/>
      <c r="AO250" s="258">
        <v>0</v>
      </c>
    </row>
    <row r="251" spans="1:41" s="259" customFormat="1" ht="36" customHeight="1" x14ac:dyDescent="0.25">
      <c r="A251" s="259">
        <v>1</v>
      </c>
      <c r="B251" s="135">
        <f>SUBTOTAL(103,$A$16:A251)</f>
        <v>231</v>
      </c>
      <c r="C251" s="94" t="s">
        <v>639</v>
      </c>
      <c r="D251" s="124">
        <v>1972</v>
      </c>
      <c r="E251" s="124"/>
      <c r="F251" s="129" t="s">
        <v>269</v>
      </c>
      <c r="G251" s="124">
        <v>5</v>
      </c>
      <c r="H251" s="124" t="s">
        <v>306</v>
      </c>
      <c r="I251" s="128">
        <v>1651.99</v>
      </c>
      <c r="J251" s="128">
        <v>1219.19</v>
      </c>
      <c r="K251" s="128">
        <v>1219.19</v>
      </c>
      <c r="L251" s="126">
        <v>231</v>
      </c>
      <c r="M251" s="124" t="s">
        <v>267</v>
      </c>
      <c r="N251" s="124" t="s">
        <v>343</v>
      </c>
      <c r="O251" s="127" t="s">
        <v>713</v>
      </c>
      <c r="P251" s="128">
        <v>1500690.63</v>
      </c>
      <c r="Q251" s="128">
        <v>0</v>
      </c>
      <c r="R251" s="128">
        <v>0</v>
      </c>
      <c r="S251" s="128">
        <f t="shared" si="35"/>
        <v>1500690.63</v>
      </c>
      <c r="T251" s="128">
        <f t="shared" si="28"/>
        <v>908.41387054401048</v>
      </c>
      <c r="U251" s="128">
        <v>2141.0585717831218</v>
      </c>
      <c r="V251" s="257">
        <f t="shared" si="33"/>
        <v>1232.6447012391113</v>
      </c>
      <c r="W251" s="257">
        <f t="shared" si="36"/>
        <v>2126.6050163741911</v>
      </c>
      <c r="X251" s="257">
        <v>0</v>
      </c>
      <c r="Y251" s="258">
        <v>0</v>
      </c>
      <c r="Z251" s="258">
        <v>0</v>
      </c>
      <c r="AA251" s="258">
        <v>0</v>
      </c>
      <c r="AB251" s="258">
        <v>0</v>
      </c>
      <c r="AC251" s="258">
        <v>0</v>
      </c>
      <c r="AD251" s="258">
        <v>0</v>
      </c>
      <c r="AE251" s="258">
        <v>563.1</v>
      </c>
      <c r="AF251" s="257">
        <f t="shared" si="37"/>
        <v>2126.6050163741911</v>
      </c>
      <c r="AG251" s="258">
        <v>0</v>
      </c>
      <c r="AH251" s="257">
        <v>0</v>
      </c>
      <c r="AI251" s="258">
        <v>0</v>
      </c>
      <c r="AJ251" s="257">
        <v>0</v>
      </c>
      <c r="AK251" s="258">
        <v>0</v>
      </c>
      <c r="AL251" s="258">
        <v>0</v>
      </c>
      <c r="AM251" s="258">
        <v>0</v>
      </c>
      <c r="AN251" s="258"/>
      <c r="AO251" s="258">
        <v>0</v>
      </c>
    </row>
    <row r="252" spans="1:41" s="259" customFormat="1" ht="36" customHeight="1" x14ac:dyDescent="0.25">
      <c r="A252" s="259">
        <v>1</v>
      </c>
      <c r="B252" s="135">
        <f>SUBTOTAL(103,$A$16:A252)</f>
        <v>232</v>
      </c>
      <c r="C252" s="94" t="s">
        <v>1096</v>
      </c>
      <c r="D252" s="124">
        <v>1965</v>
      </c>
      <c r="E252" s="124"/>
      <c r="F252" s="129" t="s">
        <v>269</v>
      </c>
      <c r="G252" s="124">
        <v>5</v>
      </c>
      <c r="H252" s="124" t="s">
        <v>310</v>
      </c>
      <c r="I252" s="128">
        <v>3471.4</v>
      </c>
      <c r="J252" s="128">
        <v>3417.4</v>
      </c>
      <c r="K252" s="128">
        <v>3417.4</v>
      </c>
      <c r="L252" s="126">
        <v>208</v>
      </c>
      <c r="M252" s="124" t="s">
        <v>267</v>
      </c>
      <c r="N252" s="124" t="s">
        <v>271</v>
      </c>
      <c r="O252" s="127" t="s">
        <v>711</v>
      </c>
      <c r="P252" s="128">
        <v>4918728.9799999995</v>
      </c>
      <c r="Q252" s="128">
        <v>0</v>
      </c>
      <c r="R252" s="128">
        <v>0</v>
      </c>
      <c r="S252" s="128">
        <f t="shared" si="35"/>
        <v>4918728.9799999995</v>
      </c>
      <c r="T252" s="128">
        <f t="shared" si="28"/>
        <v>1416.9294751397128</v>
      </c>
      <c r="U252" s="128">
        <v>1971.0743993777726</v>
      </c>
      <c r="V252" s="257">
        <f t="shared" si="33"/>
        <v>554.14492423805973</v>
      </c>
      <c r="W252" s="257">
        <f t="shared" si="36"/>
        <v>1926.4526211326843</v>
      </c>
      <c r="X252" s="257">
        <v>0</v>
      </c>
      <c r="Y252" s="258">
        <v>0</v>
      </c>
      <c r="Z252" s="258">
        <v>0</v>
      </c>
      <c r="AA252" s="258">
        <v>0</v>
      </c>
      <c r="AB252" s="258">
        <v>0</v>
      </c>
      <c r="AC252" s="258">
        <v>0</v>
      </c>
      <c r="AD252" s="258">
        <v>0</v>
      </c>
      <c r="AE252" s="258">
        <v>1071.9000000000001</v>
      </c>
      <c r="AF252" s="257">
        <f t="shared" si="37"/>
        <v>1926.4526211326843</v>
      </c>
      <c r="AG252" s="258">
        <v>0</v>
      </c>
      <c r="AH252" s="257">
        <v>0</v>
      </c>
      <c r="AI252" s="258">
        <v>0</v>
      </c>
      <c r="AJ252" s="257">
        <v>0</v>
      </c>
      <c r="AK252" s="258">
        <v>0</v>
      </c>
      <c r="AL252" s="258">
        <v>0</v>
      </c>
      <c r="AM252" s="258">
        <v>0</v>
      </c>
      <c r="AN252" s="258"/>
      <c r="AO252" s="258">
        <v>0</v>
      </c>
    </row>
    <row r="253" spans="1:41" s="259" customFormat="1" ht="36" customHeight="1" x14ac:dyDescent="0.25">
      <c r="A253" s="259">
        <v>1</v>
      </c>
      <c r="B253" s="135">
        <f>SUBTOTAL(103,$A$16:A253)</f>
        <v>233</v>
      </c>
      <c r="C253" s="94" t="s">
        <v>1182</v>
      </c>
      <c r="D253" s="124" t="s">
        <v>1318</v>
      </c>
      <c r="E253" s="124"/>
      <c r="F253" s="129" t="s">
        <v>313</v>
      </c>
      <c r="G253" s="124" t="s">
        <v>359</v>
      </c>
      <c r="H253" s="124" t="s">
        <v>305</v>
      </c>
      <c r="I253" s="128">
        <v>4238.3</v>
      </c>
      <c r="J253" s="128">
        <v>4238.3</v>
      </c>
      <c r="K253" s="128">
        <v>4238.3</v>
      </c>
      <c r="L253" s="126">
        <v>187</v>
      </c>
      <c r="M253" s="124" t="s">
        <v>267</v>
      </c>
      <c r="N253" s="124" t="s">
        <v>271</v>
      </c>
      <c r="O253" s="127" t="s">
        <v>1319</v>
      </c>
      <c r="P253" s="128">
        <v>978702.2</v>
      </c>
      <c r="Q253" s="128">
        <v>0</v>
      </c>
      <c r="R253" s="128">
        <v>0</v>
      </c>
      <c r="S253" s="128">
        <f t="shared" si="35"/>
        <v>978702.2</v>
      </c>
      <c r="T253" s="128">
        <f t="shared" si="28"/>
        <v>230.91857584408842</v>
      </c>
      <c r="U253" s="128">
        <v>798.34667083500449</v>
      </c>
      <c r="V253" s="257">
        <f t="shared" si="33"/>
        <v>567.42809499091607</v>
      </c>
      <c r="W253" s="257">
        <f t="shared" si="36"/>
        <v>795.63288464714617</v>
      </c>
      <c r="X253" s="257">
        <v>0</v>
      </c>
      <c r="Y253" s="258">
        <v>0</v>
      </c>
      <c r="Z253" s="258">
        <v>0</v>
      </c>
      <c r="AA253" s="258">
        <v>0</v>
      </c>
      <c r="AB253" s="258">
        <v>0</v>
      </c>
      <c r="AC253" s="258">
        <v>0</v>
      </c>
      <c r="AD253" s="258">
        <v>0</v>
      </c>
      <c r="AE253" s="258">
        <v>540.5</v>
      </c>
      <c r="AF253" s="257">
        <f t="shared" si="37"/>
        <v>795.63288464714617</v>
      </c>
      <c r="AG253" s="258">
        <v>0</v>
      </c>
      <c r="AH253" s="257">
        <v>0</v>
      </c>
      <c r="AI253" s="258">
        <v>0</v>
      </c>
      <c r="AJ253" s="257">
        <v>0</v>
      </c>
      <c r="AK253" s="258">
        <v>0</v>
      </c>
      <c r="AL253" s="258">
        <v>0</v>
      </c>
      <c r="AM253" s="258">
        <v>0</v>
      </c>
      <c r="AN253" s="258"/>
      <c r="AO253" s="258">
        <v>0</v>
      </c>
    </row>
    <row r="254" spans="1:41" s="259" customFormat="1" ht="36" customHeight="1" x14ac:dyDescent="0.25">
      <c r="A254" s="259">
        <v>1</v>
      </c>
      <c r="B254" s="135">
        <f>SUBTOTAL(103,$A$16:A254)</f>
        <v>234</v>
      </c>
      <c r="C254" s="94" t="s">
        <v>1183</v>
      </c>
      <c r="D254" s="124" t="s">
        <v>311</v>
      </c>
      <c r="E254" s="124"/>
      <c r="F254" s="129" t="s">
        <v>269</v>
      </c>
      <c r="G254" s="124" t="s">
        <v>314</v>
      </c>
      <c r="H254" s="124" t="s">
        <v>305</v>
      </c>
      <c r="I254" s="125">
        <v>1681.3</v>
      </c>
      <c r="J254" s="125">
        <v>1080.3</v>
      </c>
      <c r="K254" s="125">
        <v>1080.3</v>
      </c>
      <c r="L254" s="126">
        <v>54</v>
      </c>
      <c r="M254" s="124" t="s">
        <v>267</v>
      </c>
      <c r="N254" s="124" t="s">
        <v>271</v>
      </c>
      <c r="O254" s="127" t="s">
        <v>1320</v>
      </c>
      <c r="P254" s="128">
        <v>3528045.11</v>
      </c>
      <c r="Q254" s="128">
        <v>0</v>
      </c>
      <c r="R254" s="128">
        <v>0</v>
      </c>
      <c r="S254" s="128">
        <f t="shared" si="35"/>
        <v>3528045.11</v>
      </c>
      <c r="T254" s="128">
        <f t="shared" si="28"/>
        <v>2098.403086897044</v>
      </c>
      <c r="U254" s="128">
        <v>2247.0853892821028</v>
      </c>
      <c r="V254" s="257">
        <f t="shared" si="33"/>
        <v>148.68230238505885</v>
      </c>
      <c r="W254" s="257">
        <f t="shared" si="36"/>
        <v>2707.8568930589427</v>
      </c>
      <c r="X254" s="257">
        <v>0</v>
      </c>
      <c r="Y254" s="258">
        <v>0</v>
      </c>
      <c r="Z254" s="258">
        <v>0</v>
      </c>
      <c r="AA254" s="258">
        <v>0</v>
      </c>
      <c r="AB254" s="258">
        <v>0</v>
      </c>
      <c r="AC254" s="258">
        <v>0</v>
      </c>
      <c r="AD254" s="258">
        <v>0</v>
      </c>
      <c r="AE254" s="258">
        <v>729.73</v>
      </c>
      <c r="AF254" s="257">
        <f t="shared" si="37"/>
        <v>2707.8568930589427</v>
      </c>
      <c r="AG254" s="258">
        <v>0</v>
      </c>
      <c r="AH254" s="257">
        <v>0</v>
      </c>
      <c r="AI254" s="258">
        <v>0</v>
      </c>
      <c r="AJ254" s="257">
        <v>0</v>
      </c>
      <c r="AK254" s="258">
        <v>0</v>
      </c>
      <c r="AL254" s="258">
        <v>0</v>
      </c>
      <c r="AM254" s="258">
        <v>0</v>
      </c>
      <c r="AN254" s="258"/>
      <c r="AO254" s="258">
        <v>0</v>
      </c>
    </row>
    <row r="255" spans="1:41" s="259" customFormat="1" ht="36" customHeight="1" x14ac:dyDescent="0.25">
      <c r="A255" s="259">
        <v>1</v>
      </c>
      <c r="B255" s="135">
        <f>SUBTOTAL(103,$A$16:A255)</f>
        <v>235</v>
      </c>
      <c r="C255" s="94" t="s">
        <v>1184</v>
      </c>
      <c r="D255" s="124">
        <v>1959</v>
      </c>
      <c r="E255" s="124"/>
      <c r="F255" s="129" t="s">
        <v>269</v>
      </c>
      <c r="G255" s="124">
        <v>5</v>
      </c>
      <c r="H255" s="124" t="s">
        <v>353</v>
      </c>
      <c r="I255" s="128">
        <v>6261.25</v>
      </c>
      <c r="J255" s="128">
        <v>4642.6499999999996</v>
      </c>
      <c r="K255" s="128">
        <v>2995.37</v>
      </c>
      <c r="L255" s="126">
        <v>118</v>
      </c>
      <c r="M255" s="124" t="s">
        <v>267</v>
      </c>
      <c r="N255" s="124" t="s">
        <v>271</v>
      </c>
      <c r="O255" s="127" t="s">
        <v>1321</v>
      </c>
      <c r="P255" s="128">
        <v>8000993.2200000007</v>
      </c>
      <c r="Q255" s="128">
        <v>0</v>
      </c>
      <c r="R255" s="128">
        <v>0</v>
      </c>
      <c r="S255" s="128">
        <f t="shared" si="35"/>
        <v>8000993.2200000007</v>
      </c>
      <c r="T255" s="128">
        <f t="shared" si="28"/>
        <v>1277.8587694150531</v>
      </c>
      <c r="U255" s="128">
        <v>1649.7206628069475</v>
      </c>
      <c r="V255" s="257">
        <f t="shared" si="33"/>
        <v>371.86189339189445</v>
      </c>
      <c r="W255" s="257">
        <f t="shared" si="36"/>
        <v>1644.1128368935915</v>
      </c>
      <c r="X255" s="257">
        <v>0</v>
      </c>
      <c r="Y255" s="258">
        <v>0</v>
      </c>
      <c r="Z255" s="258">
        <v>0</v>
      </c>
      <c r="AA255" s="258">
        <v>0</v>
      </c>
      <c r="AB255" s="258">
        <v>0</v>
      </c>
      <c r="AC255" s="258">
        <v>0</v>
      </c>
      <c r="AD255" s="258">
        <v>0</v>
      </c>
      <c r="AE255" s="258">
        <v>1650</v>
      </c>
      <c r="AF255" s="257">
        <f t="shared" si="37"/>
        <v>1644.1128368935915</v>
      </c>
      <c r="AG255" s="258">
        <v>0</v>
      </c>
      <c r="AH255" s="257">
        <v>0</v>
      </c>
      <c r="AI255" s="258">
        <v>0</v>
      </c>
      <c r="AJ255" s="257">
        <v>0</v>
      </c>
      <c r="AK255" s="258">
        <v>0</v>
      </c>
      <c r="AL255" s="258">
        <v>0</v>
      </c>
      <c r="AM255" s="258">
        <v>0</v>
      </c>
      <c r="AN255" s="258"/>
      <c r="AO255" s="258">
        <v>0</v>
      </c>
    </row>
    <row r="256" spans="1:41" s="259" customFormat="1" ht="36" customHeight="1" x14ac:dyDescent="0.25">
      <c r="A256" s="259">
        <v>1</v>
      </c>
      <c r="B256" s="135">
        <f>SUBTOTAL(103,$A$16:A256)</f>
        <v>236</v>
      </c>
      <c r="C256" s="94" t="s">
        <v>1185</v>
      </c>
      <c r="D256" s="124">
        <v>1956</v>
      </c>
      <c r="E256" s="124"/>
      <c r="F256" s="129" t="s">
        <v>269</v>
      </c>
      <c r="G256" s="124">
        <v>2</v>
      </c>
      <c r="H256" s="124" t="s">
        <v>305</v>
      </c>
      <c r="I256" s="128">
        <v>525.29999999999995</v>
      </c>
      <c r="J256" s="128">
        <v>480.3</v>
      </c>
      <c r="K256" s="128">
        <v>480.3</v>
      </c>
      <c r="L256" s="126">
        <v>31</v>
      </c>
      <c r="M256" s="124" t="s">
        <v>267</v>
      </c>
      <c r="N256" s="124" t="s">
        <v>271</v>
      </c>
      <c r="O256" s="127" t="s">
        <v>712</v>
      </c>
      <c r="P256" s="128">
        <v>1685838.04</v>
      </c>
      <c r="Q256" s="128">
        <v>0</v>
      </c>
      <c r="R256" s="128">
        <v>0</v>
      </c>
      <c r="S256" s="128">
        <f t="shared" si="35"/>
        <v>1685838.04</v>
      </c>
      <c r="T256" s="128">
        <f t="shared" si="28"/>
        <v>3209.2861983628404</v>
      </c>
      <c r="U256" s="128">
        <v>9061.8802569960026</v>
      </c>
      <c r="V256" s="257">
        <f t="shared" si="33"/>
        <v>5852.5940586331617</v>
      </c>
      <c r="W256" s="257">
        <f t="shared" si="36"/>
        <v>9061.8802569960026</v>
      </c>
      <c r="X256" s="257">
        <v>0</v>
      </c>
      <c r="Y256" s="258">
        <v>0</v>
      </c>
      <c r="Z256" s="258">
        <v>0</v>
      </c>
      <c r="AA256" s="258">
        <v>0</v>
      </c>
      <c r="AB256" s="258">
        <v>0</v>
      </c>
      <c r="AC256" s="258">
        <v>0</v>
      </c>
      <c r="AD256" s="258">
        <v>0</v>
      </c>
      <c r="AE256" s="258">
        <v>0</v>
      </c>
      <c r="AF256" s="257">
        <v>0</v>
      </c>
      <c r="AG256" s="258">
        <v>0</v>
      </c>
      <c r="AH256" s="257">
        <v>0</v>
      </c>
      <c r="AI256" s="258">
        <v>639.89</v>
      </c>
      <c r="AJ256" s="257">
        <f>7439.1*AI256/I256</f>
        <v>9061.8802569960026</v>
      </c>
      <c r="AK256" s="258">
        <v>0</v>
      </c>
      <c r="AL256" s="258">
        <v>0</v>
      </c>
      <c r="AM256" s="258">
        <v>0</v>
      </c>
      <c r="AN256" s="258"/>
      <c r="AO256" s="258">
        <v>0</v>
      </c>
    </row>
    <row r="257" spans="1:41" s="259" customFormat="1" ht="36" customHeight="1" x14ac:dyDescent="0.25">
      <c r="A257" s="259">
        <v>1</v>
      </c>
      <c r="B257" s="135">
        <f>SUBTOTAL(103,$A$16:A257)</f>
        <v>237</v>
      </c>
      <c r="C257" s="94" t="s">
        <v>1186</v>
      </c>
      <c r="D257" s="124">
        <v>1978</v>
      </c>
      <c r="E257" s="124"/>
      <c r="F257" s="129" t="s">
        <v>269</v>
      </c>
      <c r="G257" s="124">
        <v>9</v>
      </c>
      <c r="H257" s="124" t="s">
        <v>2294</v>
      </c>
      <c r="I257" s="128">
        <v>12893.2</v>
      </c>
      <c r="J257" s="128">
        <v>12893.2</v>
      </c>
      <c r="K257" s="128">
        <v>12893.2</v>
      </c>
      <c r="L257" s="126">
        <v>493</v>
      </c>
      <c r="M257" s="124" t="s">
        <v>267</v>
      </c>
      <c r="N257" s="124" t="s">
        <v>271</v>
      </c>
      <c r="O257" s="127" t="s">
        <v>1321</v>
      </c>
      <c r="P257" s="128">
        <v>3785233.7800000003</v>
      </c>
      <c r="Q257" s="128">
        <v>0</v>
      </c>
      <c r="R257" s="128">
        <v>0</v>
      </c>
      <c r="S257" s="128">
        <f t="shared" si="35"/>
        <v>3785233.7800000003</v>
      </c>
      <c r="T257" s="128">
        <f t="shared" si="28"/>
        <v>293.58373251016042</v>
      </c>
      <c r="U257" s="128">
        <v>928.84182902615316</v>
      </c>
      <c r="V257" s="257">
        <f t="shared" si="33"/>
        <v>635.25809651599275</v>
      </c>
      <c r="W257" s="257">
        <f t="shared" si="36"/>
        <v>925.68445614742654</v>
      </c>
      <c r="X257" s="257">
        <v>0</v>
      </c>
      <c r="Y257" s="258">
        <v>0</v>
      </c>
      <c r="Z257" s="258">
        <v>0</v>
      </c>
      <c r="AA257" s="258">
        <v>0</v>
      </c>
      <c r="AB257" s="258">
        <v>0</v>
      </c>
      <c r="AC257" s="258">
        <v>0</v>
      </c>
      <c r="AD257" s="258">
        <v>0</v>
      </c>
      <c r="AE257" s="258">
        <v>1913</v>
      </c>
      <c r="AF257" s="257">
        <f>6238.91*AE257/I257</f>
        <v>925.68445614742654</v>
      </c>
      <c r="AG257" s="258">
        <v>0</v>
      </c>
      <c r="AH257" s="257">
        <v>0</v>
      </c>
      <c r="AI257" s="258">
        <v>0</v>
      </c>
      <c r="AJ257" s="257">
        <v>0</v>
      </c>
      <c r="AK257" s="258">
        <v>0</v>
      </c>
      <c r="AL257" s="258">
        <v>0</v>
      </c>
      <c r="AM257" s="258">
        <v>0</v>
      </c>
      <c r="AN257" s="258"/>
      <c r="AO257" s="258">
        <v>0</v>
      </c>
    </row>
    <row r="258" spans="1:41" s="259" customFormat="1" ht="36" customHeight="1" x14ac:dyDescent="0.25">
      <c r="A258" s="259">
        <v>1</v>
      </c>
      <c r="B258" s="135">
        <f>SUBTOTAL(103,$A$16:A258)</f>
        <v>238</v>
      </c>
      <c r="C258" s="94" t="s">
        <v>1190</v>
      </c>
      <c r="D258" s="124">
        <v>1982</v>
      </c>
      <c r="E258" s="124"/>
      <c r="F258" s="129" t="s">
        <v>269</v>
      </c>
      <c r="G258" s="124">
        <v>9</v>
      </c>
      <c r="H258" s="124" t="s">
        <v>305</v>
      </c>
      <c r="I258" s="128">
        <v>4642.08</v>
      </c>
      <c r="J258" s="128">
        <v>4642.08</v>
      </c>
      <c r="K258" s="128">
        <v>4642.08</v>
      </c>
      <c r="L258" s="126">
        <v>170</v>
      </c>
      <c r="M258" s="124" t="s">
        <v>267</v>
      </c>
      <c r="N258" s="124" t="s">
        <v>271</v>
      </c>
      <c r="O258" s="127" t="s">
        <v>711</v>
      </c>
      <c r="P258" s="128">
        <v>2272822.6599999997</v>
      </c>
      <c r="Q258" s="128">
        <v>0</v>
      </c>
      <c r="R258" s="128">
        <v>0</v>
      </c>
      <c r="S258" s="128">
        <f t="shared" si="35"/>
        <v>2272822.6599999997</v>
      </c>
      <c r="T258" s="128">
        <f t="shared" si="28"/>
        <v>489.61298814324607</v>
      </c>
      <c r="U258" s="128">
        <v>489.61298814324607</v>
      </c>
      <c r="V258" s="257">
        <f t="shared" si="33"/>
        <v>0</v>
      </c>
      <c r="W258" s="257">
        <f t="shared" si="36"/>
        <v>531.97</v>
      </c>
      <c r="X258" s="257">
        <v>101.55</v>
      </c>
      <c r="Y258" s="258">
        <v>245.44</v>
      </c>
      <c r="Z258" s="258">
        <v>0</v>
      </c>
      <c r="AA258" s="258">
        <v>184.98</v>
      </c>
      <c r="AB258" s="258">
        <v>0</v>
      </c>
      <c r="AC258" s="258">
        <v>0</v>
      </c>
      <c r="AD258" s="258">
        <v>0</v>
      </c>
      <c r="AE258" s="258">
        <v>0</v>
      </c>
      <c r="AF258" s="257">
        <v>0</v>
      </c>
      <c r="AG258" s="258">
        <v>0</v>
      </c>
      <c r="AH258" s="257">
        <v>0</v>
      </c>
      <c r="AI258" s="258">
        <v>0</v>
      </c>
      <c r="AJ258" s="257">
        <v>0</v>
      </c>
      <c r="AK258" s="258">
        <v>0</v>
      </c>
      <c r="AL258" s="258">
        <v>0</v>
      </c>
      <c r="AM258" s="258">
        <v>0</v>
      </c>
      <c r="AN258" s="258"/>
      <c r="AO258" s="258">
        <v>0</v>
      </c>
    </row>
    <row r="259" spans="1:41" s="259" customFormat="1" ht="36" customHeight="1" x14ac:dyDescent="0.25">
      <c r="A259" s="259">
        <v>1</v>
      </c>
      <c r="B259" s="135">
        <f>SUBTOTAL(103,$A$16:A259)</f>
        <v>239</v>
      </c>
      <c r="C259" s="94" t="s">
        <v>1191</v>
      </c>
      <c r="D259" s="124">
        <v>1978</v>
      </c>
      <c r="E259" s="124"/>
      <c r="F259" s="129" t="s">
        <v>269</v>
      </c>
      <c r="G259" s="124">
        <v>5</v>
      </c>
      <c r="H259" s="124" t="s">
        <v>373</v>
      </c>
      <c r="I259" s="128">
        <v>6106.27</v>
      </c>
      <c r="J259" s="128">
        <v>4513.8999999999996</v>
      </c>
      <c r="K259" s="128">
        <v>4513.8999999999996</v>
      </c>
      <c r="L259" s="126">
        <v>207</v>
      </c>
      <c r="M259" s="124" t="s">
        <v>267</v>
      </c>
      <c r="N259" s="124" t="s">
        <v>271</v>
      </c>
      <c r="O259" s="127" t="s">
        <v>711</v>
      </c>
      <c r="P259" s="128">
        <v>4444796.6100000003</v>
      </c>
      <c r="Q259" s="128">
        <v>0</v>
      </c>
      <c r="R259" s="128">
        <v>0</v>
      </c>
      <c r="S259" s="128">
        <f t="shared" si="35"/>
        <v>4444796.6100000003</v>
      </c>
      <c r="T259" s="128">
        <f t="shared" si="28"/>
        <v>727.9069890456858</v>
      </c>
      <c r="U259" s="128">
        <v>1317.0115110697693</v>
      </c>
      <c r="V259" s="257">
        <f t="shared" si="33"/>
        <v>589.10452202408351</v>
      </c>
      <c r="W259" s="257">
        <f t="shared" si="36"/>
        <v>1292.4373788908777</v>
      </c>
      <c r="X259" s="257">
        <v>0</v>
      </c>
      <c r="Y259" s="258">
        <v>0</v>
      </c>
      <c r="Z259" s="258">
        <v>0</v>
      </c>
      <c r="AA259" s="258">
        <v>0</v>
      </c>
      <c r="AB259" s="258">
        <v>0</v>
      </c>
      <c r="AC259" s="258">
        <v>0</v>
      </c>
      <c r="AD259" s="258">
        <v>0</v>
      </c>
      <c r="AE259" s="258">
        <v>1264.96</v>
      </c>
      <c r="AF259" s="257">
        <f>6238.91*AE259/I259</f>
        <v>1292.4373788908777</v>
      </c>
      <c r="AG259" s="258">
        <v>0</v>
      </c>
      <c r="AH259" s="257">
        <v>0</v>
      </c>
      <c r="AI259" s="258">
        <v>0</v>
      </c>
      <c r="AJ259" s="257">
        <v>0</v>
      </c>
      <c r="AK259" s="258">
        <v>0</v>
      </c>
      <c r="AL259" s="258">
        <v>0</v>
      </c>
      <c r="AM259" s="258">
        <v>0</v>
      </c>
      <c r="AN259" s="258"/>
      <c r="AO259" s="258">
        <v>0</v>
      </c>
    </row>
    <row r="260" spans="1:41" s="259" customFormat="1" ht="36" customHeight="1" x14ac:dyDescent="0.25">
      <c r="A260" s="259">
        <v>1</v>
      </c>
      <c r="B260" s="135">
        <f>SUBTOTAL(103,$A$16:A260)</f>
        <v>240</v>
      </c>
      <c r="C260" s="94" t="s">
        <v>1193</v>
      </c>
      <c r="D260" s="124">
        <v>1937</v>
      </c>
      <c r="E260" s="124"/>
      <c r="F260" s="129" t="s">
        <v>269</v>
      </c>
      <c r="G260" s="124">
        <v>3</v>
      </c>
      <c r="H260" s="124" t="s">
        <v>310</v>
      </c>
      <c r="I260" s="128">
        <v>1443.5</v>
      </c>
      <c r="J260" s="128">
        <v>976.1</v>
      </c>
      <c r="K260" s="128">
        <v>976.1</v>
      </c>
      <c r="L260" s="126">
        <v>60</v>
      </c>
      <c r="M260" s="124" t="s">
        <v>267</v>
      </c>
      <c r="N260" s="124" t="s">
        <v>285</v>
      </c>
      <c r="O260" s="127" t="s">
        <v>270</v>
      </c>
      <c r="P260" s="128">
        <v>3526049.4499999997</v>
      </c>
      <c r="Q260" s="128">
        <v>0</v>
      </c>
      <c r="R260" s="128">
        <v>0</v>
      </c>
      <c r="S260" s="128">
        <f t="shared" si="35"/>
        <v>3526049.4499999997</v>
      </c>
      <c r="T260" s="128">
        <f t="shared" si="28"/>
        <v>2442.7083131278141</v>
      </c>
      <c r="U260" s="128">
        <v>3637.5888924835463</v>
      </c>
      <c r="V260" s="257">
        <f t="shared" si="33"/>
        <v>1194.8805793557322</v>
      </c>
      <c r="W260" s="257">
        <f t="shared" si="36"/>
        <v>3625.2237898856943</v>
      </c>
      <c r="X260" s="257">
        <v>0</v>
      </c>
      <c r="Y260" s="258">
        <v>0</v>
      </c>
      <c r="Z260" s="258">
        <v>0</v>
      </c>
      <c r="AA260" s="258">
        <v>0</v>
      </c>
      <c r="AB260" s="258">
        <v>0</v>
      </c>
      <c r="AC260" s="258">
        <v>0</v>
      </c>
      <c r="AD260" s="258">
        <v>0</v>
      </c>
      <c r="AE260" s="258">
        <v>838.77</v>
      </c>
      <c r="AF260" s="257">
        <f>6238.91*AE260/I260</f>
        <v>3625.2237898856943</v>
      </c>
      <c r="AG260" s="258">
        <v>0</v>
      </c>
      <c r="AH260" s="257">
        <v>0</v>
      </c>
      <c r="AI260" s="258">
        <v>0</v>
      </c>
      <c r="AJ260" s="257">
        <v>0</v>
      </c>
      <c r="AK260" s="258">
        <v>0</v>
      </c>
      <c r="AL260" s="258">
        <v>0</v>
      </c>
      <c r="AM260" s="258">
        <v>0</v>
      </c>
      <c r="AN260" s="258"/>
      <c r="AO260" s="258">
        <v>0</v>
      </c>
    </row>
    <row r="261" spans="1:41" s="259" customFormat="1" ht="36" customHeight="1" x14ac:dyDescent="0.25">
      <c r="A261" s="259">
        <v>1</v>
      </c>
      <c r="B261" s="135">
        <f>SUBTOTAL(103,$A$16:A261)</f>
        <v>241</v>
      </c>
      <c r="C261" s="94" t="s">
        <v>1194</v>
      </c>
      <c r="D261" s="124">
        <v>1973</v>
      </c>
      <c r="E261" s="124"/>
      <c r="F261" s="129" t="s">
        <v>269</v>
      </c>
      <c r="G261" s="124">
        <v>5</v>
      </c>
      <c r="H261" s="124" t="s">
        <v>373</v>
      </c>
      <c r="I261" s="128">
        <v>5659.64</v>
      </c>
      <c r="J261" s="128">
        <v>4429.9399999999996</v>
      </c>
      <c r="K261" s="128">
        <v>4365.74</v>
      </c>
      <c r="L261" s="126">
        <v>213</v>
      </c>
      <c r="M261" s="124" t="s">
        <v>267</v>
      </c>
      <c r="N261" s="124" t="s">
        <v>271</v>
      </c>
      <c r="O261" s="127" t="s">
        <v>709</v>
      </c>
      <c r="P261" s="128">
        <v>5541160.7200000007</v>
      </c>
      <c r="Q261" s="128">
        <v>0</v>
      </c>
      <c r="R261" s="128">
        <v>0</v>
      </c>
      <c r="S261" s="128">
        <f t="shared" si="35"/>
        <v>5541160.7200000007</v>
      </c>
      <c r="T261" s="128">
        <f t="shared" si="28"/>
        <v>979.06593352227355</v>
      </c>
      <c r="U261" s="128">
        <v>2293.9635808991384</v>
      </c>
      <c r="V261" s="257">
        <f t="shared" si="33"/>
        <v>1314.8976473768648</v>
      </c>
      <c r="W261" s="257">
        <f t="shared" si="36"/>
        <v>2286.1658071891497</v>
      </c>
      <c r="X261" s="257">
        <v>0</v>
      </c>
      <c r="Y261" s="258">
        <v>0</v>
      </c>
      <c r="Z261" s="258">
        <v>0</v>
      </c>
      <c r="AA261" s="258">
        <v>0</v>
      </c>
      <c r="AB261" s="258">
        <v>0</v>
      </c>
      <c r="AC261" s="258">
        <v>0</v>
      </c>
      <c r="AD261" s="258">
        <v>0</v>
      </c>
      <c r="AE261" s="258">
        <v>2073.9</v>
      </c>
      <c r="AF261" s="257">
        <f>6238.91*AE261/I261</f>
        <v>2286.1658071891497</v>
      </c>
      <c r="AG261" s="258">
        <v>0</v>
      </c>
      <c r="AH261" s="257">
        <v>0</v>
      </c>
      <c r="AI261" s="258">
        <v>0</v>
      </c>
      <c r="AJ261" s="257">
        <v>0</v>
      </c>
      <c r="AK261" s="258">
        <v>0</v>
      </c>
      <c r="AL261" s="258">
        <v>0</v>
      </c>
      <c r="AM261" s="258">
        <v>0</v>
      </c>
      <c r="AN261" s="258"/>
      <c r="AO261" s="258">
        <v>0</v>
      </c>
    </row>
    <row r="262" spans="1:41" s="259" customFormat="1" ht="36" customHeight="1" x14ac:dyDescent="0.25">
      <c r="A262" s="259">
        <v>1</v>
      </c>
      <c r="B262" s="135">
        <f>SUBTOTAL(103,$A$16:A262)</f>
        <v>242</v>
      </c>
      <c r="C262" s="94" t="s">
        <v>1196</v>
      </c>
      <c r="D262" s="124">
        <v>1967</v>
      </c>
      <c r="E262" s="124"/>
      <c r="F262" s="129" t="s">
        <v>269</v>
      </c>
      <c r="G262" s="124">
        <v>5</v>
      </c>
      <c r="H262" s="124" t="s">
        <v>310</v>
      </c>
      <c r="I262" s="128">
        <v>5485.29</v>
      </c>
      <c r="J262" s="128">
        <v>3346.19</v>
      </c>
      <c r="K262" s="128">
        <v>3187.4</v>
      </c>
      <c r="L262" s="126">
        <v>153</v>
      </c>
      <c r="M262" s="124" t="s">
        <v>267</v>
      </c>
      <c r="N262" s="124" t="s">
        <v>271</v>
      </c>
      <c r="O262" s="127" t="s">
        <v>1320</v>
      </c>
      <c r="P262" s="128">
        <v>4738452.92</v>
      </c>
      <c r="Q262" s="128">
        <v>0</v>
      </c>
      <c r="R262" s="128">
        <v>0</v>
      </c>
      <c r="S262" s="128">
        <f t="shared" si="35"/>
        <v>4738452.92</v>
      </c>
      <c r="T262" s="128">
        <f t="shared" si="28"/>
        <v>863.84729339743205</v>
      </c>
      <c r="U262" s="128">
        <v>1340.5342605404635</v>
      </c>
      <c r="V262" s="257">
        <f t="shared" si="33"/>
        <v>476.68696714303144</v>
      </c>
      <c r="W262" s="257">
        <f t="shared" si="36"/>
        <v>3444.64</v>
      </c>
      <c r="X262" s="257">
        <v>0</v>
      </c>
      <c r="Y262" s="258">
        <v>0</v>
      </c>
      <c r="Z262" s="258">
        <v>3259.66</v>
      </c>
      <c r="AA262" s="258">
        <v>184.98</v>
      </c>
      <c r="AB262" s="258">
        <v>0</v>
      </c>
      <c r="AC262" s="258">
        <v>0</v>
      </c>
      <c r="AD262" s="258">
        <v>0</v>
      </c>
      <c r="AE262" s="258">
        <v>0</v>
      </c>
      <c r="AF262" s="257">
        <v>0</v>
      </c>
      <c r="AG262" s="258">
        <v>0</v>
      </c>
      <c r="AH262" s="257">
        <v>0</v>
      </c>
      <c r="AI262" s="258">
        <v>0</v>
      </c>
      <c r="AJ262" s="257">
        <v>0</v>
      </c>
      <c r="AK262" s="258">
        <v>0</v>
      </c>
      <c r="AL262" s="258">
        <v>0</v>
      </c>
      <c r="AM262" s="258">
        <v>0</v>
      </c>
      <c r="AN262" s="258"/>
      <c r="AO262" s="258">
        <v>0</v>
      </c>
    </row>
    <row r="263" spans="1:41" s="259" customFormat="1" ht="36" customHeight="1" x14ac:dyDescent="0.25">
      <c r="A263" s="259">
        <v>1</v>
      </c>
      <c r="B263" s="135">
        <f>SUBTOTAL(103,$A$16:A263)</f>
        <v>243</v>
      </c>
      <c r="C263" s="94" t="s">
        <v>1197</v>
      </c>
      <c r="D263" s="124">
        <v>1990</v>
      </c>
      <c r="E263" s="124"/>
      <c r="F263" s="129" t="s">
        <v>269</v>
      </c>
      <c r="G263" s="124">
        <v>2</v>
      </c>
      <c r="H263" s="124" t="s">
        <v>305</v>
      </c>
      <c r="I263" s="128">
        <v>568.29999999999995</v>
      </c>
      <c r="J263" s="128">
        <v>317</v>
      </c>
      <c r="K263" s="128">
        <v>317</v>
      </c>
      <c r="L263" s="126">
        <v>31</v>
      </c>
      <c r="M263" s="124" t="s">
        <v>267</v>
      </c>
      <c r="N263" s="124" t="s">
        <v>268</v>
      </c>
      <c r="O263" s="127" t="s">
        <v>270</v>
      </c>
      <c r="P263" s="128">
        <v>2182746.96</v>
      </c>
      <c r="Q263" s="128">
        <v>0</v>
      </c>
      <c r="R263" s="128">
        <v>0</v>
      </c>
      <c r="S263" s="128">
        <f t="shared" si="35"/>
        <v>2182746.96</v>
      </c>
      <c r="T263" s="128">
        <f t="shared" si="28"/>
        <v>3840.8357557628015</v>
      </c>
      <c r="U263" s="128">
        <v>5333.1134728136549</v>
      </c>
      <c r="V263" s="257">
        <f t="shared" si="33"/>
        <v>1492.2777170508534</v>
      </c>
      <c r="W263" s="257">
        <f t="shared" si="36"/>
        <v>12894.991529121942</v>
      </c>
      <c r="X263" s="257">
        <v>0</v>
      </c>
      <c r="Y263" s="258">
        <v>0</v>
      </c>
      <c r="Z263" s="258">
        <v>0</v>
      </c>
      <c r="AA263" s="258">
        <v>0</v>
      </c>
      <c r="AB263" s="258">
        <v>0</v>
      </c>
      <c r="AC263" s="258">
        <v>0</v>
      </c>
      <c r="AD263" s="258">
        <v>0</v>
      </c>
      <c r="AE263" s="258">
        <v>1174.5999999999999</v>
      </c>
      <c r="AF263" s="257">
        <f>6238.91*AE263/I263</f>
        <v>12894.991529121942</v>
      </c>
      <c r="AG263" s="258">
        <v>0</v>
      </c>
      <c r="AH263" s="257">
        <v>0</v>
      </c>
      <c r="AI263" s="258">
        <v>0</v>
      </c>
      <c r="AJ263" s="257">
        <v>0</v>
      </c>
      <c r="AK263" s="258">
        <v>0</v>
      </c>
      <c r="AL263" s="258">
        <v>0</v>
      </c>
      <c r="AM263" s="258">
        <v>0</v>
      </c>
      <c r="AN263" s="258"/>
      <c r="AO263" s="258">
        <v>0</v>
      </c>
    </row>
    <row r="264" spans="1:41" s="259" customFormat="1" ht="36" customHeight="1" x14ac:dyDescent="0.25">
      <c r="A264" s="259">
        <v>1</v>
      </c>
      <c r="B264" s="135">
        <f>SUBTOTAL(103,$A$16:A264)</f>
        <v>244</v>
      </c>
      <c r="C264" s="94" t="s">
        <v>1357</v>
      </c>
      <c r="D264" s="124">
        <v>1820</v>
      </c>
      <c r="E264" s="124"/>
      <c r="F264" s="129" t="s">
        <v>269</v>
      </c>
      <c r="G264" s="124">
        <v>2</v>
      </c>
      <c r="H264" s="124" t="s">
        <v>305</v>
      </c>
      <c r="I264" s="128">
        <v>973.3</v>
      </c>
      <c r="J264" s="128">
        <v>527.20000000000005</v>
      </c>
      <c r="K264" s="128">
        <v>527.20000000000005</v>
      </c>
      <c r="L264" s="126">
        <v>26</v>
      </c>
      <c r="M264" s="124" t="s">
        <v>267</v>
      </c>
      <c r="N264" s="124" t="s">
        <v>271</v>
      </c>
      <c r="O264" s="127" t="s">
        <v>1085</v>
      </c>
      <c r="P264" s="128">
        <v>1724602.98</v>
      </c>
      <c r="Q264" s="128">
        <v>0</v>
      </c>
      <c r="R264" s="128">
        <v>0</v>
      </c>
      <c r="S264" s="128">
        <f t="shared" si="35"/>
        <v>1724602.98</v>
      </c>
      <c r="T264" s="128">
        <f t="shared" si="28"/>
        <v>1771.9130586663928</v>
      </c>
      <c r="U264" s="128">
        <v>3392.3244732353846</v>
      </c>
      <c r="V264" s="257">
        <f t="shared" si="33"/>
        <v>1620.4114145689919</v>
      </c>
      <c r="W264" s="257">
        <f t="shared" si="36"/>
        <v>3103.3657530052401</v>
      </c>
      <c r="X264" s="257">
        <v>0</v>
      </c>
      <c r="Y264" s="258">
        <v>0</v>
      </c>
      <c r="Z264" s="258">
        <v>0</v>
      </c>
      <c r="AA264" s="258">
        <v>0</v>
      </c>
      <c r="AB264" s="258">
        <v>0</v>
      </c>
      <c r="AC264" s="258">
        <v>0</v>
      </c>
      <c r="AD264" s="258">
        <v>0</v>
      </c>
      <c r="AE264" s="258">
        <v>484.14</v>
      </c>
      <c r="AF264" s="257">
        <f>6238.91*AE264/I264</f>
        <v>3103.3657530052401</v>
      </c>
      <c r="AG264" s="258">
        <v>0</v>
      </c>
      <c r="AH264" s="257">
        <v>0</v>
      </c>
      <c r="AI264" s="258">
        <v>0</v>
      </c>
      <c r="AJ264" s="257">
        <v>0</v>
      </c>
      <c r="AK264" s="258">
        <v>0</v>
      </c>
      <c r="AL264" s="258">
        <v>0</v>
      </c>
      <c r="AM264" s="258">
        <v>0</v>
      </c>
      <c r="AN264" s="258"/>
      <c r="AO264" s="258">
        <v>0</v>
      </c>
    </row>
    <row r="265" spans="1:41" s="259" customFormat="1" ht="36" customHeight="1" x14ac:dyDescent="0.25">
      <c r="A265" s="259">
        <v>1</v>
      </c>
      <c r="B265" s="135">
        <f>SUBTOTAL(103,$A$16:A265)</f>
        <v>245</v>
      </c>
      <c r="C265" s="94" t="s">
        <v>1356</v>
      </c>
      <c r="D265" s="124">
        <v>1984</v>
      </c>
      <c r="E265" s="124"/>
      <c r="F265" s="129" t="s">
        <v>320</v>
      </c>
      <c r="G265" s="124">
        <v>2</v>
      </c>
      <c r="H265" s="124" t="s">
        <v>305</v>
      </c>
      <c r="I265" s="128">
        <v>622.79999999999995</v>
      </c>
      <c r="J265" s="128">
        <v>560.29999999999995</v>
      </c>
      <c r="K265" s="128">
        <v>560.29999999999995</v>
      </c>
      <c r="L265" s="126">
        <v>31</v>
      </c>
      <c r="M265" s="124" t="s">
        <v>267</v>
      </c>
      <c r="N265" s="124" t="s">
        <v>271</v>
      </c>
      <c r="O265" s="127" t="s">
        <v>1321</v>
      </c>
      <c r="P265" s="128">
        <v>1611940.21</v>
      </c>
      <c r="Q265" s="128">
        <v>0</v>
      </c>
      <c r="R265" s="128">
        <v>0</v>
      </c>
      <c r="S265" s="128">
        <f t="shared" si="35"/>
        <v>1611940.21</v>
      </c>
      <c r="T265" s="128">
        <f t="shared" si="28"/>
        <v>2588.2148522800258</v>
      </c>
      <c r="U265" s="128">
        <v>4925.3261078998066</v>
      </c>
      <c r="V265" s="257">
        <f t="shared" si="33"/>
        <v>2337.1112556197809</v>
      </c>
      <c r="W265" s="257">
        <f t="shared" si="36"/>
        <v>5355.364942196532</v>
      </c>
      <c r="X265" s="257">
        <v>0</v>
      </c>
      <c r="Y265" s="258">
        <v>0</v>
      </c>
      <c r="Z265" s="258">
        <v>0</v>
      </c>
      <c r="AA265" s="258">
        <v>0</v>
      </c>
      <c r="AB265" s="258">
        <v>0</v>
      </c>
      <c r="AC265" s="258">
        <v>0</v>
      </c>
      <c r="AD265" s="258">
        <v>0</v>
      </c>
      <c r="AE265" s="258">
        <v>534.6</v>
      </c>
      <c r="AF265" s="257">
        <f>6238.91*AE265/I265</f>
        <v>5355.364942196532</v>
      </c>
      <c r="AG265" s="258">
        <v>0</v>
      </c>
      <c r="AH265" s="257">
        <v>0</v>
      </c>
      <c r="AI265" s="258">
        <v>0</v>
      </c>
      <c r="AJ265" s="257">
        <v>0</v>
      </c>
      <c r="AK265" s="258">
        <v>0</v>
      </c>
      <c r="AL265" s="258">
        <v>0</v>
      </c>
      <c r="AM265" s="258">
        <v>0</v>
      </c>
      <c r="AN265" s="258"/>
      <c r="AO265" s="258">
        <v>0</v>
      </c>
    </row>
    <row r="266" spans="1:41" s="259" customFormat="1" ht="36" customHeight="1" x14ac:dyDescent="0.25">
      <c r="A266" s="259">
        <v>1</v>
      </c>
      <c r="B266" s="135">
        <f>SUBTOTAL(103,$A$16:A266)</f>
        <v>246</v>
      </c>
      <c r="C266" s="94" t="s">
        <v>1566</v>
      </c>
      <c r="D266" s="124">
        <v>1965</v>
      </c>
      <c r="E266" s="124"/>
      <c r="F266" s="129" t="s">
        <v>1585</v>
      </c>
      <c r="G266" s="124">
        <v>5</v>
      </c>
      <c r="H266" s="124" t="s">
        <v>314</v>
      </c>
      <c r="I266" s="128">
        <v>4032.79</v>
      </c>
      <c r="J266" s="128">
        <v>2461.4</v>
      </c>
      <c r="K266" s="128">
        <v>2461.4</v>
      </c>
      <c r="L266" s="126">
        <v>120</v>
      </c>
      <c r="M266" s="124" t="s">
        <v>267</v>
      </c>
      <c r="N266" s="124" t="s">
        <v>271</v>
      </c>
      <c r="O266" s="127" t="s">
        <v>711</v>
      </c>
      <c r="P266" s="128">
        <v>130960.35</v>
      </c>
      <c r="Q266" s="128">
        <v>0</v>
      </c>
      <c r="R266" s="128">
        <v>0</v>
      </c>
      <c r="S266" s="128">
        <f t="shared" si="35"/>
        <v>130960.35</v>
      </c>
      <c r="T266" s="128">
        <f t="shared" si="28"/>
        <v>32.473882845375037</v>
      </c>
      <c r="U266" s="128">
        <v>32.473882845375037</v>
      </c>
      <c r="V266" s="257">
        <f t="shared" si="33"/>
        <v>0</v>
      </c>
      <c r="W266" s="257">
        <f t="shared" si="36"/>
        <v>758.05234093518379</v>
      </c>
      <c r="X266" s="257">
        <v>0</v>
      </c>
      <c r="Y266" s="258">
        <v>0</v>
      </c>
      <c r="Z266" s="258">
        <v>0</v>
      </c>
      <c r="AA266" s="258">
        <v>0</v>
      </c>
      <c r="AB266" s="258">
        <v>0</v>
      </c>
      <c r="AC266" s="258">
        <v>0</v>
      </c>
      <c r="AD266" s="258">
        <v>0</v>
      </c>
      <c r="AE266" s="258">
        <v>490</v>
      </c>
      <c r="AF266" s="257">
        <f>6238.91*AE266/I266</f>
        <v>758.05234093518379</v>
      </c>
      <c r="AG266" s="258">
        <v>0</v>
      </c>
      <c r="AH266" s="257">
        <v>0</v>
      </c>
      <c r="AI266" s="258">
        <v>0</v>
      </c>
      <c r="AJ266" s="257">
        <v>0</v>
      </c>
      <c r="AK266" s="258">
        <v>0</v>
      </c>
      <c r="AL266" s="258">
        <v>0</v>
      </c>
      <c r="AM266" s="258">
        <v>0</v>
      </c>
      <c r="AN266" s="258"/>
      <c r="AO266" s="258">
        <v>0</v>
      </c>
    </row>
    <row r="267" spans="1:41" s="259" customFormat="1" ht="36" customHeight="1" x14ac:dyDescent="0.25">
      <c r="A267" s="259">
        <v>1</v>
      </c>
      <c r="B267" s="135">
        <f>SUBTOTAL(103,$A$16:A267)</f>
        <v>247</v>
      </c>
      <c r="C267" s="94" t="s">
        <v>629</v>
      </c>
      <c r="D267" s="124">
        <v>1994</v>
      </c>
      <c r="E267" s="124"/>
      <c r="F267" s="129" t="s">
        <v>269</v>
      </c>
      <c r="G267" s="124">
        <v>9</v>
      </c>
      <c r="H267" s="124" t="s">
        <v>306</v>
      </c>
      <c r="I267" s="128">
        <v>2814.2</v>
      </c>
      <c r="J267" s="128">
        <v>2472.3000000000002</v>
      </c>
      <c r="K267" s="128">
        <v>2197.6999999999998</v>
      </c>
      <c r="L267" s="126">
        <v>95</v>
      </c>
      <c r="M267" s="124" t="s">
        <v>267</v>
      </c>
      <c r="N267" s="124" t="s">
        <v>271</v>
      </c>
      <c r="O267" s="127" t="s">
        <v>709</v>
      </c>
      <c r="P267" s="128">
        <v>105885.54</v>
      </c>
      <c r="Q267" s="128">
        <v>0</v>
      </c>
      <c r="R267" s="128">
        <v>0</v>
      </c>
      <c r="S267" s="128">
        <f>P267-R267-Q267</f>
        <v>105885.54</v>
      </c>
      <c r="T267" s="128">
        <f t="shared" si="28"/>
        <v>37.625449506076329</v>
      </c>
      <c r="U267" s="128">
        <v>37.625449506076329</v>
      </c>
      <c r="V267" s="257">
        <f t="shared" si="33"/>
        <v>0</v>
      </c>
      <c r="W267" s="257">
        <f t="shared" si="36"/>
        <v>2240.2169550849267</v>
      </c>
      <c r="X267" s="257">
        <v>0</v>
      </c>
      <c r="Y267" s="258">
        <v>0</v>
      </c>
      <c r="Z267" s="258">
        <v>0</v>
      </c>
      <c r="AA267" s="258">
        <v>0</v>
      </c>
      <c r="AB267" s="258">
        <v>0</v>
      </c>
      <c r="AC267" s="258">
        <v>0</v>
      </c>
      <c r="AD267" s="258">
        <v>0</v>
      </c>
      <c r="AE267" s="258">
        <v>1010.5</v>
      </c>
      <c r="AF267" s="257">
        <f>6238.91*AE267/I267</f>
        <v>2240.2169550849267</v>
      </c>
      <c r="AG267" s="258">
        <v>0</v>
      </c>
      <c r="AH267" s="257">
        <v>0</v>
      </c>
      <c r="AI267" s="258">
        <v>0</v>
      </c>
      <c r="AJ267" s="257">
        <v>0</v>
      </c>
      <c r="AK267" s="258">
        <v>0</v>
      </c>
      <c r="AL267" s="258">
        <v>0</v>
      </c>
      <c r="AM267" s="258">
        <v>0</v>
      </c>
      <c r="AN267" s="258"/>
      <c r="AO267" s="258">
        <v>0</v>
      </c>
    </row>
    <row r="268" spans="1:41" s="259" customFormat="1" ht="36" customHeight="1" x14ac:dyDescent="0.25">
      <c r="B268" s="94" t="s">
        <v>822</v>
      </c>
      <c r="C268" s="94"/>
      <c r="D268" s="124" t="s">
        <v>896</v>
      </c>
      <c r="E268" s="124" t="s">
        <v>896</v>
      </c>
      <c r="F268" s="124" t="s">
        <v>896</v>
      </c>
      <c r="G268" s="124" t="s">
        <v>896</v>
      </c>
      <c r="H268" s="124" t="s">
        <v>896</v>
      </c>
      <c r="I268" s="125">
        <f>SUM(I269:I273)</f>
        <v>29543.5</v>
      </c>
      <c r="J268" s="125">
        <f>SUM(J269:J273)</f>
        <v>18251.899999999998</v>
      </c>
      <c r="K268" s="125">
        <f>SUM(K269:K273)</f>
        <v>18251.899999999998</v>
      </c>
      <c r="L268" s="126">
        <f>SUM(L269:L273)</f>
        <v>855</v>
      </c>
      <c r="M268" s="124" t="s">
        <v>896</v>
      </c>
      <c r="N268" s="124" t="s">
        <v>896</v>
      </c>
      <c r="O268" s="127" t="s">
        <v>896</v>
      </c>
      <c r="P268" s="128">
        <v>14114868.93</v>
      </c>
      <c r="Q268" s="128">
        <f>SUM(Q269:Q273)</f>
        <v>0</v>
      </c>
      <c r="R268" s="128">
        <f>SUM(R269:R273)</f>
        <v>0</v>
      </c>
      <c r="S268" s="128">
        <f>SUM(S269:S273)</f>
        <v>14114868.93</v>
      </c>
      <c r="T268" s="128">
        <f t="shared" si="28"/>
        <v>477.76563135715134</v>
      </c>
      <c r="U268" s="128">
        <f>MAX(U269:U273)</f>
        <v>1052.388052200135</v>
      </c>
      <c r="V268" s="257">
        <f t="shared" si="33"/>
        <v>574.62242084298373</v>
      </c>
      <c r="W268" s="257"/>
      <c r="X268" s="257"/>
      <c r="Y268" s="258"/>
      <c r="Z268" s="258"/>
      <c r="AA268" s="258"/>
      <c r="AB268" s="258"/>
      <c r="AC268" s="258"/>
      <c r="AD268" s="258"/>
      <c r="AE268" s="258"/>
      <c r="AF268" s="258"/>
      <c r="AG268" s="258"/>
      <c r="AH268" s="258"/>
      <c r="AI268" s="258"/>
      <c r="AJ268" s="258"/>
      <c r="AK268" s="258"/>
      <c r="AL268" s="258"/>
      <c r="AM268" s="258"/>
      <c r="AN268" s="258"/>
      <c r="AO268" s="258"/>
    </row>
    <row r="269" spans="1:41" s="259" customFormat="1" ht="36" customHeight="1" x14ac:dyDescent="0.25">
      <c r="A269" s="259">
        <v>1</v>
      </c>
      <c r="B269" s="135">
        <f>SUBTOTAL(103,$A$16:A269)</f>
        <v>248</v>
      </c>
      <c r="C269" s="94" t="s">
        <v>640</v>
      </c>
      <c r="D269" s="124">
        <v>1981</v>
      </c>
      <c r="E269" s="124"/>
      <c r="F269" s="129" t="s">
        <v>313</v>
      </c>
      <c r="G269" s="124">
        <v>5</v>
      </c>
      <c r="H269" s="124" t="s">
        <v>2294</v>
      </c>
      <c r="I269" s="128">
        <v>9132.7000000000007</v>
      </c>
      <c r="J269" s="128">
        <v>5348.9</v>
      </c>
      <c r="K269" s="128">
        <v>5348.9</v>
      </c>
      <c r="L269" s="126">
        <v>243</v>
      </c>
      <c r="M269" s="124" t="s">
        <v>267</v>
      </c>
      <c r="N269" s="124" t="s">
        <v>271</v>
      </c>
      <c r="O269" s="127" t="s">
        <v>714</v>
      </c>
      <c r="P269" s="128">
        <v>3927547.9699999997</v>
      </c>
      <c r="Q269" s="128">
        <v>0</v>
      </c>
      <c r="R269" s="128">
        <v>0</v>
      </c>
      <c r="S269" s="128">
        <f t="shared" ref="S269:S273" si="38">P269-Q269-R269</f>
        <v>3927547.9699999997</v>
      </c>
      <c r="T269" s="128">
        <f t="shared" ref="T269:T333" si="39">P269/I269</f>
        <v>430.05332158069348</v>
      </c>
      <c r="U269" s="128">
        <v>876.37313335596252</v>
      </c>
      <c r="V269" s="257">
        <f t="shared" si="33"/>
        <v>446.31981177526905</v>
      </c>
      <c r="W269" s="257">
        <f t="shared" ref="W269:W273" si="40">X269+Y269+Z269+AA269+AB269+AD269+AF269+AH269+AJ269+AL269+AN269+AO269</f>
        <v>873.39411510287198</v>
      </c>
      <c r="X269" s="257">
        <v>0</v>
      </c>
      <c r="Y269" s="258">
        <v>0</v>
      </c>
      <c r="Z269" s="258">
        <v>0</v>
      </c>
      <c r="AA269" s="258">
        <v>0</v>
      </c>
      <c r="AB269" s="258">
        <v>0</v>
      </c>
      <c r="AC269" s="258">
        <v>0</v>
      </c>
      <c r="AD269" s="258">
        <v>0</v>
      </c>
      <c r="AE269" s="258">
        <v>1278.5</v>
      </c>
      <c r="AF269" s="257">
        <f>6238.91*AE269/I269</f>
        <v>873.39411510287198</v>
      </c>
      <c r="AG269" s="258">
        <v>0</v>
      </c>
      <c r="AH269" s="257">
        <v>0</v>
      </c>
      <c r="AI269" s="258">
        <v>0</v>
      </c>
      <c r="AJ269" s="257">
        <v>0</v>
      </c>
      <c r="AK269" s="258">
        <v>0</v>
      </c>
      <c r="AL269" s="258">
        <v>0</v>
      </c>
      <c r="AM269" s="258">
        <v>0</v>
      </c>
      <c r="AN269" s="258"/>
      <c r="AO269" s="258">
        <v>0</v>
      </c>
    </row>
    <row r="270" spans="1:41" s="259" customFormat="1" ht="36" customHeight="1" x14ac:dyDescent="0.25">
      <c r="A270" s="259">
        <v>1</v>
      </c>
      <c r="B270" s="135">
        <f>SUBTOTAL(103,$A$16:A270)</f>
        <v>249</v>
      </c>
      <c r="C270" s="94" t="s">
        <v>646</v>
      </c>
      <c r="D270" s="124">
        <v>1988</v>
      </c>
      <c r="E270" s="124"/>
      <c r="F270" s="129" t="s">
        <v>269</v>
      </c>
      <c r="G270" s="124">
        <v>5</v>
      </c>
      <c r="H270" s="124" t="s">
        <v>373</v>
      </c>
      <c r="I270" s="128">
        <v>7301.9</v>
      </c>
      <c r="J270" s="128">
        <v>3924.5</v>
      </c>
      <c r="K270" s="128">
        <v>3924.5</v>
      </c>
      <c r="L270" s="126">
        <v>198</v>
      </c>
      <c r="M270" s="124" t="s">
        <v>267</v>
      </c>
      <c r="N270" s="124" t="s">
        <v>271</v>
      </c>
      <c r="O270" s="127" t="s">
        <v>714</v>
      </c>
      <c r="P270" s="128">
        <v>3307384.7800000003</v>
      </c>
      <c r="Q270" s="128">
        <v>0</v>
      </c>
      <c r="R270" s="128">
        <v>0</v>
      </c>
      <c r="S270" s="128">
        <f t="shared" si="38"/>
        <v>3307384.7800000003</v>
      </c>
      <c r="T270" s="128">
        <f t="shared" si="39"/>
        <v>452.94851750914154</v>
      </c>
      <c r="U270" s="128">
        <v>876.16425483778198</v>
      </c>
      <c r="V270" s="257">
        <f t="shared" si="33"/>
        <v>423.21573732864044</v>
      </c>
      <c r="W270" s="257">
        <f t="shared" si="40"/>
        <v>959.08961708596394</v>
      </c>
      <c r="X270" s="257">
        <v>0</v>
      </c>
      <c r="Y270" s="258">
        <v>0</v>
      </c>
      <c r="Z270" s="258">
        <v>0</v>
      </c>
      <c r="AA270" s="258">
        <v>0</v>
      </c>
      <c r="AB270" s="258">
        <v>0</v>
      </c>
      <c r="AC270" s="258">
        <v>0</v>
      </c>
      <c r="AD270" s="258">
        <v>0</v>
      </c>
      <c r="AE270" s="258">
        <v>1122.5</v>
      </c>
      <c r="AF270" s="257">
        <f>6238.91*AE270/I270</f>
        <v>959.08961708596394</v>
      </c>
      <c r="AG270" s="258">
        <v>0</v>
      </c>
      <c r="AH270" s="257">
        <v>0</v>
      </c>
      <c r="AI270" s="258">
        <v>0</v>
      </c>
      <c r="AJ270" s="257">
        <v>0</v>
      </c>
      <c r="AK270" s="258">
        <v>0</v>
      </c>
      <c r="AL270" s="258">
        <v>0</v>
      </c>
      <c r="AM270" s="258">
        <v>0</v>
      </c>
      <c r="AN270" s="258"/>
      <c r="AO270" s="258">
        <v>0</v>
      </c>
    </row>
    <row r="271" spans="1:41" s="259" customFormat="1" ht="36" customHeight="1" x14ac:dyDescent="0.25">
      <c r="A271" s="259">
        <v>1</v>
      </c>
      <c r="B271" s="135">
        <f>SUBTOTAL(103,$A$16:A271)</f>
        <v>250</v>
      </c>
      <c r="C271" s="94" t="s">
        <v>1200</v>
      </c>
      <c r="D271" s="124">
        <v>1979</v>
      </c>
      <c r="E271" s="124"/>
      <c r="F271" s="129" t="s">
        <v>313</v>
      </c>
      <c r="G271" s="124">
        <v>5</v>
      </c>
      <c r="H271" s="124" t="s">
        <v>305</v>
      </c>
      <c r="I271" s="128">
        <v>2660.8</v>
      </c>
      <c r="J271" s="128">
        <v>1869.9</v>
      </c>
      <c r="K271" s="128">
        <v>1869.9</v>
      </c>
      <c r="L271" s="126">
        <v>84</v>
      </c>
      <c r="M271" s="124" t="s">
        <v>267</v>
      </c>
      <c r="N271" s="124" t="s">
        <v>271</v>
      </c>
      <c r="O271" s="127" t="s">
        <v>714</v>
      </c>
      <c r="P271" s="128">
        <v>1446069.26</v>
      </c>
      <c r="Q271" s="128">
        <v>0</v>
      </c>
      <c r="R271" s="128">
        <v>0</v>
      </c>
      <c r="S271" s="128">
        <f t="shared" si="38"/>
        <v>1446069.26</v>
      </c>
      <c r="T271" s="128">
        <f t="shared" si="39"/>
        <v>543.47161004209261</v>
      </c>
      <c r="U271" s="128">
        <v>1032.6207873571857</v>
      </c>
      <c r="V271" s="257">
        <f t="shared" si="33"/>
        <v>489.14917731509308</v>
      </c>
      <c r="W271" s="257">
        <f t="shared" si="40"/>
        <v>2722.2544009320504</v>
      </c>
      <c r="X271" s="257">
        <v>0</v>
      </c>
      <c r="Y271" s="258">
        <v>0</v>
      </c>
      <c r="Z271" s="258">
        <v>0</v>
      </c>
      <c r="AA271" s="258">
        <v>0</v>
      </c>
      <c r="AB271" s="258">
        <v>0</v>
      </c>
      <c r="AC271" s="258">
        <v>0</v>
      </c>
      <c r="AD271" s="258">
        <v>0</v>
      </c>
      <c r="AE271" s="258">
        <v>1161</v>
      </c>
      <c r="AF271" s="257">
        <f>6238.91*AE271/I271</f>
        <v>2722.2544009320504</v>
      </c>
      <c r="AG271" s="258">
        <v>0</v>
      </c>
      <c r="AH271" s="257">
        <v>0</v>
      </c>
      <c r="AI271" s="258">
        <v>0</v>
      </c>
      <c r="AJ271" s="257">
        <v>0</v>
      </c>
      <c r="AK271" s="258">
        <v>0</v>
      </c>
      <c r="AL271" s="258">
        <v>0</v>
      </c>
      <c r="AM271" s="258">
        <v>0</v>
      </c>
      <c r="AN271" s="258"/>
      <c r="AO271" s="258">
        <v>0</v>
      </c>
    </row>
    <row r="272" spans="1:41" s="259" customFormat="1" ht="36" customHeight="1" x14ac:dyDescent="0.25">
      <c r="A272" s="259">
        <v>1</v>
      </c>
      <c r="B272" s="135">
        <f>SUBTOTAL(103,$A$16:A272)</f>
        <v>251</v>
      </c>
      <c r="C272" s="94" t="s">
        <v>1201</v>
      </c>
      <c r="D272" s="124">
        <v>1986</v>
      </c>
      <c r="E272" s="124"/>
      <c r="F272" s="129" t="s">
        <v>313</v>
      </c>
      <c r="G272" s="124">
        <v>5</v>
      </c>
      <c r="H272" s="124" t="s">
        <v>353</v>
      </c>
      <c r="I272" s="128">
        <v>5770.1</v>
      </c>
      <c r="J272" s="128">
        <v>3935.4</v>
      </c>
      <c r="K272" s="128">
        <v>3935.4</v>
      </c>
      <c r="L272" s="126">
        <v>180</v>
      </c>
      <c r="M272" s="124" t="s">
        <v>267</v>
      </c>
      <c r="N272" s="124" t="s">
        <v>271</v>
      </c>
      <c r="O272" s="127" t="s">
        <v>714</v>
      </c>
      <c r="P272" s="128">
        <v>2997039.15</v>
      </c>
      <c r="Q272" s="128">
        <v>0</v>
      </c>
      <c r="R272" s="128">
        <v>0</v>
      </c>
      <c r="S272" s="128">
        <f t="shared" si="38"/>
        <v>2997039.15</v>
      </c>
      <c r="T272" s="128">
        <f t="shared" si="39"/>
        <v>519.40852844838037</v>
      </c>
      <c r="U272" s="128">
        <v>1052.388052200135</v>
      </c>
      <c r="V272" s="257">
        <f t="shared" si="33"/>
        <v>532.97952375175464</v>
      </c>
      <c r="W272" s="257">
        <f t="shared" si="40"/>
        <v>1048.8107138524463</v>
      </c>
      <c r="X272" s="257">
        <v>0</v>
      </c>
      <c r="Y272" s="258">
        <v>0</v>
      </c>
      <c r="Z272" s="258">
        <v>0</v>
      </c>
      <c r="AA272" s="258">
        <v>0</v>
      </c>
      <c r="AB272" s="258">
        <v>0</v>
      </c>
      <c r="AC272" s="258">
        <v>0</v>
      </c>
      <c r="AD272" s="258">
        <v>0</v>
      </c>
      <c r="AE272" s="258">
        <v>970</v>
      </c>
      <c r="AF272" s="257">
        <f>6238.91*AE272/I272</f>
        <v>1048.8107138524463</v>
      </c>
      <c r="AG272" s="258">
        <v>0</v>
      </c>
      <c r="AH272" s="257">
        <v>0</v>
      </c>
      <c r="AI272" s="258">
        <v>0</v>
      </c>
      <c r="AJ272" s="257">
        <v>0</v>
      </c>
      <c r="AK272" s="258">
        <v>0</v>
      </c>
      <c r="AL272" s="258">
        <v>0</v>
      </c>
      <c r="AM272" s="258">
        <v>0</v>
      </c>
      <c r="AN272" s="258"/>
      <c r="AO272" s="258">
        <v>0</v>
      </c>
    </row>
    <row r="273" spans="1:41" s="259" customFormat="1" ht="36" customHeight="1" x14ac:dyDescent="0.25">
      <c r="A273" s="259">
        <v>1</v>
      </c>
      <c r="B273" s="135">
        <f>SUBTOTAL(103,$A$16:A273)</f>
        <v>252</v>
      </c>
      <c r="C273" s="94" t="s">
        <v>644</v>
      </c>
      <c r="D273" s="124">
        <v>1990</v>
      </c>
      <c r="E273" s="124"/>
      <c r="F273" s="129" t="s">
        <v>313</v>
      </c>
      <c r="G273" s="124">
        <v>5</v>
      </c>
      <c r="H273" s="124" t="s">
        <v>310</v>
      </c>
      <c r="I273" s="128">
        <v>4678</v>
      </c>
      <c r="J273" s="128">
        <v>3173.2</v>
      </c>
      <c r="K273" s="128">
        <v>3173.2</v>
      </c>
      <c r="L273" s="126">
        <v>150</v>
      </c>
      <c r="M273" s="124" t="s">
        <v>267</v>
      </c>
      <c r="N273" s="124" t="s">
        <v>271</v>
      </c>
      <c r="O273" s="127" t="s">
        <v>714</v>
      </c>
      <c r="P273" s="128">
        <v>2436827.77</v>
      </c>
      <c r="Q273" s="128">
        <v>0</v>
      </c>
      <c r="R273" s="128">
        <v>0</v>
      </c>
      <c r="S273" s="128">
        <f t="shared" si="38"/>
        <v>2436827.77</v>
      </c>
      <c r="T273" s="128">
        <f t="shared" si="39"/>
        <v>520.91230654125695</v>
      </c>
      <c r="U273" s="128">
        <v>1040.8669905942709</v>
      </c>
      <c r="V273" s="257">
        <f t="shared" ref="V273" si="41">U273-T273</f>
        <v>519.95468405301392</v>
      </c>
      <c r="W273" s="257">
        <f t="shared" si="40"/>
        <v>1037.3288153056862</v>
      </c>
      <c r="X273" s="257">
        <v>0</v>
      </c>
      <c r="Y273" s="258">
        <v>0</v>
      </c>
      <c r="Z273" s="258">
        <v>0</v>
      </c>
      <c r="AA273" s="258">
        <v>0</v>
      </c>
      <c r="AB273" s="258">
        <v>0</v>
      </c>
      <c r="AC273" s="258">
        <v>0</v>
      </c>
      <c r="AD273" s="258">
        <v>0</v>
      </c>
      <c r="AE273" s="258">
        <v>777.8</v>
      </c>
      <c r="AF273" s="257">
        <f>6238.91*AE273/I273</f>
        <v>1037.3288153056862</v>
      </c>
      <c r="AG273" s="258">
        <v>0</v>
      </c>
      <c r="AH273" s="257">
        <v>0</v>
      </c>
      <c r="AI273" s="258">
        <v>0</v>
      </c>
      <c r="AJ273" s="257">
        <v>0</v>
      </c>
      <c r="AK273" s="258">
        <v>0</v>
      </c>
      <c r="AL273" s="258">
        <v>0</v>
      </c>
      <c r="AM273" s="258">
        <v>0</v>
      </c>
      <c r="AN273" s="258"/>
      <c r="AO273" s="258">
        <v>0</v>
      </c>
    </row>
    <row r="274" spans="1:41" s="259" customFormat="1" ht="36" customHeight="1" x14ac:dyDescent="0.25">
      <c r="B274" s="94" t="s">
        <v>823</v>
      </c>
      <c r="C274" s="94"/>
      <c r="D274" s="124" t="s">
        <v>896</v>
      </c>
      <c r="E274" s="124" t="s">
        <v>896</v>
      </c>
      <c r="F274" s="124" t="s">
        <v>896</v>
      </c>
      <c r="G274" s="124" t="s">
        <v>896</v>
      </c>
      <c r="H274" s="124" t="s">
        <v>896</v>
      </c>
      <c r="I274" s="125">
        <f>SUM(I275:I280)</f>
        <v>10662.800000000001</v>
      </c>
      <c r="J274" s="125">
        <f>SUM(J275:J280)</f>
        <v>9226.6</v>
      </c>
      <c r="K274" s="125">
        <f>SUM(K275:K280)</f>
        <v>8378.2999999999993</v>
      </c>
      <c r="L274" s="126">
        <f>SUM(L275:L280)</f>
        <v>403</v>
      </c>
      <c r="M274" s="124" t="s">
        <v>896</v>
      </c>
      <c r="N274" s="124" t="s">
        <v>896</v>
      </c>
      <c r="O274" s="127" t="s">
        <v>896</v>
      </c>
      <c r="P274" s="125">
        <v>30991355.739999995</v>
      </c>
      <c r="Q274" s="125">
        <f>SUM(Q275:Q280)</f>
        <v>0</v>
      </c>
      <c r="R274" s="125">
        <f>SUM(R275:R280)</f>
        <v>0</v>
      </c>
      <c r="S274" s="125">
        <f>SUM(S275:S280)</f>
        <v>30991355.739999995</v>
      </c>
      <c r="T274" s="128">
        <f t="shared" si="39"/>
        <v>2906.4932044115985</v>
      </c>
      <c r="U274" s="128">
        <f>MAX(U275:U280)</f>
        <v>14055.200019244649</v>
      </c>
      <c r="V274" s="257">
        <f t="shared" ref="V274:V336" si="42">U274-T274</f>
        <v>11148.706814833051</v>
      </c>
      <c r="W274" s="257"/>
      <c r="X274" s="257"/>
      <c r="Y274" s="258"/>
      <c r="Z274" s="258"/>
      <c r="AA274" s="258"/>
      <c r="AB274" s="258"/>
      <c r="AC274" s="258"/>
      <c r="AD274" s="258"/>
      <c r="AE274" s="258"/>
      <c r="AF274" s="258"/>
      <c r="AG274" s="258"/>
      <c r="AH274" s="258"/>
      <c r="AI274" s="258"/>
      <c r="AJ274" s="258"/>
      <c r="AK274" s="258"/>
      <c r="AL274" s="258"/>
      <c r="AM274" s="258"/>
      <c r="AN274" s="258"/>
      <c r="AO274" s="258"/>
    </row>
    <row r="275" spans="1:41" s="259" customFormat="1" ht="36" customHeight="1" x14ac:dyDescent="0.25">
      <c r="A275" s="259">
        <v>1</v>
      </c>
      <c r="B275" s="135">
        <f>SUBTOTAL(103,$A$16:A275)</f>
        <v>253</v>
      </c>
      <c r="C275" s="94" t="s">
        <v>654</v>
      </c>
      <c r="D275" s="124">
        <v>1896</v>
      </c>
      <c r="E275" s="124"/>
      <c r="F275" s="129" t="s">
        <v>269</v>
      </c>
      <c r="G275" s="124">
        <v>2</v>
      </c>
      <c r="H275" s="124" t="s">
        <v>306</v>
      </c>
      <c r="I275" s="128">
        <v>415.7</v>
      </c>
      <c r="J275" s="128">
        <v>374.1</v>
      </c>
      <c r="K275" s="128">
        <v>374.1</v>
      </c>
      <c r="L275" s="126">
        <v>22</v>
      </c>
      <c r="M275" s="124" t="s">
        <v>267</v>
      </c>
      <c r="N275" s="124" t="s">
        <v>271</v>
      </c>
      <c r="O275" s="127" t="s">
        <v>715</v>
      </c>
      <c r="P275" s="128">
        <v>3128704.36</v>
      </c>
      <c r="Q275" s="128">
        <v>0</v>
      </c>
      <c r="R275" s="128">
        <v>0</v>
      </c>
      <c r="S275" s="128">
        <f>P275-Q275-R275</f>
        <v>3128704.36</v>
      </c>
      <c r="T275" s="128">
        <f t="shared" si="39"/>
        <v>7526.35159971133</v>
      </c>
      <c r="U275" s="128">
        <v>14055.200019244649</v>
      </c>
      <c r="V275" s="257">
        <f t="shared" si="42"/>
        <v>6528.8484195333185</v>
      </c>
      <c r="W275" s="257">
        <f t="shared" ref="W275:W280" si="43">X275+Y275+Z275+AA275+AB275+AD275+AF275+AH275+AJ275+AL275+AN275+AO275</f>
        <v>14036.054674043782</v>
      </c>
      <c r="X275" s="257">
        <v>0</v>
      </c>
      <c r="Y275" s="258">
        <v>0</v>
      </c>
      <c r="Z275" s="258">
        <v>0</v>
      </c>
      <c r="AA275" s="258">
        <v>0</v>
      </c>
      <c r="AB275" s="258">
        <v>0</v>
      </c>
      <c r="AC275" s="258">
        <v>0</v>
      </c>
      <c r="AD275" s="258">
        <v>0</v>
      </c>
      <c r="AE275" s="258">
        <v>374</v>
      </c>
      <c r="AF275" s="257">
        <f>6238.91*AE275/I275</f>
        <v>5613.0679336059657</v>
      </c>
      <c r="AG275" s="258">
        <v>0</v>
      </c>
      <c r="AH275" s="257">
        <v>0</v>
      </c>
      <c r="AI275" s="258">
        <v>470.68</v>
      </c>
      <c r="AJ275" s="257">
        <f>7439.1*AI275/I275</f>
        <v>8422.9867404378165</v>
      </c>
      <c r="AK275" s="258">
        <v>0</v>
      </c>
      <c r="AL275" s="258">
        <v>0</v>
      </c>
      <c r="AM275" s="258">
        <v>0</v>
      </c>
      <c r="AN275" s="258"/>
      <c r="AO275" s="258">
        <v>0</v>
      </c>
    </row>
    <row r="276" spans="1:41" s="259" customFormat="1" ht="36" customHeight="1" x14ac:dyDescent="0.25">
      <c r="A276" s="259">
        <v>1</v>
      </c>
      <c r="B276" s="135">
        <f>SUBTOTAL(103,$A$16:A276)</f>
        <v>254</v>
      </c>
      <c r="C276" s="94" t="s">
        <v>648</v>
      </c>
      <c r="D276" s="124">
        <v>1958</v>
      </c>
      <c r="E276" s="124"/>
      <c r="F276" s="129" t="s">
        <v>269</v>
      </c>
      <c r="G276" s="124">
        <v>3</v>
      </c>
      <c r="H276" s="124" t="s">
        <v>314</v>
      </c>
      <c r="I276" s="128">
        <v>1224.0999999999999</v>
      </c>
      <c r="J276" s="128">
        <v>1113.4000000000001</v>
      </c>
      <c r="K276" s="128">
        <v>1113.4000000000001</v>
      </c>
      <c r="L276" s="126">
        <v>48</v>
      </c>
      <c r="M276" s="124" t="s">
        <v>267</v>
      </c>
      <c r="N276" s="124" t="s">
        <v>271</v>
      </c>
      <c r="O276" s="127" t="s">
        <v>715</v>
      </c>
      <c r="P276" s="128">
        <v>3151307.31</v>
      </c>
      <c r="Q276" s="128">
        <v>0</v>
      </c>
      <c r="R276" s="128">
        <v>0</v>
      </c>
      <c r="S276" s="128">
        <f>P276-Q276-R276</f>
        <v>3151307.31</v>
      </c>
      <c r="T276" s="128">
        <f t="shared" si="39"/>
        <v>2574.3871497426685</v>
      </c>
      <c r="U276" s="128">
        <v>3186.094575606568</v>
      </c>
      <c r="V276" s="257">
        <f t="shared" si="42"/>
        <v>611.70742586389952</v>
      </c>
      <c r="W276" s="257">
        <f t="shared" si="43"/>
        <v>3175.2642186095909</v>
      </c>
      <c r="X276" s="257">
        <v>0</v>
      </c>
      <c r="Y276" s="258">
        <v>0</v>
      </c>
      <c r="Z276" s="258">
        <v>0</v>
      </c>
      <c r="AA276" s="258">
        <v>0</v>
      </c>
      <c r="AB276" s="258">
        <v>0</v>
      </c>
      <c r="AC276" s="258">
        <v>0</v>
      </c>
      <c r="AD276" s="258">
        <v>0</v>
      </c>
      <c r="AE276" s="258">
        <v>623</v>
      </c>
      <c r="AF276" s="257">
        <f>6238.91*AE276/I276</f>
        <v>3175.2642186095909</v>
      </c>
      <c r="AG276" s="258">
        <v>0</v>
      </c>
      <c r="AH276" s="257">
        <v>0</v>
      </c>
      <c r="AI276" s="258">
        <v>0</v>
      </c>
      <c r="AJ276" s="257">
        <v>0</v>
      </c>
      <c r="AK276" s="258">
        <v>0</v>
      </c>
      <c r="AL276" s="258">
        <v>0</v>
      </c>
      <c r="AM276" s="258">
        <v>0</v>
      </c>
      <c r="AN276" s="258"/>
      <c r="AO276" s="258">
        <v>0</v>
      </c>
    </row>
    <row r="277" spans="1:41" s="259" customFormat="1" ht="36" customHeight="1" x14ac:dyDescent="0.25">
      <c r="A277" s="259">
        <v>1</v>
      </c>
      <c r="B277" s="135">
        <f>SUBTOTAL(103,$A$16:A277)</f>
        <v>255</v>
      </c>
      <c r="C277" s="94" t="s">
        <v>653</v>
      </c>
      <c r="D277" s="124">
        <v>1984</v>
      </c>
      <c r="E277" s="124"/>
      <c r="F277" s="129" t="s">
        <v>269</v>
      </c>
      <c r="G277" s="124">
        <v>3</v>
      </c>
      <c r="H277" s="124" t="s">
        <v>314</v>
      </c>
      <c r="I277" s="128">
        <v>2162.5</v>
      </c>
      <c r="J277" s="128">
        <v>2047.6</v>
      </c>
      <c r="K277" s="128">
        <v>2047.6</v>
      </c>
      <c r="L277" s="126">
        <v>85</v>
      </c>
      <c r="M277" s="124" t="s">
        <v>267</v>
      </c>
      <c r="N277" s="124" t="s">
        <v>271</v>
      </c>
      <c r="O277" s="127" t="s">
        <v>709</v>
      </c>
      <c r="P277" s="128">
        <v>4866736.68</v>
      </c>
      <c r="Q277" s="128">
        <v>0</v>
      </c>
      <c r="R277" s="128">
        <v>0</v>
      </c>
      <c r="S277" s="128">
        <f>P277-Q277-R277</f>
        <v>4866736.68</v>
      </c>
      <c r="T277" s="128">
        <f t="shared" si="39"/>
        <v>2250.5140716763003</v>
      </c>
      <c r="U277" s="128">
        <v>3006.9755175953755</v>
      </c>
      <c r="V277" s="257">
        <f t="shared" si="42"/>
        <v>756.46144591907523</v>
      </c>
      <c r="W277" s="257">
        <f t="shared" si="43"/>
        <v>2996.7540324624279</v>
      </c>
      <c r="X277" s="257">
        <v>0</v>
      </c>
      <c r="Y277" s="258">
        <v>0</v>
      </c>
      <c r="Z277" s="258">
        <v>0</v>
      </c>
      <c r="AA277" s="258">
        <v>0</v>
      </c>
      <c r="AB277" s="258">
        <v>0</v>
      </c>
      <c r="AC277" s="258">
        <v>0</v>
      </c>
      <c r="AD277" s="258">
        <v>0</v>
      </c>
      <c r="AE277" s="258">
        <v>1038.72</v>
      </c>
      <c r="AF277" s="257">
        <f>6238.91*AE277/I277</f>
        <v>2996.7540324624279</v>
      </c>
      <c r="AG277" s="258">
        <v>0</v>
      </c>
      <c r="AH277" s="257">
        <v>0</v>
      </c>
      <c r="AI277" s="258">
        <v>0</v>
      </c>
      <c r="AJ277" s="257">
        <v>0</v>
      </c>
      <c r="AK277" s="258">
        <v>0</v>
      </c>
      <c r="AL277" s="258">
        <v>0</v>
      </c>
      <c r="AM277" s="258">
        <v>0</v>
      </c>
      <c r="AN277" s="258"/>
      <c r="AO277" s="258">
        <v>0</v>
      </c>
    </row>
    <row r="278" spans="1:41" s="259" customFormat="1" ht="36" customHeight="1" x14ac:dyDescent="0.25">
      <c r="A278" s="259">
        <v>1</v>
      </c>
      <c r="B278" s="135">
        <f>SUBTOTAL(103,$A$16:A278)</f>
        <v>256</v>
      </c>
      <c r="C278" s="94" t="s">
        <v>1202</v>
      </c>
      <c r="D278" s="124">
        <v>1932</v>
      </c>
      <c r="E278" s="124"/>
      <c r="F278" s="129" t="s">
        <v>1329</v>
      </c>
      <c r="G278" s="124">
        <v>3</v>
      </c>
      <c r="H278" s="124" t="s">
        <v>353</v>
      </c>
      <c r="I278" s="128">
        <v>1954.2</v>
      </c>
      <c r="J278" s="128">
        <v>1319.3</v>
      </c>
      <c r="K278" s="128">
        <v>1319.3</v>
      </c>
      <c r="L278" s="126">
        <v>71</v>
      </c>
      <c r="M278" s="124" t="s">
        <v>267</v>
      </c>
      <c r="N278" s="124" t="s">
        <v>271</v>
      </c>
      <c r="O278" s="127" t="s">
        <v>1330</v>
      </c>
      <c r="P278" s="128">
        <v>6540486.5499999998</v>
      </c>
      <c r="Q278" s="128">
        <v>0</v>
      </c>
      <c r="R278" s="128">
        <v>0</v>
      </c>
      <c r="S278" s="128">
        <f>P278-Q278-R278</f>
        <v>6540486.5499999998</v>
      </c>
      <c r="T278" s="128">
        <f t="shared" si="39"/>
        <v>3346.8869870023536</v>
      </c>
      <c r="U278" s="128">
        <v>7382.7604851089964</v>
      </c>
      <c r="V278" s="257">
        <f t="shared" si="42"/>
        <v>4035.8734981066427</v>
      </c>
      <c r="W278" s="257">
        <f t="shared" si="43"/>
        <v>7382.7604851089964</v>
      </c>
      <c r="X278" s="257">
        <v>0</v>
      </c>
      <c r="Y278" s="258">
        <v>0</v>
      </c>
      <c r="Z278" s="258">
        <v>0</v>
      </c>
      <c r="AA278" s="258">
        <v>0</v>
      </c>
      <c r="AB278" s="258">
        <v>0</v>
      </c>
      <c r="AC278" s="258">
        <v>0</v>
      </c>
      <c r="AD278" s="258">
        <v>0</v>
      </c>
      <c r="AE278" s="258">
        <v>0</v>
      </c>
      <c r="AF278" s="257">
        <v>0</v>
      </c>
      <c r="AG278" s="258">
        <v>0</v>
      </c>
      <c r="AH278" s="257">
        <v>0</v>
      </c>
      <c r="AI278" s="258">
        <v>1939.4</v>
      </c>
      <c r="AJ278" s="257">
        <f>7439.1*AI278/I278</f>
        <v>7382.7604851089964</v>
      </c>
      <c r="AK278" s="258">
        <v>0</v>
      </c>
      <c r="AL278" s="258">
        <v>0</v>
      </c>
      <c r="AM278" s="258">
        <v>0</v>
      </c>
      <c r="AN278" s="258"/>
      <c r="AO278" s="258">
        <v>0</v>
      </c>
    </row>
    <row r="279" spans="1:41" s="259" customFormat="1" ht="36" customHeight="1" x14ac:dyDescent="0.25">
      <c r="A279" s="259">
        <v>1</v>
      </c>
      <c r="B279" s="135">
        <f>SUBTOTAL(103,$A$16:A279)</f>
        <v>257</v>
      </c>
      <c r="C279" s="94" t="s">
        <v>1187</v>
      </c>
      <c r="D279" s="124">
        <v>1882</v>
      </c>
      <c r="E279" s="124"/>
      <c r="F279" s="129" t="s">
        <v>269</v>
      </c>
      <c r="G279" s="124">
        <v>4</v>
      </c>
      <c r="H279" s="124" t="s">
        <v>305</v>
      </c>
      <c r="I279" s="128">
        <v>3453.2</v>
      </c>
      <c r="J279" s="128">
        <v>3230.8</v>
      </c>
      <c r="K279" s="128">
        <v>2382.5</v>
      </c>
      <c r="L279" s="126">
        <v>128</v>
      </c>
      <c r="M279" s="124" t="s">
        <v>267</v>
      </c>
      <c r="N279" s="124" t="s">
        <v>271</v>
      </c>
      <c r="O279" s="127" t="s">
        <v>715</v>
      </c>
      <c r="P279" s="128">
        <v>10088677.58</v>
      </c>
      <c r="Q279" s="128">
        <v>0</v>
      </c>
      <c r="R279" s="128">
        <v>0</v>
      </c>
      <c r="S279" s="128">
        <f>P279-Q279-R279</f>
        <v>10088677.58</v>
      </c>
      <c r="T279" s="128">
        <f t="shared" si="39"/>
        <v>2921.5445326074368</v>
      </c>
      <c r="U279" s="128">
        <v>3404.8167631761848</v>
      </c>
      <c r="V279" s="257">
        <f t="shared" si="42"/>
        <v>483.272230568748</v>
      </c>
      <c r="W279" s="257">
        <f t="shared" si="43"/>
        <v>3500.7252560523575</v>
      </c>
      <c r="X279" s="257">
        <v>0</v>
      </c>
      <c r="Y279" s="258">
        <v>0</v>
      </c>
      <c r="Z279" s="258">
        <v>0</v>
      </c>
      <c r="AA279" s="258">
        <v>0</v>
      </c>
      <c r="AB279" s="258">
        <v>0</v>
      </c>
      <c r="AC279" s="258">
        <v>0</v>
      </c>
      <c r="AD279" s="258">
        <v>0</v>
      </c>
      <c r="AE279" s="258">
        <v>1878.14</v>
      </c>
      <c r="AF279" s="257">
        <f>6436.53*AE279/I279</f>
        <v>3500.7252560523575</v>
      </c>
      <c r="AG279" s="258">
        <v>0</v>
      </c>
      <c r="AH279" s="257">
        <v>0</v>
      </c>
      <c r="AI279" s="258">
        <v>0</v>
      </c>
      <c r="AJ279" s="257">
        <v>0</v>
      </c>
      <c r="AK279" s="258">
        <v>0</v>
      </c>
      <c r="AL279" s="258">
        <v>0</v>
      </c>
      <c r="AM279" s="258">
        <v>0</v>
      </c>
      <c r="AN279" s="258"/>
      <c r="AO279" s="258">
        <v>0</v>
      </c>
    </row>
    <row r="280" spans="1:41" s="259" customFormat="1" ht="36" customHeight="1" x14ac:dyDescent="0.25">
      <c r="A280" s="259">
        <v>1</v>
      </c>
      <c r="B280" s="135">
        <f>SUBTOTAL(103,$A$16:A280)</f>
        <v>258</v>
      </c>
      <c r="C280" s="94" t="s">
        <v>1574</v>
      </c>
      <c r="D280" s="124">
        <v>1939</v>
      </c>
      <c r="E280" s="124"/>
      <c r="F280" s="129" t="s">
        <v>1585</v>
      </c>
      <c r="G280" s="124">
        <v>3</v>
      </c>
      <c r="H280" s="124" t="s">
        <v>310</v>
      </c>
      <c r="I280" s="128">
        <v>1453.1</v>
      </c>
      <c r="J280" s="128">
        <v>1141.4000000000001</v>
      </c>
      <c r="K280" s="128">
        <v>1141.4000000000001</v>
      </c>
      <c r="L280" s="126">
        <v>49</v>
      </c>
      <c r="M280" s="124" t="s">
        <v>267</v>
      </c>
      <c r="N280" s="124" t="s">
        <v>271</v>
      </c>
      <c r="O280" s="127" t="s">
        <v>715</v>
      </c>
      <c r="P280" s="128">
        <v>3215443.26</v>
      </c>
      <c r="Q280" s="128">
        <v>0</v>
      </c>
      <c r="R280" s="128">
        <v>0</v>
      </c>
      <c r="S280" s="128">
        <f>P280-R280-Q280</f>
        <v>3215443.26</v>
      </c>
      <c r="T280" s="128">
        <f t="shared" si="39"/>
        <v>2212.8162273759549</v>
      </c>
      <c r="U280" s="128">
        <v>3361.0986389787349</v>
      </c>
      <c r="V280" s="257">
        <f t="shared" si="42"/>
        <v>1148.28241160278</v>
      </c>
      <c r="W280" s="257">
        <f t="shared" si="43"/>
        <v>3349.6733980455579</v>
      </c>
      <c r="X280" s="257">
        <v>0</v>
      </c>
      <c r="Y280" s="258">
        <v>0</v>
      </c>
      <c r="Z280" s="258">
        <v>0</v>
      </c>
      <c r="AA280" s="258">
        <v>0</v>
      </c>
      <c r="AB280" s="258">
        <v>0</v>
      </c>
      <c r="AC280" s="258">
        <v>0</v>
      </c>
      <c r="AD280" s="258">
        <v>0</v>
      </c>
      <c r="AE280" s="258">
        <v>780.17</v>
      </c>
      <c r="AF280" s="257">
        <f>6238.91*AE280/I280</f>
        <v>3349.6733980455579</v>
      </c>
      <c r="AG280" s="258">
        <v>0</v>
      </c>
      <c r="AH280" s="257">
        <v>0</v>
      </c>
      <c r="AI280" s="258">
        <v>0</v>
      </c>
      <c r="AJ280" s="257">
        <v>0</v>
      </c>
      <c r="AK280" s="258">
        <v>0</v>
      </c>
      <c r="AL280" s="258">
        <v>0</v>
      </c>
      <c r="AM280" s="258">
        <v>0</v>
      </c>
      <c r="AN280" s="258"/>
      <c r="AO280" s="258">
        <v>0</v>
      </c>
    </row>
    <row r="281" spans="1:41" s="259" customFormat="1" ht="36" customHeight="1" x14ac:dyDescent="0.25">
      <c r="B281" s="94" t="s">
        <v>824</v>
      </c>
      <c r="C281" s="94"/>
      <c r="D281" s="124" t="s">
        <v>896</v>
      </c>
      <c r="E281" s="124" t="s">
        <v>896</v>
      </c>
      <c r="F281" s="124" t="s">
        <v>896</v>
      </c>
      <c r="G281" s="124" t="s">
        <v>896</v>
      </c>
      <c r="H281" s="124" t="s">
        <v>896</v>
      </c>
      <c r="I281" s="125">
        <f>SUM(I282:I285)</f>
        <v>14970.710000000001</v>
      </c>
      <c r="J281" s="125">
        <f>SUM(J282:J285)</f>
        <v>11319.109999999999</v>
      </c>
      <c r="K281" s="125">
        <f>SUM(K282:K285)</f>
        <v>11319.109999999999</v>
      </c>
      <c r="L281" s="126">
        <f>SUM(L282:L285)</f>
        <v>518</v>
      </c>
      <c r="M281" s="124" t="s">
        <v>896</v>
      </c>
      <c r="N281" s="124" t="s">
        <v>896</v>
      </c>
      <c r="O281" s="127" t="s">
        <v>896</v>
      </c>
      <c r="P281" s="128">
        <v>12442442.430000002</v>
      </c>
      <c r="Q281" s="128">
        <f>SUM(Q282:Q285)</f>
        <v>0</v>
      </c>
      <c r="R281" s="128">
        <f>SUM(R282:R285)</f>
        <v>0</v>
      </c>
      <c r="S281" s="128">
        <f>SUM(S282:S285)</f>
        <v>12442442.430000002</v>
      </c>
      <c r="T281" s="128">
        <f t="shared" si="39"/>
        <v>831.11906048544131</v>
      </c>
      <c r="U281" s="128">
        <f>MAX(U282:U285)</f>
        <v>3608.58</v>
      </c>
      <c r="V281" s="257">
        <f t="shared" si="42"/>
        <v>2777.4609395145585</v>
      </c>
      <c r="W281" s="257"/>
      <c r="X281" s="257"/>
      <c r="Y281" s="258"/>
      <c r="Z281" s="258"/>
      <c r="AA281" s="258"/>
      <c r="AB281" s="258"/>
      <c r="AC281" s="258"/>
      <c r="AD281" s="258"/>
      <c r="AE281" s="258"/>
      <c r="AF281" s="258"/>
      <c r="AG281" s="258"/>
      <c r="AH281" s="258"/>
      <c r="AI281" s="258"/>
      <c r="AJ281" s="258"/>
      <c r="AK281" s="258"/>
      <c r="AL281" s="258"/>
      <c r="AM281" s="258"/>
      <c r="AN281" s="258"/>
      <c r="AO281" s="258"/>
    </row>
    <row r="282" spans="1:41" s="259" customFormat="1" ht="36" customHeight="1" x14ac:dyDescent="0.25">
      <c r="A282" s="259">
        <v>1</v>
      </c>
      <c r="B282" s="135">
        <f>SUBTOTAL(103,$A$16:A282)</f>
        <v>259</v>
      </c>
      <c r="C282" s="94" t="s">
        <v>658</v>
      </c>
      <c r="D282" s="124">
        <v>1972</v>
      </c>
      <c r="E282" s="124"/>
      <c r="F282" s="129" t="s">
        <v>269</v>
      </c>
      <c r="G282" s="124">
        <v>5</v>
      </c>
      <c r="H282" s="124" t="s">
        <v>310</v>
      </c>
      <c r="I282" s="128">
        <v>4295.76</v>
      </c>
      <c r="J282" s="128">
        <v>3325.76</v>
      </c>
      <c r="K282" s="128">
        <v>3325.76</v>
      </c>
      <c r="L282" s="126">
        <v>137</v>
      </c>
      <c r="M282" s="124" t="s">
        <v>267</v>
      </c>
      <c r="N282" s="124" t="s">
        <v>271</v>
      </c>
      <c r="O282" s="127" t="s">
        <v>997</v>
      </c>
      <c r="P282" s="128">
        <v>5056079.6400000006</v>
      </c>
      <c r="Q282" s="128">
        <v>0</v>
      </c>
      <c r="R282" s="128">
        <v>0</v>
      </c>
      <c r="S282" s="128">
        <f>P282-Q282-R282</f>
        <v>5056079.6400000006</v>
      </c>
      <c r="T282" s="128">
        <f t="shared" si="39"/>
        <v>1176.9930443041512</v>
      </c>
      <c r="U282" s="128">
        <v>1571.9842246773562</v>
      </c>
      <c r="V282" s="257">
        <f t="shared" si="42"/>
        <v>394.991180373205</v>
      </c>
      <c r="W282" s="257">
        <f t="shared" ref="W282:W285" si="44">X282+Y282+Z282+AA282+AB282+AD282+AF282+AH282+AJ282+AL282+AN282+AO282</f>
        <v>1725.3815576289178</v>
      </c>
      <c r="X282" s="257">
        <v>0</v>
      </c>
      <c r="Y282" s="258">
        <v>0</v>
      </c>
      <c r="Z282" s="258">
        <v>0</v>
      </c>
      <c r="AA282" s="258">
        <v>0</v>
      </c>
      <c r="AB282" s="258">
        <v>0</v>
      </c>
      <c r="AC282" s="258">
        <v>0</v>
      </c>
      <c r="AD282" s="258">
        <v>0</v>
      </c>
      <c r="AE282" s="258">
        <v>1188</v>
      </c>
      <c r="AF282" s="257">
        <f>6238.91*AE282/I282</f>
        <v>1725.3815576289178</v>
      </c>
      <c r="AG282" s="258">
        <v>0</v>
      </c>
      <c r="AH282" s="257">
        <v>0</v>
      </c>
      <c r="AI282" s="258">
        <v>0</v>
      </c>
      <c r="AJ282" s="257">
        <v>0</v>
      </c>
      <c r="AK282" s="258">
        <v>0</v>
      </c>
      <c r="AL282" s="258">
        <v>0</v>
      </c>
      <c r="AM282" s="258">
        <v>0</v>
      </c>
      <c r="AN282" s="258"/>
      <c r="AO282" s="258">
        <v>0</v>
      </c>
    </row>
    <row r="283" spans="1:41" s="259" customFormat="1" ht="36" customHeight="1" x14ac:dyDescent="0.25">
      <c r="A283" s="259">
        <v>1</v>
      </c>
      <c r="B283" s="135">
        <f>SUBTOTAL(103,$A$16:A283)</f>
        <v>260</v>
      </c>
      <c r="C283" s="94" t="s">
        <v>655</v>
      </c>
      <c r="D283" s="124">
        <v>1978</v>
      </c>
      <c r="E283" s="124"/>
      <c r="F283" s="129" t="s">
        <v>269</v>
      </c>
      <c r="G283" s="124">
        <v>3</v>
      </c>
      <c r="H283" s="124" t="s">
        <v>305</v>
      </c>
      <c r="I283" s="128">
        <v>1569.6</v>
      </c>
      <c r="J283" s="128">
        <v>1094.4000000000001</v>
      </c>
      <c r="K283" s="128">
        <v>1094.4000000000001</v>
      </c>
      <c r="L283" s="126">
        <v>54</v>
      </c>
      <c r="M283" s="124" t="s">
        <v>267</v>
      </c>
      <c r="N283" s="124" t="s">
        <v>271</v>
      </c>
      <c r="O283" s="127" t="s">
        <v>998</v>
      </c>
      <c r="P283" s="128">
        <v>1162332.27</v>
      </c>
      <c r="Q283" s="128">
        <v>0</v>
      </c>
      <c r="R283" s="128">
        <v>0</v>
      </c>
      <c r="S283" s="128">
        <f>P283-Q283-R283</f>
        <v>1162332.27</v>
      </c>
      <c r="T283" s="128">
        <f t="shared" si="39"/>
        <v>740.52769495412849</v>
      </c>
      <c r="U283" s="128">
        <v>3608.58</v>
      </c>
      <c r="V283" s="257">
        <f t="shared" si="42"/>
        <v>2868.0523050458714</v>
      </c>
      <c r="W283" s="257">
        <f t="shared" si="44"/>
        <v>3690.08</v>
      </c>
      <c r="X283" s="257">
        <v>0</v>
      </c>
      <c r="Y283" s="258">
        <v>245.44</v>
      </c>
      <c r="Z283" s="258">
        <v>3259.66</v>
      </c>
      <c r="AA283" s="258">
        <v>184.98</v>
      </c>
      <c r="AB283" s="258">
        <v>0</v>
      </c>
      <c r="AC283" s="258">
        <v>0</v>
      </c>
      <c r="AD283" s="258">
        <v>0</v>
      </c>
      <c r="AE283" s="258">
        <v>0</v>
      </c>
      <c r="AF283" s="257">
        <v>0</v>
      </c>
      <c r="AG283" s="258">
        <v>0</v>
      </c>
      <c r="AH283" s="257">
        <v>0</v>
      </c>
      <c r="AI283" s="258">
        <v>0</v>
      </c>
      <c r="AJ283" s="257">
        <v>0</v>
      </c>
      <c r="AK283" s="258">
        <v>0</v>
      </c>
      <c r="AL283" s="258">
        <v>0</v>
      </c>
      <c r="AM283" s="258">
        <v>0</v>
      </c>
      <c r="AN283" s="258"/>
      <c r="AO283" s="258">
        <v>0</v>
      </c>
    </row>
    <row r="284" spans="1:41" s="259" customFormat="1" ht="36" customHeight="1" x14ac:dyDescent="0.25">
      <c r="A284" s="259">
        <v>1</v>
      </c>
      <c r="B284" s="135">
        <f>SUBTOTAL(103,$A$16:A284)</f>
        <v>261</v>
      </c>
      <c r="C284" s="94" t="s">
        <v>1203</v>
      </c>
      <c r="D284" s="124">
        <v>1968</v>
      </c>
      <c r="E284" s="124"/>
      <c r="F284" s="129" t="s">
        <v>269</v>
      </c>
      <c r="G284" s="124">
        <v>5</v>
      </c>
      <c r="H284" s="124" t="s">
        <v>353</v>
      </c>
      <c r="I284" s="128">
        <v>3769.94</v>
      </c>
      <c r="J284" s="128">
        <v>2873.14</v>
      </c>
      <c r="K284" s="128">
        <v>2873.14</v>
      </c>
      <c r="L284" s="126">
        <v>116</v>
      </c>
      <c r="M284" s="124" t="s">
        <v>267</v>
      </c>
      <c r="N284" s="124" t="s">
        <v>271</v>
      </c>
      <c r="O284" s="127" t="s">
        <v>1331</v>
      </c>
      <c r="P284" s="128">
        <v>3164041.96</v>
      </c>
      <c r="Q284" s="128">
        <v>0</v>
      </c>
      <c r="R284" s="128">
        <v>0</v>
      </c>
      <c r="S284" s="128">
        <f>P284-Q284-R284</f>
        <v>3164041.96</v>
      </c>
      <c r="T284" s="128">
        <f t="shared" si="39"/>
        <v>839.28178167291787</v>
      </c>
      <c r="U284" s="128">
        <v>1310.7585204273807</v>
      </c>
      <c r="V284" s="257">
        <f t="shared" si="42"/>
        <v>471.47673875446287</v>
      </c>
      <c r="W284" s="257">
        <f t="shared" si="44"/>
        <v>1306.3029142373618</v>
      </c>
      <c r="X284" s="257">
        <v>0</v>
      </c>
      <c r="Y284" s="258">
        <v>0</v>
      </c>
      <c r="Z284" s="258">
        <v>0</v>
      </c>
      <c r="AA284" s="258">
        <v>0</v>
      </c>
      <c r="AB284" s="258">
        <v>0</v>
      </c>
      <c r="AC284" s="258">
        <v>0</v>
      </c>
      <c r="AD284" s="258">
        <v>0</v>
      </c>
      <c r="AE284" s="258">
        <v>789.35</v>
      </c>
      <c r="AF284" s="257">
        <f>6238.91*AE284/I284</f>
        <v>1306.3029142373618</v>
      </c>
      <c r="AG284" s="258">
        <v>0</v>
      </c>
      <c r="AH284" s="257">
        <v>0</v>
      </c>
      <c r="AI284" s="258">
        <v>0</v>
      </c>
      <c r="AJ284" s="257">
        <v>0</v>
      </c>
      <c r="AK284" s="258">
        <v>0</v>
      </c>
      <c r="AL284" s="258">
        <v>0</v>
      </c>
      <c r="AM284" s="258">
        <v>0</v>
      </c>
      <c r="AN284" s="258"/>
      <c r="AO284" s="258">
        <v>0</v>
      </c>
    </row>
    <row r="285" spans="1:41" s="259" customFormat="1" ht="36" customHeight="1" x14ac:dyDescent="0.25">
      <c r="A285" s="259">
        <v>1</v>
      </c>
      <c r="B285" s="135">
        <f>SUBTOTAL(103,$A$16:A285)</f>
        <v>262</v>
      </c>
      <c r="C285" s="94" t="s">
        <v>1189</v>
      </c>
      <c r="D285" s="124">
        <v>1990</v>
      </c>
      <c r="E285" s="124"/>
      <c r="F285" s="129" t="s">
        <v>269</v>
      </c>
      <c r="G285" s="124">
        <v>5</v>
      </c>
      <c r="H285" s="124" t="s">
        <v>373</v>
      </c>
      <c r="I285" s="128">
        <v>5335.41</v>
      </c>
      <c r="J285" s="128">
        <v>4025.81</v>
      </c>
      <c r="K285" s="128">
        <v>4025.81</v>
      </c>
      <c r="L285" s="126">
        <v>211</v>
      </c>
      <c r="M285" s="124" t="s">
        <v>267</v>
      </c>
      <c r="N285" s="124" t="s">
        <v>271</v>
      </c>
      <c r="O285" s="127" t="s">
        <v>1323</v>
      </c>
      <c r="P285" s="128">
        <v>3059988.56</v>
      </c>
      <c r="Q285" s="128">
        <v>0</v>
      </c>
      <c r="R285" s="128">
        <v>0</v>
      </c>
      <c r="S285" s="128">
        <f>P285-Q285-R285</f>
        <v>3059988.56</v>
      </c>
      <c r="T285" s="128">
        <f t="shared" si="39"/>
        <v>573.52453888267257</v>
      </c>
      <c r="U285" s="128">
        <v>1311.4764883298565</v>
      </c>
      <c r="V285" s="257">
        <f t="shared" si="42"/>
        <v>737.95194944718389</v>
      </c>
      <c r="W285" s="257">
        <f t="shared" si="44"/>
        <v>1307.0184415818089</v>
      </c>
      <c r="X285" s="257">
        <v>0</v>
      </c>
      <c r="Y285" s="258">
        <v>0</v>
      </c>
      <c r="Z285" s="258">
        <v>0</v>
      </c>
      <c r="AA285" s="258">
        <v>0</v>
      </c>
      <c r="AB285" s="258">
        <v>0</v>
      </c>
      <c r="AC285" s="258">
        <v>0</v>
      </c>
      <c r="AD285" s="258">
        <v>0</v>
      </c>
      <c r="AE285" s="258">
        <v>1117.74</v>
      </c>
      <c r="AF285" s="257">
        <f>6238.91*AE285/I285</f>
        <v>1307.0184415818089</v>
      </c>
      <c r="AG285" s="258">
        <v>0</v>
      </c>
      <c r="AH285" s="257">
        <v>0</v>
      </c>
      <c r="AI285" s="258">
        <v>0</v>
      </c>
      <c r="AJ285" s="257">
        <v>0</v>
      </c>
      <c r="AK285" s="258">
        <v>0</v>
      </c>
      <c r="AL285" s="258">
        <v>0</v>
      </c>
      <c r="AM285" s="258">
        <v>0</v>
      </c>
      <c r="AN285" s="258"/>
      <c r="AO285" s="258">
        <v>0</v>
      </c>
    </row>
    <row r="286" spans="1:41" s="259" customFormat="1" ht="36" customHeight="1" x14ac:dyDescent="0.25">
      <c r="B286" s="94" t="s">
        <v>1282</v>
      </c>
      <c r="C286" s="94"/>
      <c r="D286" s="124" t="s">
        <v>896</v>
      </c>
      <c r="E286" s="124" t="s">
        <v>896</v>
      </c>
      <c r="F286" s="124" t="s">
        <v>896</v>
      </c>
      <c r="G286" s="124" t="s">
        <v>896</v>
      </c>
      <c r="H286" s="124" t="s">
        <v>896</v>
      </c>
      <c r="I286" s="125">
        <f>I287</f>
        <v>762</v>
      </c>
      <c r="J286" s="125">
        <f>J287</f>
        <v>540</v>
      </c>
      <c r="K286" s="125">
        <f>K287</f>
        <v>540</v>
      </c>
      <c r="L286" s="126">
        <f>L287</f>
        <v>42</v>
      </c>
      <c r="M286" s="124" t="s">
        <v>896</v>
      </c>
      <c r="N286" s="124" t="s">
        <v>896</v>
      </c>
      <c r="O286" s="127" t="s">
        <v>896</v>
      </c>
      <c r="P286" s="128">
        <v>345276.04000000004</v>
      </c>
      <c r="Q286" s="128">
        <f>Q287</f>
        <v>0</v>
      </c>
      <c r="R286" s="128">
        <f>R287</f>
        <v>0</v>
      </c>
      <c r="S286" s="128">
        <f>S287</f>
        <v>345276.04000000004</v>
      </c>
      <c r="T286" s="128">
        <f t="shared" si="39"/>
        <v>453.11816272965882</v>
      </c>
      <c r="U286" s="128">
        <f>MAX(U287)</f>
        <v>712.1</v>
      </c>
      <c r="V286" s="257">
        <f t="shared" si="42"/>
        <v>258.9818372703412</v>
      </c>
      <c r="W286" s="257"/>
      <c r="X286" s="257"/>
      <c r="Y286" s="258"/>
      <c r="Z286" s="258"/>
      <c r="AA286" s="258"/>
      <c r="AB286" s="258"/>
      <c r="AC286" s="258"/>
      <c r="AD286" s="258"/>
      <c r="AE286" s="258"/>
      <c r="AF286" s="258"/>
      <c r="AG286" s="258"/>
      <c r="AH286" s="258"/>
      <c r="AI286" s="258"/>
      <c r="AJ286" s="258"/>
      <c r="AK286" s="258"/>
      <c r="AL286" s="258"/>
      <c r="AM286" s="258"/>
      <c r="AN286" s="258"/>
      <c r="AO286" s="258"/>
    </row>
    <row r="287" spans="1:41" s="259" customFormat="1" ht="36" customHeight="1" x14ac:dyDescent="0.25">
      <c r="A287" s="259">
        <v>1</v>
      </c>
      <c r="B287" s="135">
        <f>SUBTOTAL(103,$A$16:A287)</f>
        <v>263</v>
      </c>
      <c r="C287" s="94" t="s">
        <v>1188</v>
      </c>
      <c r="D287" s="124">
        <v>1970</v>
      </c>
      <c r="E287" s="124"/>
      <c r="F287" s="129" t="s">
        <v>269</v>
      </c>
      <c r="G287" s="124">
        <v>2</v>
      </c>
      <c r="H287" s="124" t="s">
        <v>305</v>
      </c>
      <c r="I287" s="128">
        <v>762</v>
      </c>
      <c r="J287" s="128">
        <v>540</v>
      </c>
      <c r="K287" s="128">
        <v>540</v>
      </c>
      <c r="L287" s="126">
        <v>42</v>
      </c>
      <c r="M287" s="124" t="s">
        <v>267</v>
      </c>
      <c r="N287" s="124" t="s">
        <v>285</v>
      </c>
      <c r="O287" s="127" t="s">
        <v>270</v>
      </c>
      <c r="P287" s="128">
        <v>345276.04000000004</v>
      </c>
      <c r="Q287" s="128">
        <v>0</v>
      </c>
      <c r="R287" s="128">
        <v>0</v>
      </c>
      <c r="S287" s="128">
        <f>P287-Q287-R287</f>
        <v>345276.04000000004</v>
      </c>
      <c r="T287" s="128">
        <f t="shared" si="39"/>
        <v>453.11816272965882</v>
      </c>
      <c r="U287" s="128">
        <v>712.1</v>
      </c>
      <c r="V287" s="257">
        <f>U287-T287</f>
        <v>258.9818372703412</v>
      </c>
      <c r="W287" s="257">
        <f>X287+Y287+Z287+AA287+AB287+AD287+AF287+AH287+AJ287+AL287+AN287+AO287</f>
        <v>712.1</v>
      </c>
      <c r="X287" s="257">
        <v>0</v>
      </c>
      <c r="Y287" s="258">
        <v>0</v>
      </c>
      <c r="Z287" s="258">
        <v>0</v>
      </c>
      <c r="AA287" s="258">
        <v>0</v>
      </c>
      <c r="AB287" s="258">
        <v>0</v>
      </c>
      <c r="AC287" s="258">
        <v>0</v>
      </c>
      <c r="AD287" s="258">
        <v>0</v>
      </c>
      <c r="AE287" s="258">
        <v>0</v>
      </c>
      <c r="AF287" s="257">
        <v>0</v>
      </c>
      <c r="AG287" s="258">
        <v>0</v>
      </c>
      <c r="AH287" s="257">
        <v>0</v>
      </c>
      <c r="AI287" s="258">
        <v>0</v>
      </c>
      <c r="AJ287" s="257">
        <v>0</v>
      </c>
      <c r="AK287" s="258">
        <v>0</v>
      </c>
      <c r="AL287" s="258">
        <v>0</v>
      </c>
      <c r="AM287" s="258">
        <v>0</v>
      </c>
      <c r="AN287" s="258"/>
      <c r="AO287" s="258">
        <v>712.1</v>
      </c>
    </row>
    <row r="288" spans="1:41" s="259" customFormat="1" ht="36" customHeight="1" x14ac:dyDescent="0.25">
      <c r="B288" s="94" t="s">
        <v>825</v>
      </c>
      <c r="C288" s="261"/>
      <c r="D288" s="124" t="s">
        <v>896</v>
      </c>
      <c r="E288" s="124" t="s">
        <v>896</v>
      </c>
      <c r="F288" s="124" t="s">
        <v>896</v>
      </c>
      <c r="G288" s="124" t="s">
        <v>896</v>
      </c>
      <c r="H288" s="124" t="s">
        <v>896</v>
      </c>
      <c r="I288" s="125">
        <f>SUM(I289:I290)</f>
        <v>2259.1</v>
      </c>
      <c r="J288" s="125">
        <f>SUM(J289:J290)</f>
        <v>2111.5</v>
      </c>
      <c r="K288" s="125">
        <f>SUM(K289:K290)</f>
        <v>2111.5</v>
      </c>
      <c r="L288" s="126">
        <f>SUM(L289:L290)</f>
        <v>104</v>
      </c>
      <c r="M288" s="124" t="s">
        <v>896</v>
      </c>
      <c r="N288" s="124" t="s">
        <v>896</v>
      </c>
      <c r="O288" s="127" t="s">
        <v>896</v>
      </c>
      <c r="P288" s="128">
        <v>6862295.4900000002</v>
      </c>
      <c r="Q288" s="128">
        <f>SUM(Q289:Q290)</f>
        <v>0</v>
      </c>
      <c r="R288" s="128">
        <f>SUM(R289:R290)</f>
        <v>0</v>
      </c>
      <c r="S288" s="128">
        <f>SUM(S289:S290)</f>
        <v>6862295.4900000002</v>
      </c>
      <c r="T288" s="128">
        <f t="shared" si="39"/>
        <v>3037.6236067460495</v>
      </c>
      <c r="U288" s="128">
        <f>MAX(U289:U290)</f>
        <v>5846.9982863705982</v>
      </c>
      <c r="V288" s="257">
        <f t="shared" si="42"/>
        <v>2809.3746796245487</v>
      </c>
      <c r="W288" s="257"/>
      <c r="X288" s="257"/>
      <c r="Y288" s="258"/>
      <c r="Z288" s="258"/>
      <c r="AA288" s="258"/>
      <c r="AB288" s="258"/>
      <c r="AC288" s="258"/>
      <c r="AD288" s="258"/>
      <c r="AE288" s="258"/>
      <c r="AF288" s="258"/>
      <c r="AG288" s="258"/>
      <c r="AH288" s="258"/>
      <c r="AI288" s="258"/>
      <c r="AJ288" s="258"/>
      <c r="AK288" s="258"/>
      <c r="AL288" s="258"/>
      <c r="AM288" s="258"/>
      <c r="AN288" s="258"/>
      <c r="AO288" s="258"/>
    </row>
    <row r="289" spans="1:41" s="259" customFormat="1" ht="36" customHeight="1" x14ac:dyDescent="0.25">
      <c r="A289" s="259">
        <v>1</v>
      </c>
      <c r="B289" s="135">
        <f>SUBTOTAL(103,$A$16:A289)</f>
        <v>264</v>
      </c>
      <c r="C289" s="94" t="s">
        <v>682</v>
      </c>
      <c r="D289" s="124">
        <v>1982</v>
      </c>
      <c r="E289" s="124"/>
      <c r="F289" s="129" t="s">
        <v>269</v>
      </c>
      <c r="G289" s="124">
        <v>3</v>
      </c>
      <c r="H289" s="124" t="s">
        <v>314</v>
      </c>
      <c r="I289" s="128">
        <v>1997.9</v>
      </c>
      <c r="J289" s="128">
        <v>1878.3</v>
      </c>
      <c r="K289" s="128">
        <v>1878.3</v>
      </c>
      <c r="L289" s="126">
        <v>88</v>
      </c>
      <c r="M289" s="124" t="s">
        <v>267</v>
      </c>
      <c r="N289" s="124" t="s">
        <v>268</v>
      </c>
      <c r="O289" s="127" t="s">
        <v>270</v>
      </c>
      <c r="P289" s="128">
        <v>5673791.2400000002</v>
      </c>
      <c r="Q289" s="128">
        <v>0</v>
      </c>
      <c r="R289" s="128">
        <v>0</v>
      </c>
      <c r="S289" s="128">
        <f>P289-Q289-R289</f>
        <v>5673791.2400000002</v>
      </c>
      <c r="T289" s="128">
        <f t="shared" si="39"/>
        <v>2839.877491365934</v>
      </c>
      <c r="U289" s="128">
        <v>3202.3195255017768</v>
      </c>
      <c r="V289" s="257">
        <f t="shared" si="42"/>
        <v>362.44203413584273</v>
      </c>
      <c r="W289" s="257">
        <f t="shared" ref="W289:W290" si="45">X289+Y289+Z289+AA289+AB289+AD289+AF289+AH289+AJ289+AL289+AN289+AO289</f>
        <v>3191.434015716502</v>
      </c>
      <c r="X289" s="257">
        <v>0</v>
      </c>
      <c r="Y289" s="258">
        <v>0</v>
      </c>
      <c r="Z289" s="258">
        <v>0</v>
      </c>
      <c r="AA289" s="258">
        <v>0</v>
      </c>
      <c r="AB289" s="258">
        <v>0</v>
      </c>
      <c r="AC289" s="258">
        <v>0</v>
      </c>
      <c r="AD289" s="258">
        <v>0</v>
      </c>
      <c r="AE289" s="258">
        <v>1022</v>
      </c>
      <c r="AF289" s="257">
        <f>6238.91*AE289/I289</f>
        <v>3191.434015716502</v>
      </c>
      <c r="AG289" s="258">
        <v>0</v>
      </c>
      <c r="AH289" s="257">
        <v>0</v>
      </c>
      <c r="AI289" s="258">
        <v>0</v>
      </c>
      <c r="AJ289" s="257">
        <v>0</v>
      </c>
      <c r="AK289" s="258">
        <v>0</v>
      </c>
      <c r="AL289" s="258">
        <v>0</v>
      </c>
      <c r="AM289" s="258">
        <v>0</v>
      </c>
      <c r="AN289" s="258"/>
      <c r="AO289" s="258">
        <v>0</v>
      </c>
    </row>
    <row r="290" spans="1:41" s="259" customFormat="1" ht="36" customHeight="1" x14ac:dyDescent="0.25">
      <c r="A290" s="259">
        <v>1</v>
      </c>
      <c r="B290" s="135">
        <f>SUBTOTAL(103,$A$16:A290)</f>
        <v>265</v>
      </c>
      <c r="C290" s="94" t="s">
        <v>680</v>
      </c>
      <c r="D290" s="124">
        <v>1972</v>
      </c>
      <c r="E290" s="124"/>
      <c r="F290" s="129" t="s">
        <v>269</v>
      </c>
      <c r="G290" s="124">
        <v>2</v>
      </c>
      <c r="H290" s="124" t="s">
        <v>306</v>
      </c>
      <c r="I290" s="128">
        <v>261.2</v>
      </c>
      <c r="J290" s="128">
        <v>233.2</v>
      </c>
      <c r="K290" s="128">
        <v>233.2</v>
      </c>
      <c r="L290" s="126">
        <v>16</v>
      </c>
      <c r="M290" s="124" t="s">
        <v>267</v>
      </c>
      <c r="N290" s="124" t="s">
        <v>268</v>
      </c>
      <c r="O290" s="127" t="s">
        <v>270</v>
      </c>
      <c r="P290" s="128">
        <v>1188504.2499999998</v>
      </c>
      <c r="Q290" s="128">
        <v>0</v>
      </c>
      <c r="R290" s="128">
        <v>0</v>
      </c>
      <c r="S290" s="128">
        <f>P290-Q290-R290</f>
        <v>1188504.2499999998</v>
      </c>
      <c r="T290" s="128">
        <f t="shared" si="39"/>
        <v>4550.1694104134758</v>
      </c>
      <c r="U290" s="128">
        <v>5846.9982863705982</v>
      </c>
      <c r="V290" s="257">
        <f t="shared" si="42"/>
        <v>1296.8288759571224</v>
      </c>
      <c r="W290" s="257">
        <f t="shared" si="45"/>
        <v>5827.1228315467079</v>
      </c>
      <c r="X290" s="257">
        <v>0</v>
      </c>
      <c r="Y290" s="258">
        <v>0</v>
      </c>
      <c r="Z290" s="258">
        <v>0</v>
      </c>
      <c r="AA290" s="258">
        <v>0</v>
      </c>
      <c r="AB290" s="258">
        <v>0</v>
      </c>
      <c r="AC290" s="258">
        <v>0</v>
      </c>
      <c r="AD290" s="258">
        <v>0</v>
      </c>
      <c r="AE290" s="258">
        <v>243.96</v>
      </c>
      <c r="AF290" s="257">
        <f>6238.91*AE290/I290</f>
        <v>5827.1228315467079</v>
      </c>
      <c r="AG290" s="258">
        <v>0</v>
      </c>
      <c r="AH290" s="257">
        <v>0</v>
      </c>
      <c r="AI290" s="258">
        <v>0</v>
      </c>
      <c r="AJ290" s="257">
        <v>0</v>
      </c>
      <c r="AK290" s="258">
        <v>0</v>
      </c>
      <c r="AL290" s="258">
        <v>0</v>
      </c>
      <c r="AM290" s="258">
        <v>0</v>
      </c>
      <c r="AN290" s="258"/>
      <c r="AO290" s="258">
        <v>0</v>
      </c>
    </row>
    <row r="291" spans="1:41" s="259" customFormat="1" ht="36" customHeight="1" x14ac:dyDescent="0.25">
      <c r="B291" s="94" t="s">
        <v>826</v>
      </c>
      <c r="C291" s="94"/>
      <c r="D291" s="124" t="s">
        <v>896</v>
      </c>
      <c r="E291" s="124" t="s">
        <v>896</v>
      </c>
      <c r="F291" s="124" t="s">
        <v>896</v>
      </c>
      <c r="G291" s="124" t="s">
        <v>896</v>
      </c>
      <c r="H291" s="124" t="s">
        <v>896</v>
      </c>
      <c r="I291" s="125">
        <f>SUM(I292:I296)</f>
        <v>4271.2</v>
      </c>
      <c r="J291" s="125">
        <f>SUM(J292:J296)</f>
        <v>4205.7</v>
      </c>
      <c r="K291" s="125">
        <f>SUM(K292:K296)</f>
        <v>4205.7</v>
      </c>
      <c r="L291" s="126">
        <f>SUM(L292:L296)</f>
        <v>227</v>
      </c>
      <c r="M291" s="124" t="s">
        <v>896</v>
      </c>
      <c r="N291" s="124" t="s">
        <v>896</v>
      </c>
      <c r="O291" s="127" t="s">
        <v>896</v>
      </c>
      <c r="P291" s="128">
        <v>12631186.800000001</v>
      </c>
      <c r="Q291" s="128">
        <f>SUM(Q292:Q296)</f>
        <v>0</v>
      </c>
      <c r="R291" s="128">
        <f>SUM(R292:R296)</f>
        <v>0</v>
      </c>
      <c r="S291" s="128">
        <f>SUM(S292:S296)</f>
        <v>12631186.800000001</v>
      </c>
      <c r="T291" s="128">
        <f t="shared" si="39"/>
        <v>2957.2922831991013</v>
      </c>
      <c r="U291" s="128">
        <f>MAX(U292:U296)</f>
        <v>7158.3378593542693</v>
      </c>
      <c r="V291" s="257">
        <f t="shared" si="42"/>
        <v>4201.0455761551675</v>
      </c>
      <c r="W291" s="257"/>
      <c r="X291" s="257"/>
      <c r="Y291" s="258"/>
      <c r="Z291" s="258"/>
      <c r="AA291" s="258"/>
      <c r="AB291" s="258"/>
      <c r="AC291" s="258"/>
      <c r="AD291" s="258"/>
      <c r="AE291" s="258"/>
      <c r="AF291" s="258"/>
      <c r="AG291" s="258"/>
      <c r="AH291" s="258"/>
      <c r="AI291" s="258"/>
      <c r="AJ291" s="258"/>
      <c r="AK291" s="258"/>
      <c r="AL291" s="258"/>
      <c r="AM291" s="258"/>
      <c r="AN291" s="258"/>
      <c r="AO291" s="258"/>
    </row>
    <row r="292" spans="1:41" s="259" customFormat="1" ht="36" customHeight="1" x14ac:dyDescent="0.25">
      <c r="A292" s="259">
        <v>1</v>
      </c>
      <c r="B292" s="135">
        <f>SUBTOTAL(103,$A$16:A292)</f>
        <v>266</v>
      </c>
      <c r="C292" s="94" t="s">
        <v>694</v>
      </c>
      <c r="D292" s="124">
        <v>1968</v>
      </c>
      <c r="E292" s="124">
        <v>2010</v>
      </c>
      <c r="F292" s="129" t="s">
        <v>269</v>
      </c>
      <c r="G292" s="124">
        <v>2</v>
      </c>
      <c r="H292" s="124" t="s">
        <v>305</v>
      </c>
      <c r="I292" s="128">
        <v>794.9</v>
      </c>
      <c r="J292" s="128">
        <v>734.9</v>
      </c>
      <c r="K292" s="128">
        <v>734.9</v>
      </c>
      <c r="L292" s="126">
        <v>32</v>
      </c>
      <c r="M292" s="124" t="s">
        <v>267</v>
      </c>
      <c r="N292" s="124" t="s">
        <v>343</v>
      </c>
      <c r="O292" s="127" t="s">
        <v>720</v>
      </c>
      <c r="P292" s="128">
        <v>3534439.81</v>
      </c>
      <c r="Q292" s="128">
        <v>0</v>
      </c>
      <c r="R292" s="128">
        <v>0</v>
      </c>
      <c r="S292" s="128">
        <f>P292-Q292-R292</f>
        <v>3534439.81</v>
      </c>
      <c r="T292" s="128">
        <f t="shared" si="39"/>
        <v>4446.3955340294378</v>
      </c>
      <c r="U292" s="128">
        <v>5683.4387092716061</v>
      </c>
      <c r="V292" s="257">
        <f t="shared" si="42"/>
        <v>1237.0431752421682</v>
      </c>
      <c r="W292" s="257">
        <f t="shared" ref="W292:W296" si="46">X292+Y292+Z292+AA292+AB292+AD292+AF292+AH292+AJ292+AL292+AN292+AO292</f>
        <v>5683.4387092716061</v>
      </c>
      <c r="X292" s="257">
        <v>0</v>
      </c>
      <c r="Y292" s="258">
        <v>0</v>
      </c>
      <c r="Z292" s="258">
        <v>0</v>
      </c>
      <c r="AA292" s="258">
        <v>0</v>
      </c>
      <c r="AB292" s="258">
        <v>0</v>
      </c>
      <c r="AC292" s="258">
        <v>0</v>
      </c>
      <c r="AD292" s="258">
        <v>0</v>
      </c>
      <c r="AE292" s="258">
        <v>0</v>
      </c>
      <c r="AF292" s="257">
        <v>0</v>
      </c>
      <c r="AG292" s="258">
        <v>0</v>
      </c>
      <c r="AH292" s="257">
        <v>0</v>
      </c>
      <c r="AI292" s="258">
        <v>607.29999999999995</v>
      </c>
      <c r="AJ292" s="257">
        <f>7439.1*AI292/I292</f>
        <v>5683.4387092716061</v>
      </c>
      <c r="AK292" s="258">
        <v>0</v>
      </c>
      <c r="AL292" s="258">
        <v>0</v>
      </c>
      <c r="AM292" s="258">
        <v>0</v>
      </c>
      <c r="AN292" s="258"/>
      <c r="AO292" s="258">
        <v>0</v>
      </c>
    </row>
    <row r="293" spans="1:41" s="259" customFormat="1" ht="36" customHeight="1" x14ac:dyDescent="0.25">
      <c r="A293" s="259">
        <v>1</v>
      </c>
      <c r="B293" s="135">
        <f>SUBTOTAL(103,$A$16:A293)</f>
        <v>267</v>
      </c>
      <c r="C293" s="94" t="s">
        <v>1206</v>
      </c>
      <c r="D293" s="124">
        <v>1963</v>
      </c>
      <c r="E293" s="124"/>
      <c r="F293" s="129" t="s">
        <v>269</v>
      </c>
      <c r="G293" s="124">
        <v>2</v>
      </c>
      <c r="H293" s="124" t="s">
        <v>305</v>
      </c>
      <c r="I293" s="128">
        <v>722.8</v>
      </c>
      <c r="J293" s="128">
        <v>720.3</v>
      </c>
      <c r="K293" s="128">
        <v>720.3</v>
      </c>
      <c r="L293" s="126">
        <v>42</v>
      </c>
      <c r="M293" s="124" t="s">
        <v>267</v>
      </c>
      <c r="N293" s="124" t="s">
        <v>343</v>
      </c>
      <c r="O293" s="127" t="s">
        <v>729</v>
      </c>
      <c r="P293" s="128">
        <v>2513294.65</v>
      </c>
      <c r="Q293" s="128">
        <v>0</v>
      </c>
      <c r="R293" s="128">
        <v>0</v>
      </c>
      <c r="S293" s="128">
        <f>P293-Q293-R293</f>
        <v>2513294.65</v>
      </c>
      <c r="T293" s="128">
        <f t="shared" si="39"/>
        <v>3477.1647066961814</v>
      </c>
      <c r="U293" s="128">
        <v>6661.020365246266</v>
      </c>
      <c r="V293" s="257">
        <f t="shared" si="42"/>
        <v>3183.8556585500846</v>
      </c>
      <c r="W293" s="257">
        <f t="shared" si="46"/>
        <v>6661.020365246266</v>
      </c>
      <c r="X293" s="257">
        <v>0</v>
      </c>
      <c r="Y293" s="258">
        <v>0</v>
      </c>
      <c r="Z293" s="258">
        <v>0</v>
      </c>
      <c r="AA293" s="258">
        <v>0</v>
      </c>
      <c r="AB293" s="258">
        <v>0</v>
      </c>
      <c r="AC293" s="258">
        <v>0</v>
      </c>
      <c r="AD293" s="258">
        <v>0</v>
      </c>
      <c r="AE293" s="258">
        <v>0</v>
      </c>
      <c r="AF293" s="257">
        <v>0</v>
      </c>
      <c r="AG293" s="258">
        <v>0</v>
      </c>
      <c r="AH293" s="257">
        <v>0</v>
      </c>
      <c r="AI293" s="258">
        <v>647.20000000000005</v>
      </c>
      <c r="AJ293" s="257">
        <f>7439.1*AI293/I293</f>
        <v>6661.020365246266</v>
      </c>
      <c r="AK293" s="258">
        <v>0</v>
      </c>
      <c r="AL293" s="258">
        <v>0</v>
      </c>
      <c r="AM293" s="258">
        <v>0</v>
      </c>
      <c r="AN293" s="258"/>
      <c r="AO293" s="258">
        <v>0</v>
      </c>
    </row>
    <row r="294" spans="1:41" s="259" customFormat="1" ht="36" customHeight="1" x14ac:dyDescent="0.25">
      <c r="A294" s="259">
        <v>1</v>
      </c>
      <c r="B294" s="135">
        <f>SUBTOTAL(103,$A$16:A294)</f>
        <v>268</v>
      </c>
      <c r="C294" s="94" t="s">
        <v>1207</v>
      </c>
      <c r="D294" s="124">
        <v>1973</v>
      </c>
      <c r="E294" s="124"/>
      <c r="F294" s="129" t="s">
        <v>269</v>
      </c>
      <c r="G294" s="124">
        <v>2</v>
      </c>
      <c r="H294" s="124" t="s">
        <v>306</v>
      </c>
      <c r="I294" s="128">
        <v>678.3</v>
      </c>
      <c r="J294" s="128">
        <v>678</v>
      </c>
      <c r="K294" s="128">
        <v>678</v>
      </c>
      <c r="L294" s="126">
        <v>57</v>
      </c>
      <c r="M294" s="124" t="s">
        <v>267</v>
      </c>
      <c r="N294" s="124" t="s">
        <v>343</v>
      </c>
      <c r="O294" s="127" t="s">
        <v>729</v>
      </c>
      <c r="P294" s="128">
        <v>2534240.8800000004</v>
      </c>
      <c r="Q294" s="128">
        <v>0</v>
      </c>
      <c r="R294" s="128">
        <v>0</v>
      </c>
      <c r="S294" s="128">
        <f>P294-Q294-R294</f>
        <v>2534240.8800000004</v>
      </c>
      <c r="T294" s="128">
        <f t="shared" si="39"/>
        <v>3736.1652366209651</v>
      </c>
      <c r="U294" s="128">
        <v>7158.3378593542693</v>
      </c>
      <c r="V294" s="257">
        <f t="shared" si="42"/>
        <v>3422.1726227333043</v>
      </c>
      <c r="W294" s="257">
        <f t="shared" si="46"/>
        <v>7158.3378593542693</v>
      </c>
      <c r="X294" s="257">
        <v>0</v>
      </c>
      <c r="Y294" s="258">
        <v>0</v>
      </c>
      <c r="Z294" s="258">
        <v>0</v>
      </c>
      <c r="AA294" s="258">
        <v>0</v>
      </c>
      <c r="AB294" s="258">
        <v>0</v>
      </c>
      <c r="AC294" s="258">
        <v>0</v>
      </c>
      <c r="AD294" s="258">
        <v>0</v>
      </c>
      <c r="AE294" s="258">
        <v>0</v>
      </c>
      <c r="AF294" s="257">
        <v>0</v>
      </c>
      <c r="AG294" s="258">
        <v>0</v>
      </c>
      <c r="AH294" s="257">
        <v>0</v>
      </c>
      <c r="AI294" s="258">
        <v>652.70000000000005</v>
      </c>
      <c r="AJ294" s="257">
        <f>7439.1*AI294/I294</f>
        <v>7158.3378593542693</v>
      </c>
      <c r="AK294" s="258">
        <v>0</v>
      </c>
      <c r="AL294" s="258">
        <v>0</v>
      </c>
      <c r="AM294" s="258">
        <v>0</v>
      </c>
      <c r="AN294" s="258"/>
      <c r="AO294" s="258">
        <v>0</v>
      </c>
    </row>
    <row r="295" spans="1:41" s="259" customFormat="1" ht="36" customHeight="1" x14ac:dyDescent="0.25">
      <c r="A295" s="259">
        <v>1</v>
      </c>
      <c r="B295" s="135">
        <f>SUBTOTAL(103,$A$16:A295)</f>
        <v>269</v>
      </c>
      <c r="C295" s="94" t="s">
        <v>1208</v>
      </c>
      <c r="D295" s="124">
        <v>1975</v>
      </c>
      <c r="E295" s="124"/>
      <c r="F295" s="129" t="s">
        <v>269</v>
      </c>
      <c r="G295" s="124">
        <v>2</v>
      </c>
      <c r="H295" s="124" t="s">
        <v>314</v>
      </c>
      <c r="I295" s="128">
        <v>984.2</v>
      </c>
      <c r="J295" s="128">
        <v>981.5</v>
      </c>
      <c r="K295" s="128">
        <v>981.5</v>
      </c>
      <c r="L295" s="126">
        <v>57</v>
      </c>
      <c r="M295" s="124" t="s">
        <v>267</v>
      </c>
      <c r="N295" s="124" t="s">
        <v>343</v>
      </c>
      <c r="O295" s="127" t="s">
        <v>729</v>
      </c>
      <c r="P295" s="128">
        <v>1391927.85</v>
      </c>
      <c r="Q295" s="128">
        <v>0</v>
      </c>
      <c r="R295" s="128">
        <v>0</v>
      </c>
      <c r="S295" s="128">
        <f>P295-Q295-R295</f>
        <v>1391927.85</v>
      </c>
      <c r="T295" s="128">
        <f t="shared" si="39"/>
        <v>1414.2733692338957</v>
      </c>
      <c r="U295" s="128">
        <v>3458.92</v>
      </c>
      <c r="V295" s="257">
        <f t="shared" si="42"/>
        <v>2044.6466307661044</v>
      </c>
      <c r="W295" s="257">
        <f t="shared" si="46"/>
        <v>3546.19</v>
      </c>
      <c r="X295" s="257">
        <v>101.55</v>
      </c>
      <c r="Y295" s="258">
        <v>0</v>
      </c>
      <c r="Z295" s="258">
        <v>3259.66</v>
      </c>
      <c r="AA295" s="258">
        <v>184.98</v>
      </c>
      <c r="AB295" s="258">
        <v>0</v>
      </c>
      <c r="AC295" s="258">
        <v>0</v>
      </c>
      <c r="AD295" s="258">
        <v>0</v>
      </c>
      <c r="AE295" s="258">
        <v>0</v>
      </c>
      <c r="AF295" s="257">
        <v>0</v>
      </c>
      <c r="AG295" s="258">
        <v>0</v>
      </c>
      <c r="AH295" s="257">
        <v>0</v>
      </c>
      <c r="AI295" s="258">
        <v>0</v>
      </c>
      <c r="AJ295" s="257">
        <v>0</v>
      </c>
      <c r="AK295" s="258">
        <v>0</v>
      </c>
      <c r="AL295" s="258">
        <v>0</v>
      </c>
      <c r="AM295" s="258">
        <v>0</v>
      </c>
      <c r="AN295" s="258"/>
      <c r="AO295" s="258">
        <v>0</v>
      </c>
    </row>
    <row r="296" spans="1:41" s="259" customFormat="1" ht="36" customHeight="1" x14ac:dyDescent="0.25">
      <c r="A296" s="259">
        <v>1</v>
      </c>
      <c r="B296" s="135">
        <f>SUBTOTAL(103,$A$16:A296)</f>
        <v>270</v>
      </c>
      <c r="C296" s="94" t="s">
        <v>1209</v>
      </c>
      <c r="D296" s="124">
        <v>1992</v>
      </c>
      <c r="E296" s="124"/>
      <c r="F296" s="129" t="s">
        <v>269</v>
      </c>
      <c r="G296" s="124">
        <v>3</v>
      </c>
      <c r="H296" s="124" t="s">
        <v>305</v>
      </c>
      <c r="I296" s="128">
        <v>1091</v>
      </c>
      <c r="J296" s="128">
        <v>1091</v>
      </c>
      <c r="K296" s="128">
        <v>1091</v>
      </c>
      <c r="L296" s="126">
        <v>39</v>
      </c>
      <c r="M296" s="124" t="s">
        <v>267</v>
      </c>
      <c r="N296" s="124" t="s">
        <v>271</v>
      </c>
      <c r="O296" s="127" t="s">
        <v>1341</v>
      </c>
      <c r="P296" s="128">
        <v>2657283.6100000003</v>
      </c>
      <c r="Q296" s="128">
        <v>0</v>
      </c>
      <c r="R296" s="128">
        <v>0</v>
      </c>
      <c r="S296" s="128">
        <f>P296-Q296-R296</f>
        <v>2657283.6100000003</v>
      </c>
      <c r="T296" s="128">
        <f t="shared" si="39"/>
        <v>2435.6403391384056</v>
      </c>
      <c r="U296" s="128">
        <v>2758.6738295142077</v>
      </c>
      <c r="V296" s="257">
        <f t="shared" si="42"/>
        <v>323.0334903758021</v>
      </c>
      <c r="W296" s="257">
        <f t="shared" si="46"/>
        <v>2758.6738295142077</v>
      </c>
      <c r="X296" s="257">
        <v>0</v>
      </c>
      <c r="Y296" s="258">
        <v>0</v>
      </c>
      <c r="Z296" s="258">
        <v>0</v>
      </c>
      <c r="AA296" s="258">
        <v>0</v>
      </c>
      <c r="AB296" s="258">
        <v>0</v>
      </c>
      <c r="AC296" s="258">
        <v>0</v>
      </c>
      <c r="AD296" s="258">
        <v>0</v>
      </c>
      <c r="AE296" s="258">
        <v>0</v>
      </c>
      <c r="AF296" s="257">
        <v>0</v>
      </c>
      <c r="AG296" s="258">
        <v>339.3</v>
      </c>
      <c r="AH296" s="257">
        <f>8870.36*AG296/I296</f>
        <v>2758.6738295142077</v>
      </c>
      <c r="AI296" s="258">
        <v>0</v>
      </c>
      <c r="AJ296" s="257">
        <v>0</v>
      </c>
      <c r="AK296" s="258">
        <v>0</v>
      </c>
      <c r="AL296" s="258">
        <v>0</v>
      </c>
      <c r="AM296" s="258">
        <v>0</v>
      </c>
      <c r="AN296" s="258"/>
      <c r="AO296" s="258">
        <v>0</v>
      </c>
    </row>
    <row r="297" spans="1:41" s="259" customFormat="1" ht="36" customHeight="1" x14ac:dyDescent="0.25">
      <c r="B297" s="94" t="s">
        <v>827</v>
      </c>
      <c r="C297" s="94"/>
      <c r="D297" s="124" t="s">
        <v>896</v>
      </c>
      <c r="E297" s="124" t="s">
        <v>896</v>
      </c>
      <c r="F297" s="124" t="s">
        <v>896</v>
      </c>
      <c r="G297" s="124" t="s">
        <v>896</v>
      </c>
      <c r="H297" s="124" t="s">
        <v>896</v>
      </c>
      <c r="I297" s="125">
        <f>SUM(I298:I302)</f>
        <v>3135.5000000000005</v>
      </c>
      <c r="J297" s="125">
        <f>SUM(J298:J302)</f>
        <v>2599.5</v>
      </c>
      <c r="K297" s="125">
        <f>SUM(K298:K302)</f>
        <v>2599.5</v>
      </c>
      <c r="L297" s="126">
        <f>SUM(L298:L302)</f>
        <v>130</v>
      </c>
      <c r="M297" s="124" t="s">
        <v>896</v>
      </c>
      <c r="N297" s="124" t="s">
        <v>896</v>
      </c>
      <c r="O297" s="127" t="s">
        <v>896</v>
      </c>
      <c r="P297" s="128">
        <v>4870600.45</v>
      </c>
      <c r="Q297" s="128">
        <f>SUM(Q298:Q302)</f>
        <v>0</v>
      </c>
      <c r="R297" s="128">
        <f>SUM(R298:R302)</f>
        <v>0</v>
      </c>
      <c r="S297" s="128">
        <f>SUM(S298:S302)</f>
        <v>4870600.45</v>
      </c>
      <c r="T297" s="128">
        <f t="shared" si="39"/>
        <v>1553.3728113538509</v>
      </c>
      <c r="U297" s="128">
        <f>MAX(U298:U302)</f>
        <v>4864.1082382610775</v>
      </c>
      <c r="V297" s="257">
        <f t="shared" si="42"/>
        <v>3310.7354269072266</v>
      </c>
      <c r="W297" s="257"/>
      <c r="X297" s="257"/>
      <c r="Y297" s="258"/>
      <c r="Z297" s="258"/>
      <c r="AA297" s="258"/>
      <c r="AB297" s="258"/>
      <c r="AC297" s="258"/>
      <c r="AD297" s="258"/>
      <c r="AE297" s="258"/>
      <c r="AF297" s="258"/>
      <c r="AG297" s="258"/>
      <c r="AH297" s="258"/>
      <c r="AI297" s="258"/>
      <c r="AJ297" s="258"/>
      <c r="AK297" s="258"/>
      <c r="AL297" s="258"/>
      <c r="AM297" s="258"/>
      <c r="AN297" s="258"/>
      <c r="AO297" s="258"/>
    </row>
    <row r="298" spans="1:41" s="259" customFormat="1" ht="36" customHeight="1" x14ac:dyDescent="0.25">
      <c r="A298" s="259">
        <v>1</v>
      </c>
      <c r="B298" s="135">
        <f>SUBTOTAL(103,$A$16:A298)</f>
        <v>271</v>
      </c>
      <c r="C298" s="94" t="s">
        <v>695</v>
      </c>
      <c r="D298" s="124">
        <v>1962</v>
      </c>
      <c r="E298" s="124"/>
      <c r="F298" s="129" t="s">
        <v>269</v>
      </c>
      <c r="G298" s="124">
        <v>2</v>
      </c>
      <c r="H298" s="124" t="s">
        <v>305</v>
      </c>
      <c r="I298" s="128">
        <v>832.7</v>
      </c>
      <c r="J298" s="128">
        <v>745</v>
      </c>
      <c r="K298" s="128">
        <v>745</v>
      </c>
      <c r="L298" s="126">
        <v>48</v>
      </c>
      <c r="M298" s="124" t="s">
        <v>267</v>
      </c>
      <c r="N298" s="124" t="s">
        <v>268</v>
      </c>
      <c r="O298" s="127" t="s">
        <v>270</v>
      </c>
      <c r="P298" s="128">
        <v>3466608.69</v>
      </c>
      <c r="Q298" s="128">
        <v>0</v>
      </c>
      <c r="R298" s="128">
        <v>0</v>
      </c>
      <c r="S298" s="128">
        <f>P298-Q298-R298</f>
        <v>3466608.69</v>
      </c>
      <c r="T298" s="128">
        <f t="shared" si="39"/>
        <v>4163.0943797285936</v>
      </c>
      <c r="U298" s="128">
        <v>4864.1082382610775</v>
      </c>
      <c r="V298" s="257">
        <f t="shared" si="42"/>
        <v>701.01385853248394</v>
      </c>
      <c r="W298" s="257">
        <f t="shared" ref="W298:W302" si="47">X298+Y298+Z298+AA298+AB298+AD298+AF298+AH298+AJ298+AL298+AN298+AO298</f>
        <v>4847.5738801489133</v>
      </c>
      <c r="X298" s="257">
        <v>0</v>
      </c>
      <c r="Y298" s="258">
        <v>0</v>
      </c>
      <c r="Z298" s="258">
        <v>0</v>
      </c>
      <c r="AA298" s="258">
        <v>0</v>
      </c>
      <c r="AB298" s="258">
        <v>0</v>
      </c>
      <c r="AC298" s="258">
        <v>0</v>
      </c>
      <c r="AD298" s="258">
        <v>0</v>
      </c>
      <c r="AE298" s="258">
        <v>647</v>
      </c>
      <c r="AF298" s="257">
        <f>6238.91*AE298/I298</f>
        <v>4847.5738801489133</v>
      </c>
      <c r="AG298" s="258">
        <v>0</v>
      </c>
      <c r="AH298" s="257">
        <v>0</v>
      </c>
      <c r="AI298" s="258">
        <v>0</v>
      </c>
      <c r="AJ298" s="257">
        <v>0</v>
      </c>
      <c r="AK298" s="258">
        <v>0</v>
      </c>
      <c r="AL298" s="258">
        <v>0</v>
      </c>
      <c r="AM298" s="258">
        <v>0</v>
      </c>
      <c r="AN298" s="258"/>
      <c r="AO298" s="258">
        <v>0</v>
      </c>
    </row>
    <row r="299" spans="1:41" s="259" customFormat="1" ht="36" customHeight="1" x14ac:dyDescent="0.25">
      <c r="A299" s="259">
        <v>1</v>
      </c>
      <c r="B299" s="135">
        <f>SUBTOTAL(103,$A$16:A299)</f>
        <v>272</v>
      </c>
      <c r="C299" s="94" t="s">
        <v>688</v>
      </c>
      <c r="D299" s="124">
        <v>1938</v>
      </c>
      <c r="E299" s="124"/>
      <c r="F299" s="129" t="s">
        <v>332</v>
      </c>
      <c r="G299" s="124">
        <v>2</v>
      </c>
      <c r="H299" s="124" t="s">
        <v>306</v>
      </c>
      <c r="I299" s="128">
        <v>244.9</v>
      </c>
      <c r="J299" s="128">
        <v>223.9</v>
      </c>
      <c r="K299" s="128">
        <v>223.9</v>
      </c>
      <c r="L299" s="126">
        <v>15</v>
      </c>
      <c r="M299" s="124" t="s">
        <v>267</v>
      </c>
      <c r="N299" s="124" t="s">
        <v>268</v>
      </c>
      <c r="O299" s="127" t="s">
        <v>270</v>
      </c>
      <c r="P299" s="128">
        <v>34358.44</v>
      </c>
      <c r="Q299" s="128">
        <v>0</v>
      </c>
      <c r="R299" s="128">
        <v>0</v>
      </c>
      <c r="S299" s="128">
        <f>P299-Q299-R299</f>
        <v>34358.44</v>
      </c>
      <c r="T299" s="128">
        <f t="shared" si="39"/>
        <v>140.29579420171498</v>
      </c>
      <c r="U299" s="128">
        <v>140.29579420171498</v>
      </c>
      <c r="V299" s="257">
        <f t="shared" si="42"/>
        <v>0</v>
      </c>
      <c r="W299" s="257">
        <f t="shared" si="47"/>
        <v>795.31</v>
      </c>
      <c r="X299" s="257">
        <v>0</v>
      </c>
      <c r="Y299" s="258">
        <v>0</v>
      </c>
      <c r="Z299" s="258">
        <v>0</v>
      </c>
      <c r="AA299" s="258">
        <v>0</v>
      </c>
      <c r="AB299" s="258">
        <v>795.31</v>
      </c>
      <c r="AC299" s="258">
        <v>0</v>
      </c>
      <c r="AD299" s="258">
        <v>0</v>
      </c>
      <c r="AE299" s="258">
        <v>0</v>
      </c>
      <c r="AF299" s="257">
        <v>0</v>
      </c>
      <c r="AG299" s="258">
        <v>0</v>
      </c>
      <c r="AH299" s="257">
        <v>0</v>
      </c>
      <c r="AI299" s="258">
        <v>0</v>
      </c>
      <c r="AJ299" s="257">
        <v>0</v>
      </c>
      <c r="AK299" s="258">
        <v>0</v>
      </c>
      <c r="AL299" s="258">
        <v>0</v>
      </c>
      <c r="AM299" s="258">
        <v>0</v>
      </c>
      <c r="AN299" s="258"/>
      <c r="AO299" s="258">
        <v>0</v>
      </c>
    </row>
    <row r="300" spans="1:41" s="259" customFormat="1" ht="36" customHeight="1" x14ac:dyDescent="0.25">
      <c r="A300" s="259">
        <v>1</v>
      </c>
      <c r="B300" s="135">
        <f>SUBTOTAL(103,$A$16:A300)</f>
        <v>273</v>
      </c>
      <c r="C300" s="94" t="s">
        <v>687</v>
      </c>
      <c r="D300" s="124">
        <v>1959</v>
      </c>
      <c r="E300" s="124"/>
      <c r="F300" s="129" t="s">
        <v>269</v>
      </c>
      <c r="G300" s="124">
        <v>3</v>
      </c>
      <c r="H300" s="124" t="s">
        <v>306</v>
      </c>
      <c r="I300" s="128">
        <v>989.5</v>
      </c>
      <c r="J300" s="128">
        <v>562.20000000000005</v>
      </c>
      <c r="K300" s="128">
        <v>562.20000000000005</v>
      </c>
      <c r="L300" s="126">
        <v>35</v>
      </c>
      <c r="M300" s="124" t="s">
        <v>267</v>
      </c>
      <c r="N300" s="124" t="s">
        <v>268</v>
      </c>
      <c r="O300" s="127" t="s">
        <v>270</v>
      </c>
      <c r="P300" s="128">
        <v>700445.75999999989</v>
      </c>
      <c r="Q300" s="128">
        <v>0</v>
      </c>
      <c r="R300" s="128">
        <v>0</v>
      </c>
      <c r="S300" s="128">
        <f>P300-Q300-R300</f>
        <v>700445.75999999989</v>
      </c>
      <c r="T300" s="128">
        <f t="shared" si="39"/>
        <v>707.87848408287005</v>
      </c>
      <c r="U300" s="128">
        <v>810.46</v>
      </c>
      <c r="V300" s="257">
        <f t="shared" si="42"/>
        <v>102.58151591712999</v>
      </c>
      <c r="W300" s="257">
        <f t="shared" si="47"/>
        <v>795.31</v>
      </c>
      <c r="X300" s="257">
        <v>0</v>
      </c>
      <c r="Y300" s="258">
        <v>0</v>
      </c>
      <c r="Z300" s="258">
        <v>0</v>
      </c>
      <c r="AA300" s="258">
        <v>0</v>
      </c>
      <c r="AB300" s="258">
        <v>795.31</v>
      </c>
      <c r="AC300" s="258">
        <v>0</v>
      </c>
      <c r="AD300" s="258">
        <v>0</v>
      </c>
      <c r="AE300" s="258">
        <v>0</v>
      </c>
      <c r="AF300" s="257">
        <v>0</v>
      </c>
      <c r="AG300" s="258">
        <v>0</v>
      </c>
      <c r="AH300" s="257">
        <v>0</v>
      </c>
      <c r="AI300" s="258">
        <v>0</v>
      </c>
      <c r="AJ300" s="257">
        <v>0</v>
      </c>
      <c r="AK300" s="258">
        <v>0</v>
      </c>
      <c r="AL300" s="258">
        <v>0</v>
      </c>
      <c r="AM300" s="258">
        <v>0</v>
      </c>
      <c r="AN300" s="258"/>
      <c r="AO300" s="258">
        <v>0</v>
      </c>
    </row>
    <row r="301" spans="1:41" s="259" customFormat="1" ht="36" customHeight="1" x14ac:dyDescent="0.25">
      <c r="A301" s="259">
        <v>1</v>
      </c>
      <c r="B301" s="135">
        <f>SUBTOTAL(103,$A$16:A301)</f>
        <v>274</v>
      </c>
      <c r="C301" s="94" t="s">
        <v>1214</v>
      </c>
      <c r="D301" s="124">
        <v>1971</v>
      </c>
      <c r="E301" s="124"/>
      <c r="F301" s="129" t="s">
        <v>269</v>
      </c>
      <c r="G301" s="124">
        <v>2</v>
      </c>
      <c r="H301" s="124" t="s">
        <v>305</v>
      </c>
      <c r="I301" s="128">
        <v>769.9</v>
      </c>
      <c r="J301" s="128">
        <v>769.9</v>
      </c>
      <c r="K301" s="128">
        <v>769.9</v>
      </c>
      <c r="L301" s="126">
        <v>21</v>
      </c>
      <c r="M301" s="124" t="s">
        <v>267</v>
      </c>
      <c r="N301" s="124" t="s">
        <v>271</v>
      </c>
      <c r="O301" s="127" t="s">
        <v>1340</v>
      </c>
      <c r="P301" s="128">
        <v>457734.2</v>
      </c>
      <c r="Q301" s="128">
        <v>0</v>
      </c>
      <c r="R301" s="128">
        <v>0</v>
      </c>
      <c r="S301" s="128">
        <f>P301-Q301-R301</f>
        <v>457734.2</v>
      </c>
      <c r="T301" s="128">
        <f t="shared" si="39"/>
        <v>594.53721262501631</v>
      </c>
      <c r="U301" s="128">
        <v>594.53721262501631</v>
      </c>
      <c r="V301" s="257">
        <f t="shared" si="42"/>
        <v>0</v>
      </c>
      <c r="W301" s="257">
        <f>T301</f>
        <v>594.53721262501631</v>
      </c>
      <c r="X301" s="257">
        <v>113.09</v>
      </c>
      <c r="Y301" s="258">
        <v>0</v>
      </c>
      <c r="Z301" s="258">
        <v>0</v>
      </c>
      <c r="AA301" s="258">
        <v>184.98</v>
      </c>
      <c r="AB301" s="258">
        <v>0</v>
      </c>
      <c r="AC301" s="258">
        <v>0</v>
      </c>
      <c r="AD301" s="258">
        <v>0</v>
      </c>
      <c r="AE301" s="258">
        <v>0</v>
      </c>
      <c r="AF301" s="257">
        <v>0</v>
      </c>
      <c r="AG301" s="258">
        <v>0</v>
      </c>
      <c r="AH301" s="257">
        <v>0</v>
      </c>
      <c r="AI301" s="258">
        <v>0</v>
      </c>
      <c r="AJ301" s="257">
        <v>0</v>
      </c>
      <c r="AK301" s="258">
        <v>0</v>
      </c>
      <c r="AL301" s="258">
        <v>0</v>
      </c>
      <c r="AM301" s="258">
        <v>0</v>
      </c>
      <c r="AN301" s="258"/>
      <c r="AO301" s="258">
        <v>0</v>
      </c>
    </row>
    <row r="302" spans="1:41" s="259" customFormat="1" ht="36" customHeight="1" x14ac:dyDescent="0.25">
      <c r="A302" s="259">
        <v>1</v>
      </c>
      <c r="B302" s="135">
        <f>SUBTOTAL(103,$A$16:A302)</f>
        <v>275</v>
      </c>
      <c r="C302" s="94" t="s">
        <v>1215</v>
      </c>
      <c r="D302" s="124" t="s">
        <v>369</v>
      </c>
      <c r="E302" s="124"/>
      <c r="F302" s="129" t="s">
        <v>269</v>
      </c>
      <c r="G302" s="124">
        <v>2</v>
      </c>
      <c r="H302" s="124" t="s">
        <v>306</v>
      </c>
      <c r="I302" s="128">
        <v>298.5</v>
      </c>
      <c r="J302" s="128">
        <v>298.5</v>
      </c>
      <c r="K302" s="128">
        <v>298.5</v>
      </c>
      <c r="L302" s="126">
        <v>11</v>
      </c>
      <c r="M302" s="124" t="s">
        <v>267</v>
      </c>
      <c r="N302" s="124" t="s">
        <v>271</v>
      </c>
      <c r="O302" s="127" t="s">
        <v>1004</v>
      </c>
      <c r="P302" s="128">
        <v>211453.36</v>
      </c>
      <c r="Q302" s="128">
        <v>0</v>
      </c>
      <c r="R302" s="128">
        <v>0</v>
      </c>
      <c r="S302" s="128">
        <f>P302-Q302-R302</f>
        <v>211453.36</v>
      </c>
      <c r="T302" s="128">
        <f t="shared" si="39"/>
        <v>708.38646566164152</v>
      </c>
      <c r="U302" s="128">
        <v>896.63</v>
      </c>
      <c r="V302" s="257">
        <f t="shared" si="42"/>
        <v>188.24353433835847</v>
      </c>
      <c r="W302" s="257">
        <f t="shared" si="47"/>
        <v>980.29</v>
      </c>
      <c r="X302" s="257">
        <v>0</v>
      </c>
      <c r="Y302" s="258">
        <v>0</v>
      </c>
      <c r="Z302" s="258">
        <v>0</v>
      </c>
      <c r="AA302" s="258">
        <v>184.98</v>
      </c>
      <c r="AB302" s="258">
        <v>795.31</v>
      </c>
      <c r="AC302" s="258">
        <v>0</v>
      </c>
      <c r="AD302" s="258">
        <v>0</v>
      </c>
      <c r="AE302" s="258">
        <v>0</v>
      </c>
      <c r="AF302" s="257">
        <v>0</v>
      </c>
      <c r="AG302" s="258">
        <v>0</v>
      </c>
      <c r="AH302" s="257">
        <v>0</v>
      </c>
      <c r="AI302" s="258">
        <v>0</v>
      </c>
      <c r="AJ302" s="257">
        <v>0</v>
      </c>
      <c r="AK302" s="258">
        <v>0</v>
      </c>
      <c r="AL302" s="258">
        <v>0</v>
      </c>
      <c r="AM302" s="258">
        <v>0</v>
      </c>
      <c r="AN302" s="258"/>
      <c r="AO302" s="258">
        <v>0</v>
      </c>
    </row>
    <row r="303" spans="1:41" s="259" customFormat="1" ht="36" customHeight="1" x14ac:dyDescent="0.25">
      <c r="B303" s="94" t="s">
        <v>828</v>
      </c>
      <c r="C303" s="94"/>
      <c r="D303" s="124" t="s">
        <v>896</v>
      </c>
      <c r="E303" s="124" t="s">
        <v>896</v>
      </c>
      <c r="F303" s="124" t="s">
        <v>896</v>
      </c>
      <c r="G303" s="124" t="s">
        <v>896</v>
      </c>
      <c r="H303" s="124" t="s">
        <v>896</v>
      </c>
      <c r="I303" s="125">
        <f>I304</f>
        <v>3504.3</v>
      </c>
      <c r="J303" s="125">
        <f>J304</f>
        <v>3162.4</v>
      </c>
      <c r="K303" s="125">
        <f>K304</f>
        <v>3162.4</v>
      </c>
      <c r="L303" s="126">
        <f>L304</f>
        <v>178</v>
      </c>
      <c r="M303" s="124" t="s">
        <v>896</v>
      </c>
      <c r="N303" s="124" t="s">
        <v>896</v>
      </c>
      <c r="O303" s="127" t="s">
        <v>896</v>
      </c>
      <c r="P303" s="128">
        <v>1997229.1400000001</v>
      </c>
      <c r="Q303" s="128">
        <f>Q304</f>
        <v>0</v>
      </c>
      <c r="R303" s="128">
        <f>R304</f>
        <v>0</v>
      </c>
      <c r="S303" s="128">
        <f>S304</f>
        <v>1997229.1400000001</v>
      </c>
      <c r="T303" s="128">
        <f t="shared" si="39"/>
        <v>569.93668921039864</v>
      </c>
      <c r="U303" s="128">
        <f>MAX(U304)</f>
        <v>1386.1453718859684</v>
      </c>
      <c r="V303" s="257">
        <f t="shared" si="42"/>
        <v>816.20868267556978</v>
      </c>
      <c r="W303" s="257"/>
      <c r="X303" s="257"/>
      <c r="Y303" s="258"/>
      <c r="Z303" s="258"/>
      <c r="AA303" s="258"/>
      <c r="AB303" s="258"/>
      <c r="AC303" s="258"/>
      <c r="AD303" s="258"/>
      <c r="AE303" s="258"/>
      <c r="AF303" s="258"/>
      <c r="AG303" s="258"/>
      <c r="AH303" s="258"/>
      <c r="AI303" s="258"/>
      <c r="AJ303" s="258"/>
      <c r="AK303" s="258"/>
      <c r="AL303" s="258"/>
      <c r="AM303" s="258"/>
      <c r="AN303" s="258"/>
      <c r="AO303" s="258"/>
    </row>
    <row r="304" spans="1:41" s="259" customFormat="1" ht="36" customHeight="1" x14ac:dyDescent="0.25">
      <c r="A304" s="259">
        <v>1</v>
      </c>
      <c r="B304" s="135">
        <f>SUBTOTAL(103,$A$16:A304)</f>
        <v>276</v>
      </c>
      <c r="C304" s="94" t="s">
        <v>685</v>
      </c>
      <c r="D304" s="124">
        <v>1984</v>
      </c>
      <c r="E304" s="124"/>
      <c r="F304" s="129" t="s">
        <v>338</v>
      </c>
      <c r="G304" s="124">
        <v>5</v>
      </c>
      <c r="H304" s="124" t="s">
        <v>310</v>
      </c>
      <c r="I304" s="128">
        <v>3504.3</v>
      </c>
      <c r="J304" s="128">
        <v>3162.4</v>
      </c>
      <c r="K304" s="128">
        <v>3162.4</v>
      </c>
      <c r="L304" s="126">
        <v>178</v>
      </c>
      <c r="M304" s="124" t="s">
        <v>267</v>
      </c>
      <c r="N304" s="124" t="s">
        <v>271</v>
      </c>
      <c r="O304" s="127" t="s">
        <v>1004</v>
      </c>
      <c r="P304" s="128">
        <v>1997229.1400000001</v>
      </c>
      <c r="Q304" s="128">
        <v>0</v>
      </c>
      <c r="R304" s="128">
        <v>0</v>
      </c>
      <c r="S304" s="128">
        <f>P304-Q304-R304</f>
        <v>1997229.1400000001</v>
      </c>
      <c r="T304" s="128">
        <f t="shared" si="39"/>
        <v>569.93668921039864</v>
      </c>
      <c r="U304" s="128">
        <v>1386.1453718859684</v>
      </c>
      <c r="V304" s="257">
        <f>U304-T304</f>
        <v>816.20868267556978</v>
      </c>
      <c r="W304" s="257">
        <f>X304+Y304+Z304+AA304+AB304+AD304+AF304+AH304+AJ304+AL304+AN304+AO304</f>
        <v>1381.433506349342</v>
      </c>
      <c r="X304" s="257">
        <v>0</v>
      </c>
      <c r="Y304" s="258">
        <v>0</v>
      </c>
      <c r="Z304" s="258">
        <v>0</v>
      </c>
      <c r="AA304" s="258">
        <v>0</v>
      </c>
      <c r="AB304" s="258">
        <v>0</v>
      </c>
      <c r="AC304" s="258">
        <v>0</v>
      </c>
      <c r="AD304" s="258">
        <v>0</v>
      </c>
      <c r="AE304" s="258">
        <v>775.93</v>
      </c>
      <c r="AF304" s="257">
        <f>6238.91*AE304/I304</f>
        <v>1381.433506349342</v>
      </c>
      <c r="AG304" s="258">
        <v>0</v>
      </c>
      <c r="AH304" s="257">
        <v>0</v>
      </c>
      <c r="AI304" s="258">
        <v>0</v>
      </c>
      <c r="AJ304" s="257">
        <v>0</v>
      </c>
      <c r="AK304" s="258">
        <v>0</v>
      </c>
      <c r="AL304" s="258">
        <v>0</v>
      </c>
      <c r="AM304" s="258">
        <v>0</v>
      </c>
      <c r="AN304" s="258"/>
      <c r="AO304" s="258">
        <v>0</v>
      </c>
    </row>
    <row r="305" spans="1:41" s="259" customFormat="1" ht="36" customHeight="1" x14ac:dyDescent="0.25">
      <c r="B305" s="94" t="s">
        <v>829</v>
      </c>
      <c r="C305" s="94"/>
      <c r="D305" s="124" t="s">
        <v>896</v>
      </c>
      <c r="E305" s="124" t="s">
        <v>896</v>
      </c>
      <c r="F305" s="124" t="s">
        <v>896</v>
      </c>
      <c r="G305" s="124" t="s">
        <v>896</v>
      </c>
      <c r="H305" s="124" t="s">
        <v>896</v>
      </c>
      <c r="I305" s="125">
        <f>SUM(I306:I320)</f>
        <v>37828.900000000009</v>
      </c>
      <c r="J305" s="125">
        <f>SUM(J306:J320)</f>
        <v>30630.800000000003</v>
      </c>
      <c r="K305" s="125">
        <f>SUM(K306:K320)</f>
        <v>30630.800000000003</v>
      </c>
      <c r="L305" s="126">
        <f>SUM(L306:L320)</f>
        <v>1989</v>
      </c>
      <c r="M305" s="124" t="s">
        <v>896</v>
      </c>
      <c r="N305" s="124" t="s">
        <v>896</v>
      </c>
      <c r="O305" s="127" t="s">
        <v>896</v>
      </c>
      <c r="P305" s="125">
        <v>30613647.209999997</v>
      </c>
      <c r="Q305" s="125">
        <f>SUM(Q306:Q320)</f>
        <v>0</v>
      </c>
      <c r="R305" s="125">
        <f>SUM(R306:R320)</f>
        <v>0</v>
      </c>
      <c r="S305" s="125">
        <f>SUM(S306:S320)</f>
        <v>30613647.209999997</v>
      </c>
      <c r="T305" s="128">
        <f t="shared" si="39"/>
        <v>809.26612219757885</v>
      </c>
      <c r="U305" s="128">
        <f>MAX(U306:U320)</f>
        <v>12723.513008849557</v>
      </c>
      <c r="V305" s="257">
        <f t="shared" si="42"/>
        <v>11914.246886651978</v>
      </c>
      <c r="W305" s="257"/>
      <c r="X305" s="257"/>
      <c r="Y305" s="258"/>
      <c r="Z305" s="258"/>
      <c r="AA305" s="258"/>
      <c r="AB305" s="258"/>
      <c r="AC305" s="258"/>
      <c r="AD305" s="258"/>
      <c r="AE305" s="258"/>
      <c r="AF305" s="258"/>
      <c r="AG305" s="258"/>
      <c r="AH305" s="258"/>
      <c r="AI305" s="258"/>
      <c r="AJ305" s="258"/>
      <c r="AK305" s="258"/>
      <c r="AL305" s="258"/>
      <c r="AM305" s="258"/>
      <c r="AN305" s="258"/>
      <c r="AO305" s="258"/>
    </row>
    <row r="306" spans="1:41" s="259" customFormat="1" ht="36" customHeight="1" x14ac:dyDescent="0.25">
      <c r="A306" s="259">
        <v>1</v>
      </c>
      <c r="B306" s="135">
        <f>SUBTOTAL(103,$A$16:A306)</f>
        <v>277</v>
      </c>
      <c r="C306" s="94" t="s">
        <v>689</v>
      </c>
      <c r="D306" s="124">
        <v>1981</v>
      </c>
      <c r="E306" s="124"/>
      <c r="F306" s="129" t="s">
        <v>269</v>
      </c>
      <c r="G306" s="124">
        <v>2</v>
      </c>
      <c r="H306" s="124">
        <v>3</v>
      </c>
      <c r="I306" s="128">
        <v>975</v>
      </c>
      <c r="J306" s="128">
        <v>975</v>
      </c>
      <c r="K306" s="128">
        <v>975</v>
      </c>
      <c r="L306" s="126">
        <v>47</v>
      </c>
      <c r="M306" s="124" t="s">
        <v>267</v>
      </c>
      <c r="N306" s="124" t="s">
        <v>268</v>
      </c>
      <c r="O306" s="127" t="s">
        <v>270</v>
      </c>
      <c r="P306" s="128">
        <v>95474.18</v>
      </c>
      <c r="Q306" s="128">
        <v>0</v>
      </c>
      <c r="R306" s="128">
        <v>0</v>
      </c>
      <c r="S306" s="128">
        <f t="shared" ref="S306:S318" si="48">P306-Q306-R306</f>
        <v>95474.18</v>
      </c>
      <c r="T306" s="128">
        <f t="shared" si="39"/>
        <v>97.922235897435897</v>
      </c>
      <c r="U306" s="128">
        <v>97.922235897435897</v>
      </c>
      <c r="V306" s="257">
        <f t="shared" si="42"/>
        <v>0</v>
      </c>
      <c r="W306" s="257">
        <f t="shared" ref="W306:W320" si="49">X306+Y306+Z306+AA306+AB306+AD306+AF306+AH306+AJ306+AL306+AN306+AO306</f>
        <v>5567.027384615385</v>
      </c>
      <c r="X306" s="257">
        <v>0</v>
      </c>
      <c r="Y306" s="258">
        <v>0</v>
      </c>
      <c r="Z306" s="258">
        <v>0</v>
      </c>
      <c r="AA306" s="258">
        <v>0</v>
      </c>
      <c r="AB306" s="258">
        <v>0</v>
      </c>
      <c r="AC306" s="258">
        <v>0</v>
      </c>
      <c r="AD306" s="258">
        <v>0</v>
      </c>
      <c r="AE306" s="258">
        <v>870</v>
      </c>
      <c r="AF306" s="257">
        <f>6238.91*AE306/I306</f>
        <v>5567.027384615385</v>
      </c>
      <c r="AG306" s="258">
        <v>0</v>
      </c>
      <c r="AH306" s="257">
        <v>0</v>
      </c>
      <c r="AI306" s="258">
        <v>0</v>
      </c>
      <c r="AJ306" s="257">
        <v>0</v>
      </c>
      <c r="AK306" s="258">
        <v>0</v>
      </c>
      <c r="AL306" s="258">
        <v>0</v>
      </c>
      <c r="AM306" s="258">
        <v>0</v>
      </c>
      <c r="AN306" s="258"/>
      <c r="AO306" s="258">
        <v>0</v>
      </c>
    </row>
    <row r="307" spans="1:41" s="259" customFormat="1" ht="36" customHeight="1" x14ac:dyDescent="0.25">
      <c r="A307" s="259">
        <v>1</v>
      </c>
      <c r="B307" s="135">
        <f>SUBTOTAL(103,$A$16:A307)</f>
        <v>278</v>
      </c>
      <c r="C307" s="94" t="s">
        <v>673</v>
      </c>
      <c r="D307" s="124">
        <v>1976</v>
      </c>
      <c r="E307" s="124"/>
      <c r="F307" s="129" t="s">
        <v>269</v>
      </c>
      <c r="G307" s="124">
        <v>5</v>
      </c>
      <c r="H307" s="124" t="s">
        <v>305</v>
      </c>
      <c r="I307" s="128">
        <v>3568.3</v>
      </c>
      <c r="J307" s="128">
        <v>1361.4</v>
      </c>
      <c r="K307" s="128">
        <v>1361.4</v>
      </c>
      <c r="L307" s="126">
        <v>30</v>
      </c>
      <c r="M307" s="124" t="s">
        <v>267</v>
      </c>
      <c r="N307" s="124" t="s">
        <v>271</v>
      </c>
      <c r="O307" s="127" t="s">
        <v>721</v>
      </c>
      <c r="P307" s="128">
        <v>6906704.6500000004</v>
      </c>
      <c r="Q307" s="128">
        <v>0</v>
      </c>
      <c r="R307" s="128">
        <v>0</v>
      </c>
      <c r="S307" s="128">
        <f t="shared" si="48"/>
        <v>6906704.6500000004</v>
      </c>
      <c r="T307" s="128">
        <f t="shared" si="39"/>
        <v>1935.5728638287139</v>
      </c>
      <c r="U307" s="128">
        <v>2210.5314575568195</v>
      </c>
      <c r="V307" s="257">
        <f t="shared" si="42"/>
        <v>274.9585937281056</v>
      </c>
      <c r="W307" s="257">
        <f t="shared" si="49"/>
        <v>2197.7720118824091</v>
      </c>
      <c r="X307" s="257">
        <v>0</v>
      </c>
      <c r="Y307" s="258">
        <v>0</v>
      </c>
      <c r="Z307" s="258">
        <v>0</v>
      </c>
      <c r="AA307" s="258">
        <v>0</v>
      </c>
      <c r="AB307" s="258">
        <v>0</v>
      </c>
      <c r="AC307" s="258">
        <v>0</v>
      </c>
      <c r="AD307" s="258">
        <v>0</v>
      </c>
      <c r="AE307" s="258">
        <v>1257</v>
      </c>
      <c r="AF307" s="257">
        <f>6238.91*AE307/I307</f>
        <v>2197.7720118824091</v>
      </c>
      <c r="AG307" s="258">
        <v>0</v>
      </c>
      <c r="AH307" s="257">
        <v>0</v>
      </c>
      <c r="AI307" s="258">
        <v>0</v>
      </c>
      <c r="AJ307" s="257">
        <v>0</v>
      </c>
      <c r="AK307" s="258">
        <v>0</v>
      </c>
      <c r="AL307" s="258">
        <v>0</v>
      </c>
      <c r="AM307" s="258">
        <v>0</v>
      </c>
      <c r="AN307" s="258"/>
      <c r="AO307" s="258">
        <v>0</v>
      </c>
    </row>
    <row r="308" spans="1:41" s="259" customFormat="1" ht="36" customHeight="1" x14ac:dyDescent="0.25">
      <c r="A308" s="259">
        <v>1</v>
      </c>
      <c r="B308" s="135">
        <f>SUBTOTAL(103,$A$16:A308)</f>
        <v>279</v>
      </c>
      <c r="C308" s="94" t="s">
        <v>668</v>
      </c>
      <c r="D308" s="124">
        <v>1985</v>
      </c>
      <c r="E308" s="124"/>
      <c r="F308" s="129" t="s">
        <v>269</v>
      </c>
      <c r="G308" s="124">
        <v>9</v>
      </c>
      <c r="H308" s="124" t="s">
        <v>306</v>
      </c>
      <c r="I308" s="128">
        <v>4900.3</v>
      </c>
      <c r="J308" s="128">
        <v>4900.3</v>
      </c>
      <c r="K308" s="128">
        <v>4900.3</v>
      </c>
      <c r="L308" s="126">
        <v>361</v>
      </c>
      <c r="M308" s="124" t="s">
        <v>267</v>
      </c>
      <c r="N308" s="124" t="s">
        <v>271</v>
      </c>
      <c r="O308" s="127" t="s">
        <v>721</v>
      </c>
      <c r="P308" s="128">
        <v>1863696.8900000001</v>
      </c>
      <c r="Q308" s="128">
        <v>0</v>
      </c>
      <c r="R308" s="128">
        <v>0</v>
      </c>
      <c r="S308" s="128">
        <f t="shared" si="48"/>
        <v>1863696.8900000001</v>
      </c>
      <c r="T308" s="128">
        <f t="shared" si="39"/>
        <v>380.3230189988368</v>
      </c>
      <c r="U308" s="128">
        <v>1149.7604228312553</v>
      </c>
      <c r="V308" s="257">
        <f t="shared" si="42"/>
        <v>769.43740383241845</v>
      </c>
      <c r="W308" s="257">
        <f t="shared" si="49"/>
        <v>1145.8520906883252</v>
      </c>
      <c r="X308" s="257">
        <v>0</v>
      </c>
      <c r="Y308" s="258">
        <v>0</v>
      </c>
      <c r="Z308" s="258">
        <v>0</v>
      </c>
      <c r="AA308" s="258">
        <v>0</v>
      </c>
      <c r="AB308" s="258">
        <v>0</v>
      </c>
      <c r="AC308" s="258">
        <v>0</v>
      </c>
      <c r="AD308" s="258">
        <v>0</v>
      </c>
      <c r="AE308" s="258">
        <v>900</v>
      </c>
      <c r="AF308" s="257">
        <f>6238.91*AE308/I308</f>
        <v>1145.8520906883252</v>
      </c>
      <c r="AG308" s="258">
        <v>0</v>
      </c>
      <c r="AH308" s="257">
        <v>0</v>
      </c>
      <c r="AI308" s="258">
        <v>0</v>
      </c>
      <c r="AJ308" s="257">
        <v>0</v>
      </c>
      <c r="AK308" s="258">
        <v>0</v>
      </c>
      <c r="AL308" s="258">
        <v>0</v>
      </c>
      <c r="AM308" s="258">
        <v>0</v>
      </c>
      <c r="AN308" s="258"/>
      <c r="AO308" s="258">
        <v>0</v>
      </c>
    </row>
    <row r="309" spans="1:41" s="259" customFormat="1" ht="36" customHeight="1" x14ac:dyDescent="0.25">
      <c r="A309" s="259">
        <v>1</v>
      </c>
      <c r="B309" s="135">
        <f>SUBTOTAL(103,$A$16:A309)</f>
        <v>280</v>
      </c>
      <c r="C309" s="94" t="s">
        <v>669</v>
      </c>
      <c r="D309" s="124">
        <v>1992</v>
      </c>
      <c r="E309" s="124"/>
      <c r="F309" s="129" t="s">
        <v>269</v>
      </c>
      <c r="G309" s="124">
        <v>9</v>
      </c>
      <c r="H309" s="124" t="s">
        <v>306</v>
      </c>
      <c r="I309" s="128">
        <v>4865.3</v>
      </c>
      <c r="J309" s="128">
        <v>4865.3</v>
      </c>
      <c r="K309" s="128">
        <v>4865.3</v>
      </c>
      <c r="L309" s="126">
        <v>369</v>
      </c>
      <c r="M309" s="124" t="s">
        <v>267</v>
      </c>
      <c r="N309" s="124" t="s">
        <v>271</v>
      </c>
      <c r="O309" s="127" t="s">
        <v>721</v>
      </c>
      <c r="P309" s="128">
        <v>1501509.27</v>
      </c>
      <c r="Q309" s="128">
        <v>0</v>
      </c>
      <c r="R309" s="128">
        <v>0</v>
      </c>
      <c r="S309" s="128">
        <f t="shared" si="48"/>
        <v>1501509.27</v>
      </c>
      <c r="T309" s="128">
        <f t="shared" si="39"/>
        <v>308.61596818284585</v>
      </c>
      <c r="U309" s="128">
        <v>1012.7629434978314</v>
      </c>
      <c r="V309" s="257">
        <f t="shared" si="42"/>
        <v>704.14697531498564</v>
      </c>
      <c r="W309" s="257">
        <f t="shared" si="49"/>
        <v>1154.0951226029226</v>
      </c>
      <c r="X309" s="257">
        <v>0</v>
      </c>
      <c r="Y309" s="258">
        <v>0</v>
      </c>
      <c r="Z309" s="258">
        <v>0</v>
      </c>
      <c r="AA309" s="258">
        <v>0</v>
      </c>
      <c r="AB309" s="258">
        <v>0</v>
      </c>
      <c r="AC309" s="258">
        <v>0</v>
      </c>
      <c r="AD309" s="258">
        <v>0</v>
      </c>
      <c r="AE309" s="258">
        <v>900</v>
      </c>
      <c r="AF309" s="257">
        <f>6238.91*AE309/I309</f>
        <v>1154.0951226029226</v>
      </c>
      <c r="AG309" s="258">
        <v>0</v>
      </c>
      <c r="AH309" s="257">
        <v>0</v>
      </c>
      <c r="AI309" s="258">
        <v>0</v>
      </c>
      <c r="AJ309" s="257">
        <v>0</v>
      </c>
      <c r="AK309" s="258">
        <v>0</v>
      </c>
      <c r="AL309" s="258">
        <v>0</v>
      </c>
      <c r="AM309" s="258">
        <v>0</v>
      </c>
      <c r="AN309" s="258"/>
      <c r="AO309" s="258">
        <v>0</v>
      </c>
    </row>
    <row r="310" spans="1:41" s="259" customFormat="1" ht="36" customHeight="1" x14ac:dyDescent="0.25">
      <c r="A310" s="259">
        <v>1</v>
      </c>
      <c r="B310" s="135">
        <f>SUBTOTAL(103,$A$16:A310)</f>
        <v>281</v>
      </c>
      <c r="C310" s="94" t="s">
        <v>670</v>
      </c>
      <c r="D310" s="124">
        <v>1982</v>
      </c>
      <c r="E310" s="124"/>
      <c r="F310" s="129" t="s">
        <v>269</v>
      </c>
      <c r="G310" s="124">
        <v>9</v>
      </c>
      <c r="H310" s="124" t="s">
        <v>306</v>
      </c>
      <c r="I310" s="128">
        <v>4912.2</v>
      </c>
      <c r="J310" s="128">
        <v>2461.6999999999998</v>
      </c>
      <c r="K310" s="128">
        <v>2461.6999999999998</v>
      </c>
      <c r="L310" s="126">
        <v>369</v>
      </c>
      <c r="M310" s="124" t="s">
        <v>267</v>
      </c>
      <c r="N310" s="124" t="s">
        <v>271</v>
      </c>
      <c r="O310" s="127" t="s">
        <v>721</v>
      </c>
      <c r="P310" s="128">
        <v>1863696.87</v>
      </c>
      <c r="Q310" s="128">
        <v>0</v>
      </c>
      <c r="R310" s="128">
        <v>0</v>
      </c>
      <c r="S310" s="128">
        <f t="shared" si="48"/>
        <v>1863696.87</v>
      </c>
      <c r="T310" s="128">
        <f t="shared" si="39"/>
        <v>379.40166727739103</v>
      </c>
      <c r="U310" s="128">
        <v>1146.9750824477831</v>
      </c>
      <c r="V310" s="257">
        <f t="shared" si="42"/>
        <v>767.57341517039208</v>
      </c>
      <c r="W310" s="257">
        <f t="shared" si="49"/>
        <v>1143.0762183950164</v>
      </c>
      <c r="X310" s="257">
        <v>0</v>
      </c>
      <c r="Y310" s="258">
        <v>0</v>
      </c>
      <c r="Z310" s="258">
        <v>0</v>
      </c>
      <c r="AA310" s="258">
        <v>0</v>
      </c>
      <c r="AB310" s="258">
        <v>0</v>
      </c>
      <c r="AC310" s="258">
        <v>0</v>
      </c>
      <c r="AD310" s="258">
        <v>0</v>
      </c>
      <c r="AE310" s="258">
        <v>900</v>
      </c>
      <c r="AF310" s="257">
        <f>6238.91*AE310/I310</f>
        <v>1143.0762183950164</v>
      </c>
      <c r="AG310" s="258">
        <v>0</v>
      </c>
      <c r="AH310" s="257">
        <v>0</v>
      </c>
      <c r="AI310" s="258">
        <v>0</v>
      </c>
      <c r="AJ310" s="257">
        <v>0</v>
      </c>
      <c r="AK310" s="258">
        <v>0</v>
      </c>
      <c r="AL310" s="258">
        <v>0</v>
      </c>
      <c r="AM310" s="258">
        <v>0</v>
      </c>
      <c r="AN310" s="258"/>
      <c r="AO310" s="258">
        <v>0</v>
      </c>
    </row>
    <row r="311" spans="1:41" s="259" customFormat="1" ht="36" customHeight="1" x14ac:dyDescent="0.25">
      <c r="A311" s="259">
        <v>1</v>
      </c>
      <c r="B311" s="135">
        <f>SUBTOTAL(103,$A$16:A311)</f>
        <v>282</v>
      </c>
      <c r="C311" s="94" t="s">
        <v>663</v>
      </c>
      <c r="D311" s="124">
        <v>1994</v>
      </c>
      <c r="E311" s="124"/>
      <c r="F311" s="129" t="s">
        <v>269</v>
      </c>
      <c r="G311" s="124">
        <v>9</v>
      </c>
      <c r="H311" s="124">
        <v>1</v>
      </c>
      <c r="I311" s="128">
        <v>4455.3</v>
      </c>
      <c r="J311" s="128">
        <v>2847.7</v>
      </c>
      <c r="K311" s="128">
        <v>2847.7</v>
      </c>
      <c r="L311" s="126">
        <v>211</v>
      </c>
      <c r="M311" s="124" t="s">
        <v>267</v>
      </c>
      <c r="N311" s="124" t="s">
        <v>343</v>
      </c>
      <c r="O311" s="127" t="s">
        <v>722</v>
      </c>
      <c r="P311" s="128">
        <v>3346564.4</v>
      </c>
      <c r="Q311" s="128">
        <v>0</v>
      </c>
      <c r="R311" s="128">
        <v>0</v>
      </c>
      <c r="S311" s="128">
        <f t="shared" si="48"/>
        <v>3346564.4</v>
      </c>
      <c r="T311" s="128">
        <f t="shared" si="39"/>
        <v>751.14232487150127</v>
      </c>
      <c r="U311" s="128">
        <v>1103.3151527394339</v>
      </c>
      <c r="V311" s="257">
        <f t="shared" si="42"/>
        <v>352.1728278679326</v>
      </c>
      <c r="W311" s="257">
        <f t="shared" si="49"/>
        <v>1103.3151527394339</v>
      </c>
      <c r="X311" s="257">
        <v>0</v>
      </c>
      <c r="Y311" s="258">
        <v>0</v>
      </c>
      <c r="Z311" s="258">
        <v>0</v>
      </c>
      <c r="AA311" s="258">
        <v>0</v>
      </c>
      <c r="AB311" s="258">
        <v>0</v>
      </c>
      <c r="AC311" s="258">
        <v>2</v>
      </c>
      <c r="AD311" s="257">
        <f>2457800*AC311/I311</f>
        <v>1103.3151527394339</v>
      </c>
      <c r="AE311" s="258">
        <v>0</v>
      </c>
      <c r="AF311" s="257">
        <v>0</v>
      </c>
      <c r="AG311" s="258">
        <v>0</v>
      </c>
      <c r="AH311" s="257">
        <v>0</v>
      </c>
      <c r="AI311" s="258">
        <v>0</v>
      </c>
      <c r="AJ311" s="257">
        <v>0</v>
      </c>
      <c r="AK311" s="258">
        <v>0</v>
      </c>
      <c r="AL311" s="258">
        <v>0</v>
      </c>
      <c r="AM311" s="258">
        <v>0</v>
      </c>
      <c r="AN311" s="258"/>
      <c r="AO311" s="258">
        <v>0</v>
      </c>
    </row>
    <row r="312" spans="1:41" s="259" customFormat="1" ht="36" customHeight="1" x14ac:dyDescent="0.25">
      <c r="A312" s="259">
        <v>1</v>
      </c>
      <c r="B312" s="135">
        <f>SUBTOTAL(103,$A$16:A312)</f>
        <v>283</v>
      </c>
      <c r="C312" s="94" t="s">
        <v>676</v>
      </c>
      <c r="D312" s="124">
        <v>1917</v>
      </c>
      <c r="E312" s="124"/>
      <c r="F312" s="129" t="s">
        <v>269</v>
      </c>
      <c r="G312" s="124">
        <v>2</v>
      </c>
      <c r="H312" s="124" t="s">
        <v>305</v>
      </c>
      <c r="I312" s="128">
        <v>722.2</v>
      </c>
      <c r="J312" s="128">
        <v>514</v>
      </c>
      <c r="K312" s="128">
        <v>514</v>
      </c>
      <c r="L312" s="126">
        <v>21</v>
      </c>
      <c r="M312" s="124" t="s">
        <v>267</v>
      </c>
      <c r="N312" s="124" t="s">
        <v>268</v>
      </c>
      <c r="O312" s="127" t="s">
        <v>270</v>
      </c>
      <c r="P312" s="128">
        <v>101554.75</v>
      </c>
      <c r="Q312" s="128">
        <v>0</v>
      </c>
      <c r="R312" s="128">
        <v>0</v>
      </c>
      <c r="S312" s="128">
        <f t="shared" si="48"/>
        <v>101554.75</v>
      </c>
      <c r="T312" s="128">
        <f t="shared" si="39"/>
        <v>140.61859595679866</v>
      </c>
      <c r="U312" s="128">
        <v>140.61859595679866</v>
      </c>
      <c r="V312" s="257">
        <f t="shared" si="42"/>
        <v>0</v>
      </c>
      <c r="W312" s="257">
        <f>T312</f>
        <v>140.61859595679866</v>
      </c>
      <c r="X312" s="257">
        <v>0</v>
      </c>
      <c r="Y312" s="258">
        <v>0</v>
      </c>
      <c r="Z312" s="258">
        <v>0</v>
      </c>
      <c r="AA312" s="258">
        <v>0</v>
      </c>
      <c r="AB312" s="258">
        <v>0</v>
      </c>
      <c r="AC312" s="258">
        <v>0</v>
      </c>
      <c r="AD312" s="258">
        <v>0</v>
      </c>
      <c r="AE312" s="258">
        <v>0</v>
      </c>
      <c r="AF312" s="257">
        <v>0</v>
      </c>
      <c r="AG312" s="258">
        <v>0</v>
      </c>
      <c r="AH312" s="257">
        <v>0</v>
      </c>
      <c r="AI312" s="258">
        <v>0</v>
      </c>
      <c r="AJ312" s="257">
        <v>0</v>
      </c>
      <c r="AK312" s="258">
        <v>0</v>
      </c>
      <c r="AL312" s="258">
        <v>0</v>
      </c>
      <c r="AM312" s="258">
        <v>0</v>
      </c>
      <c r="AN312" s="258"/>
      <c r="AO312" s="258">
        <v>0</v>
      </c>
    </row>
    <row r="313" spans="1:41" s="259" customFormat="1" ht="36" customHeight="1" x14ac:dyDescent="0.25">
      <c r="A313" s="259">
        <v>1</v>
      </c>
      <c r="B313" s="135">
        <f>SUBTOTAL(103,$A$16:A313)</f>
        <v>284</v>
      </c>
      <c r="C313" s="94" t="s">
        <v>664</v>
      </c>
      <c r="D313" s="124">
        <v>1963</v>
      </c>
      <c r="E313" s="124"/>
      <c r="F313" s="129" t="s">
        <v>269</v>
      </c>
      <c r="G313" s="124">
        <v>3</v>
      </c>
      <c r="H313" s="124" t="s">
        <v>305</v>
      </c>
      <c r="I313" s="128">
        <v>1703.8</v>
      </c>
      <c r="J313" s="128">
        <v>1339.8</v>
      </c>
      <c r="K313" s="128">
        <v>1339.8</v>
      </c>
      <c r="L313" s="126">
        <v>62</v>
      </c>
      <c r="M313" s="124" t="s">
        <v>267</v>
      </c>
      <c r="N313" s="124" t="s">
        <v>271</v>
      </c>
      <c r="O313" s="127" t="s">
        <v>723</v>
      </c>
      <c r="P313" s="128">
        <v>104089.37</v>
      </c>
      <c r="Q313" s="128">
        <v>0</v>
      </c>
      <c r="R313" s="128">
        <v>0</v>
      </c>
      <c r="S313" s="128">
        <f t="shared" si="48"/>
        <v>104089.37</v>
      </c>
      <c r="T313" s="128">
        <f t="shared" si="39"/>
        <v>61.092481511914542</v>
      </c>
      <c r="U313" s="128">
        <v>61.092481511914542</v>
      </c>
      <c r="V313" s="257">
        <f t="shared" si="42"/>
        <v>0</v>
      </c>
      <c r="W313" s="257">
        <f t="shared" si="49"/>
        <v>3630.636967367062</v>
      </c>
      <c r="X313" s="257">
        <v>0</v>
      </c>
      <c r="Y313" s="258">
        <v>0</v>
      </c>
      <c r="Z313" s="258">
        <v>0</v>
      </c>
      <c r="AA313" s="258">
        <v>0</v>
      </c>
      <c r="AB313" s="258">
        <v>0</v>
      </c>
      <c r="AC313" s="258">
        <v>0</v>
      </c>
      <c r="AD313" s="258">
        <v>0</v>
      </c>
      <c r="AE313" s="258">
        <v>991.5</v>
      </c>
      <c r="AF313" s="257">
        <f>6238.91*AE313/I313</f>
        <v>3630.636967367062</v>
      </c>
      <c r="AG313" s="258">
        <v>0</v>
      </c>
      <c r="AH313" s="257">
        <v>0</v>
      </c>
      <c r="AI313" s="258">
        <v>0</v>
      </c>
      <c r="AJ313" s="257">
        <v>0</v>
      </c>
      <c r="AK313" s="258">
        <v>0</v>
      </c>
      <c r="AL313" s="258">
        <v>0</v>
      </c>
      <c r="AM313" s="258">
        <v>0</v>
      </c>
      <c r="AN313" s="258"/>
      <c r="AO313" s="258">
        <v>0</v>
      </c>
    </row>
    <row r="314" spans="1:41" s="259" customFormat="1" ht="36" customHeight="1" x14ac:dyDescent="0.25">
      <c r="A314" s="259">
        <v>1</v>
      </c>
      <c r="B314" s="135">
        <f>SUBTOTAL(103,$A$16:A314)</f>
        <v>285</v>
      </c>
      <c r="C314" s="94" t="s">
        <v>1205</v>
      </c>
      <c r="D314" s="124">
        <v>1900</v>
      </c>
      <c r="E314" s="124"/>
      <c r="F314" s="129" t="s">
        <v>269</v>
      </c>
      <c r="G314" s="124">
        <v>2</v>
      </c>
      <c r="H314" s="124" t="s">
        <v>2294</v>
      </c>
      <c r="I314" s="128">
        <v>520.9</v>
      </c>
      <c r="J314" s="128">
        <v>520.9</v>
      </c>
      <c r="K314" s="128">
        <v>520.9</v>
      </c>
      <c r="L314" s="126">
        <v>26</v>
      </c>
      <c r="M314" s="124" t="s">
        <v>267</v>
      </c>
      <c r="N314" s="124" t="s">
        <v>268</v>
      </c>
      <c r="O314" s="127" t="s">
        <v>270</v>
      </c>
      <c r="P314" s="128">
        <v>4250155.2699999996</v>
      </c>
      <c r="Q314" s="128">
        <v>0</v>
      </c>
      <c r="R314" s="128">
        <v>0</v>
      </c>
      <c r="S314" s="128">
        <f t="shared" si="48"/>
        <v>4250155.2699999996</v>
      </c>
      <c r="T314" s="128">
        <f t="shared" si="39"/>
        <v>8159.2537339220571</v>
      </c>
      <c r="U314" s="128">
        <v>11459.188260702631</v>
      </c>
      <c r="V314" s="257">
        <f t="shared" si="42"/>
        <v>3299.9345267805738</v>
      </c>
      <c r="W314" s="257">
        <f t="shared" si="49"/>
        <v>11420.235525052793</v>
      </c>
      <c r="X314" s="257">
        <v>0</v>
      </c>
      <c r="Y314" s="258">
        <v>0</v>
      </c>
      <c r="Z314" s="258">
        <v>0</v>
      </c>
      <c r="AA314" s="258">
        <v>0</v>
      </c>
      <c r="AB314" s="258">
        <v>0</v>
      </c>
      <c r="AC314" s="258">
        <v>0</v>
      </c>
      <c r="AD314" s="258">
        <v>0</v>
      </c>
      <c r="AE314" s="258">
        <v>953.5</v>
      </c>
      <c r="AF314" s="257">
        <f>6238.91*AE314/I314</f>
        <v>11420.235525052793</v>
      </c>
      <c r="AG314" s="258">
        <v>0</v>
      </c>
      <c r="AH314" s="257">
        <v>0</v>
      </c>
      <c r="AI314" s="258">
        <v>0</v>
      </c>
      <c r="AJ314" s="257">
        <v>0</v>
      </c>
      <c r="AK314" s="258">
        <v>0</v>
      </c>
      <c r="AL314" s="258">
        <v>0</v>
      </c>
      <c r="AM314" s="258">
        <v>0</v>
      </c>
      <c r="AN314" s="258"/>
      <c r="AO314" s="258">
        <v>0</v>
      </c>
    </row>
    <row r="315" spans="1:41" s="259" customFormat="1" ht="36" customHeight="1" x14ac:dyDescent="0.25">
      <c r="A315" s="259">
        <v>1</v>
      </c>
      <c r="B315" s="135">
        <f>SUBTOTAL(103,$A$16:A315)</f>
        <v>286</v>
      </c>
      <c r="C315" s="94" t="s">
        <v>1210</v>
      </c>
      <c r="D315" s="124" t="s">
        <v>331</v>
      </c>
      <c r="E315" s="124">
        <v>2016</v>
      </c>
      <c r="F315" s="129" t="s">
        <v>269</v>
      </c>
      <c r="G315" s="124">
        <v>9</v>
      </c>
      <c r="H315" s="124" t="s">
        <v>310</v>
      </c>
      <c r="I315" s="128">
        <v>8964.4</v>
      </c>
      <c r="J315" s="128">
        <v>8964.4</v>
      </c>
      <c r="K315" s="128">
        <v>8964.4</v>
      </c>
      <c r="L315" s="126">
        <v>344</v>
      </c>
      <c r="M315" s="124" t="s">
        <v>267</v>
      </c>
      <c r="N315" s="124" t="s">
        <v>271</v>
      </c>
      <c r="O315" s="127" t="s">
        <v>1339</v>
      </c>
      <c r="P315" s="128">
        <v>5425723.8799999999</v>
      </c>
      <c r="Q315" s="128">
        <v>0</v>
      </c>
      <c r="R315" s="128">
        <v>0</v>
      </c>
      <c r="S315" s="128">
        <f t="shared" si="48"/>
        <v>5425723.8799999999</v>
      </c>
      <c r="T315" s="128">
        <f t="shared" si="39"/>
        <v>605.25231805809653</v>
      </c>
      <c r="U315" s="128">
        <v>1096.6935879701932</v>
      </c>
      <c r="V315" s="257">
        <f t="shared" si="42"/>
        <v>491.44126991209669</v>
      </c>
      <c r="W315" s="257">
        <f t="shared" si="49"/>
        <v>1096.6935879701932</v>
      </c>
      <c r="X315" s="257">
        <v>0</v>
      </c>
      <c r="Y315" s="258">
        <v>0</v>
      </c>
      <c r="Z315" s="258">
        <v>0</v>
      </c>
      <c r="AA315" s="258">
        <v>0</v>
      </c>
      <c r="AB315" s="258">
        <v>0</v>
      </c>
      <c r="AC315" s="258">
        <v>4</v>
      </c>
      <c r="AD315" s="257">
        <f>2457800*AC315/I315</f>
        <v>1096.6935879701932</v>
      </c>
      <c r="AE315" s="258">
        <v>0</v>
      </c>
      <c r="AF315" s="257">
        <v>0</v>
      </c>
      <c r="AG315" s="258">
        <v>0</v>
      </c>
      <c r="AH315" s="257">
        <v>0</v>
      </c>
      <c r="AI315" s="258">
        <v>0</v>
      </c>
      <c r="AJ315" s="257">
        <v>0</v>
      </c>
      <c r="AK315" s="258">
        <v>0</v>
      </c>
      <c r="AL315" s="258">
        <v>0</v>
      </c>
      <c r="AM315" s="258">
        <v>0</v>
      </c>
      <c r="AN315" s="258"/>
      <c r="AO315" s="258">
        <v>0</v>
      </c>
    </row>
    <row r="316" spans="1:41" s="259" customFormat="1" ht="36" customHeight="1" x14ac:dyDescent="0.25">
      <c r="A316" s="259">
        <v>1</v>
      </c>
      <c r="B316" s="135">
        <f>SUBTOTAL(103,$A$16:A316)</f>
        <v>287</v>
      </c>
      <c r="C316" s="94" t="s">
        <v>1211</v>
      </c>
      <c r="D316" s="124" t="s">
        <v>378</v>
      </c>
      <c r="E316" s="124"/>
      <c r="F316" s="129" t="s">
        <v>269</v>
      </c>
      <c r="G316" s="124" t="s">
        <v>314</v>
      </c>
      <c r="H316" s="124" t="s">
        <v>305</v>
      </c>
      <c r="I316" s="128">
        <v>270.39999999999998</v>
      </c>
      <c r="J316" s="128">
        <v>270.39999999999998</v>
      </c>
      <c r="K316" s="128">
        <v>270.39999999999998</v>
      </c>
      <c r="L316" s="126">
        <v>18</v>
      </c>
      <c r="M316" s="124" t="s">
        <v>267</v>
      </c>
      <c r="N316" s="124" t="s">
        <v>268</v>
      </c>
      <c r="O316" s="127" t="s">
        <v>270</v>
      </c>
      <c r="P316" s="128">
        <v>839089.99</v>
      </c>
      <c r="Q316" s="128">
        <v>0</v>
      </c>
      <c r="R316" s="128">
        <v>0</v>
      </c>
      <c r="S316" s="128">
        <f t="shared" si="48"/>
        <v>839089.99</v>
      </c>
      <c r="T316" s="128">
        <f t="shared" si="39"/>
        <v>3103.1434541420122</v>
      </c>
      <c r="U316" s="128">
        <v>7537.6460658284041</v>
      </c>
      <c r="V316" s="257">
        <f t="shared" si="42"/>
        <v>4434.5026116863919</v>
      </c>
      <c r="W316" s="257">
        <f t="shared" si="49"/>
        <v>11421.109371301776</v>
      </c>
      <c r="X316" s="257">
        <v>0</v>
      </c>
      <c r="Y316" s="258">
        <v>0</v>
      </c>
      <c r="Z316" s="258">
        <v>0</v>
      </c>
      <c r="AA316" s="258">
        <v>0</v>
      </c>
      <c r="AB316" s="258">
        <v>0</v>
      </c>
      <c r="AC316" s="258">
        <v>0</v>
      </c>
      <c r="AD316" s="258">
        <v>0</v>
      </c>
      <c r="AE316" s="258">
        <v>0</v>
      </c>
      <c r="AF316" s="257">
        <v>0</v>
      </c>
      <c r="AG316" s="258">
        <v>0</v>
      </c>
      <c r="AH316" s="257">
        <v>0</v>
      </c>
      <c r="AI316" s="258">
        <v>415.14</v>
      </c>
      <c r="AJ316" s="257">
        <f>7439.1*AI316/I316</f>
        <v>11421.109371301776</v>
      </c>
      <c r="AK316" s="258">
        <v>0</v>
      </c>
      <c r="AL316" s="258">
        <v>0</v>
      </c>
      <c r="AM316" s="258">
        <v>0</v>
      </c>
      <c r="AN316" s="258"/>
      <c r="AO316" s="258">
        <v>0</v>
      </c>
    </row>
    <row r="317" spans="1:41" s="259" customFormat="1" ht="36" customHeight="1" x14ac:dyDescent="0.25">
      <c r="A317" s="259">
        <v>1</v>
      </c>
      <c r="B317" s="135">
        <f>SUBTOTAL(103,$A$16:A317)</f>
        <v>288</v>
      </c>
      <c r="C317" s="94" t="s">
        <v>1212</v>
      </c>
      <c r="D317" s="124" t="s">
        <v>356</v>
      </c>
      <c r="E317" s="124"/>
      <c r="F317" s="129" t="s">
        <v>269</v>
      </c>
      <c r="G317" s="124">
        <v>2</v>
      </c>
      <c r="H317" s="124" t="s">
        <v>306</v>
      </c>
      <c r="I317" s="128">
        <v>282.39999999999998</v>
      </c>
      <c r="J317" s="128">
        <v>282.39999999999998</v>
      </c>
      <c r="K317" s="128">
        <v>282.39999999999998</v>
      </c>
      <c r="L317" s="126">
        <v>21</v>
      </c>
      <c r="M317" s="124" t="s">
        <v>267</v>
      </c>
      <c r="N317" s="124" t="s">
        <v>271</v>
      </c>
      <c r="O317" s="127" t="s">
        <v>723</v>
      </c>
      <c r="P317" s="128">
        <v>1265154.3400000001</v>
      </c>
      <c r="Q317" s="128">
        <v>0</v>
      </c>
      <c r="R317" s="128">
        <v>0</v>
      </c>
      <c r="S317" s="128">
        <f t="shared" si="48"/>
        <v>1265154.3400000001</v>
      </c>
      <c r="T317" s="128">
        <f t="shared" si="39"/>
        <v>4480.0082861189812</v>
      </c>
      <c r="U317" s="128">
        <v>10291.194040368273</v>
      </c>
      <c r="V317" s="257">
        <f t="shared" si="42"/>
        <v>5811.1857542492917</v>
      </c>
      <c r="W317" s="257">
        <f t="shared" si="49"/>
        <v>10291.194040368273</v>
      </c>
      <c r="X317" s="257">
        <v>0</v>
      </c>
      <c r="Y317" s="258">
        <v>0</v>
      </c>
      <c r="Z317" s="258">
        <v>0</v>
      </c>
      <c r="AA317" s="258">
        <v>0</v>
      </c>
      <c r="AB317" s="258">
        <v>0</v>
      </c>
      <c r="AC317" s="258">
        <v>0</v>
      </c>
      <c r="AD317" s="258">
        <v>0</v>
      </c>
      <c r="AE317" s="258">
        <v>0</v>
      </c>
      <c r="AF317" s="257">
        <v>0</v>
      </c>
      <c r="AG317" s="258">
        <v>0</v>
      </c>
      <c r="AH317" s="257">
        <v>0</v>
      </c>
      <c r="AI317" s="258">
        <v>390.67</v>
      </c>
      <c r="AJ317" s="257">
        <f>7439.1*AI317/I317</f>
        <v>10291.194040368273</v>
      </c>
      <c r="AK317" s="258">
        <v>0</v>
      </c>
      <c r="AL317" s="258">
        <v>0</v>
      </c>
      <c r="AM317" s="258">
        <v>0</v>
      </c>
      <c r="AN317" s="258"/>
      <c r="AO317" s="258">
        <v>0</v>
      </c>
    </row>
    <row r="318" spans="1:41" s="259" customFormat="1" ht="36" customHeight="1" x14ac:dyDescent="0.25">
      <c r="A318" s="259">
        <v>1</v>
      </c>
      <c r="B318" s="135">
        <f>SUBTOTAL(103,$A$16:A318)</f>
        <v>289</v>
      </c>
      <c r="C318" s="94" t="s">
        <v>1213</v>
      </c>
      <c r="D318" s="124">
        <v>1957</v>
      </c>
      <c r="E318" s="124"/>
      <c r="F318" s="129" t="s">
        <v>269</v>
      </c>
      <c r="G318" s="124" t="s">
        <v>314</v>
      </c>
      <c r="H318" s="124" t="s">
        <v>314</v>
      </c>
      <c r="I318" s="128">
        <v>988</v>
      </c>
      <c r="J318" s="128">
        <v>627.1</v>
      </c>
      <c r="K318" s="128">
        <v>627.1</v>
      </c>
      <c r="L318" s="126">
        <v>55</v>
      </c>
      <c r="M318" s="124" t="s">
        <v>267</v>
      </c>
      <c r="N318" s="124" t="s">
        <v>271</v>
      </c>
      <c r="O318" s="127" t="s">
        <v>1076</v>
      </c>
      <c r="P318" s="128">
        <v>73200.320000000007</v>
      </c>
      <c r="Q318" s="128">
        <v>0</v>
      </c>
      <c r="R318" s="128">
        <v>0</v>
      </c>
      <c r="S318" s="128">
        <f t="shared" si="48"/>
        <v>73200.320000000007</v>
      </c>
      <c r="T318" s="128">
        <f t="shared" si="39"/>
        <v>74.08939271255062</v>
      </c>
      <c r="U318" s="128">
        <v>74.08939271255062</v>
      </c>
      <c r="V318" s="257">
        <f t="shared" si="42"/>
        <v>0</v>
      </c>
      <c r="W318" s="257">
        <f t="shared" si="49"/>
        <v>4666.0479526315785</v>
      </c>
      <c r="X318" s="257">
        <v>0</v>
      </c>
      <c r="Y318" s="258">
        <v>0</v>
      </c>
      <c r="Z318" s="258">
        <v>0</v>
      </c>
      <c r="AA318" s="258">
        <v>0</v>
      </c>
      <c r="AB318" s="258">
        <v>0</v>
      </c>
      <c r="AC318" s="258">
        <v>0</v>
      </c>
      <c r="AD318" s="258">
        <v>0</v>
      </c>
      <c r="AE318" s="258">
        <v>738.92</v>
      </c>
      <c r="AF318" s="257">
        <f>6238.91*AE318/I318</f>
        <v>4666.0479526315785</v>
      </c>
      <c r="AG318" s="258">
        <v>0</v>
      </c>
      <c r="AH318" s="257">
        <v>0</v>
      </c>
      <c r="AI318" s="258">
        <v>0</v>
      </c>
      <c r="AJ318" s="257">
        <v>0</v>
      </c>
      <c r="AK318" s="258">
        <v>0</v>
      </c>
      <c r="AL318" s="258">
        <v>0</v>
      </c>
      <c r="AM318" s="258">
        <v>0</v>
      </c>
      <c r="AN318" s="258"/>
      <c r="AO318" s="258">
        <v>0</v>
      </c>
    </row>
    <row r="319" spans="1:41" s="259" customFormat="1" ht="36" customHeight="1" x14ac:dyDescent="0.25">
      <c r="A319" s="259">
        <v>1</v>
      </c>
      <c r="B319" s="135">
        <f>SUBTOTAL(103,$A$16:A319)</f>
        <v>290</v>
      </c>
      <c r="C319" s="94" t="s">
        <v>1549</v>
      </c>
      <c r="D319" s="124">
        <v>1926</v>
      </c>
      <c r="E319" s="124"/>
      <c r="F319" s="129" t="s">
        <v>269</v>
      </c>
      <c r="G319" s="124">
        <v>2</v>
      </c>
      <c r="H319" s="124" t="s">
        <v>305</v>
      </c>
      <c r="I319" s="128">
        <v>530.9</v>
      </c>
      <c r="J319" s="128">
        <v>530.9</v>
      </c>
      <c r="K319" s="128">
        <v>530.9</v>
      </c>
      <c r="L319" s="126">
        <v>26</v>
      </c>
      <c r="M319" s="124" t="s">
        <v>267</v>
      </c>
      <c r="N319" s="124" t="s">
        <v>268</v>
      </c>
      <c r="O319" s="127" t="s">
        <v>270</v>
      </c>
      <c r="P319" s="128">
        <v>1322373.3</v>
      </c>
      <c r="Q319" s="128">
        <v>0</v>
      </c>
      <c r="R319" s="128">
        <v>0</v>
      </c>
      <c r="S319" s="128">
        <f>P319-R319-Q319</f>
        <v>1322373.3</v>
      </c>
      <c r="T319" s="128">
        <f t="shared" si="39"/>
        <v>2490.8142776417408</v>
      </c>
      <c r="U319" s="128">
        <v>3247.4219740064036</v>
      </c>
      <c r="V319" s="257">
        <f t="shared" si="42"/>
        <v>756.60769636466284</v>
      </c>
      <c r="W319" s="257">
        <f t="shared" si="49"/>
        <v>3236.3831493689959</v>
      </c>
      <c r="X319" s="257">
        <v>0</v>
      </c>
      <c r="Y319" s="258">
        <v>0</v>
      </c>
      <c r="Z319" s="258">
        <v>0</v>
      </c>
      <c r="AA319" s="258">
        <v>0</v>
      </c>
      <c r="AB319" s="258">
        <v>0</v>
      </c>
      <c r="AC319" s="258">
        <v>0</v>
      </c>
      <c r="AD319" s="258">
        <v>0</v>
      </c>
      <c r="AE319" s="258">
        <v>275.39999999999998</v>
      </c>
      <c r="AF319" s="257">
        <f>6238.91*AE319/I319</f>
        <v>3236.3831493689959</v>
      </c>
      <c r="AG319" s="258">
        <v>0</v>
      </c>
      <c r="AH319" s="257">
        <v>0</v>
      </c>
      <c r="AI319" s="258">
        <v>0</v>
      </c>
      <c r="AJ319" s="257">
        <v>0</v>
      </c>
      <c r="AK319" s="258">
        <v>0</v>
      </c>
      <c r="AL319" s="258">
        <v>0</v>
      </c>
      <c r="AM319" s="258">
        <v>0</v>
      </c>
      <c r="AN319" s="258"/>
      <c r="AO319" s="258">
        <v>0</v>
      </c>
    </row>
    <row r="320" spans="1:41" s="259" customFormat="1" ht="36" customHeight="1" x14ac:dyDescent="0.25">
      <c r="A320" s="259">
        <v>1</v>
      </c>
      <c r="B320" s="135">
        <f>SUBTOTAL(103,$A$16:A320)</f>
        <v>291</v>
      </c>
      <c r="C320" s="94" t="s">
        <v>1559</v>
      </c>
      <c r="D320" s="124" t="s">
        <v>1588</v>
      </c>
      <c r="E320" s="124"/>
      <c r="F320" s="129" t="s">
        <v>269</v>
      </c>
      <c r="G320" s="124">
        <v>2</v>
      </c>
      <c r="H320" s="124" t="s">
        <v>305</v>
      </c>
      <c r="I320" s="128">
        <v>169.5</v>
      </c>
      <c r="J320" s="128">
        <v>169.5</v>
      </c>
      <c r="K320" s="128">
        <v>169.5</v>
      </c>
      <c r="L320" s="126">
        <v>29</v>
      </c>
      <c r="M320" s="124" t="s">
        <v>267</v>
      </c>
      <c r="N320" s="124" t="s">
        <v>268</v>
      </c>
      <c r="O320" s="127" t="s">
        <v>270</v>
      </c>
      <c r="P320" s="128">
        <v>1654659.73</v>
      </c>
      <c r="Q320" s="128">
        <v>0</v>
      </c>
      <c r="R320" s="128">
        <v>0</v>
      </c>
      <c r="S320" s="128">
        <f>P320-R320-Q320</f>
        <v>1654659.73</v>
      </c>
      <c r="T320" s="128">
        <f t="shared" si="39"/>
        <v>9762.00430678466</v>
      </c>
      <c r="U320" s="128">
        <v>12723.513008849557</v>
      </c>
      <c r="V320" s="257">
        <f t="shared" si="42"/>
        <v>2961.5087020648971</v>
      </c>
      <c r="W320" s="257">
        <f t="shared" si="49"/>
        <v>12680.262507374631</v>
      </c>
      <c r="X320" s="257">
        <v>0</v>
      </c>
      <c r="Y320" s="258">
        <v>0</v>
      </c>
      <c r="Z320" s="258">
        <v>0</v>
      </c>
      <c r="AA320" s="258">
        <v>0</v>
      </c>
      <c r="AB320" s="258">
        <v>0</v>
      </c>
      <c r="AC320" s="258">
        <v>0</v>
      </c>
      <c r="AD320" s="258">
        <v>0</v>
      </c>
      <c r="AE320" s="258">
        <v>344.5</v>
      </c>
      <c r="AF320" s="257">
        <f>6238.91*AE320/I320</f>
        <v>12680.262507374631</v>
      </c>
      <c r="AG320" s="258">
        <v>0</v>
      </c>
      <c r="AH320" s="257">
        <v>0</v>
      </c>
      <c r="AI320" s="258">
        <v>0</v>
      </c>
      <c r="AJ320" s="257">
        <v>0</v>
      </c>
      <c r="AK320" s="258">
        <v>0</v>
      </c>
      <c r="AL320" s="258">
        <v>0</v>
      </c>
      <c r="AM320" s="258">
        <v>0</v>
      </c>
      <c r="AN320" s="258"/>
      <c r="AO320" s="258">
        <v>0</v>
      </c>
    </row>
    <row r="321" spans="1:41" s="259" customFormat="1" ht="36" customHeight="1" x14ac:dyDescent="0.25">
      <c r="B321" s="94" t="s">
        <v>830</v>
      </c>
      <c r="C321" s="261"/>
      <c r="D321" s="124" t="s">
        <v>896</v>
      </c>
      <c r="E321" s="124" t="s">
        <v>896</v>
      </c>
      <c r="F321" s="124" t="s">
        <v>896</v>
      </c>
      <c r="G321" s="124" t="s">
        <v>896</v>
      </c>
      <c r="H321" s="124" t="s">
        <v>896</v>
      </c>
      <c r="I321" s="125">
        <f>SUM(I322:I337)</f>
        <v>12766.299999999997</v>
      </c>
      <c r="J321" s="125">
        <f>SUM(J322:J337)</f>
        <v>11356.699999999999</v>
      </c>
      <c r="K321" s="125">
        <f>SUM(K322:K337)</f>
        <v>10304.099999999999</v>
      </c>
      <c r="L321" s="126">
        <f>SUM(L322:L337)</f>
        <v>777</v>
      </c>
      <c r="M321" s="124" t="s">
        <v>896</v>
      </c>
      <c r="N321" s="124" t="s">
        <v>896</v>
      </c>
      <c r="O321" s="127" t="s">
        <v>896</v>
      </c>
      <c r="P321" s="125">
        <v>23747458.66</v>
      </c>
      <c r="Q321" s="125">
        <f>SUM(Q322:Q337)</f>
        <v>0</v>
      </c>
      <c r="R321" s="125">
        <f>SUM(R322:R337)</f>
        <v>0</v>
      </c>
      <c r="S321" s="125">
        <f>SUM(S322:S337)</f>
        <v>23747458.66</v>
      </c>
      <c r="T321" s="128">
        <f t="shared" si="39"/>
        <v>1860.1676805339062</v>
      </c>
      <c r="U321" s="128">
        <f>MAX(U322:U337)</f>
        <v>7701.696592298289</v>
      </c>
      <c r="V321" s="257">
        <f t="shared" si="42"/>
        <v>5841.5289117643824</v>
      </c>
      <c r="W321" s="257"/>
      <c r="X321" s="257"/>
      <c r="Y321" s="258"/>
      <c r="Z321" s="258"/>
      <c r="AA321" s="258"/>
      <c r="AB321" s="258"/>
      <c r="AC321" s="258"/>
      <c r="AD321" s="258"/>
      <c r="AE321" s="258"/>
      <c r="AF321" s="258"/>
      <c r="AG321" s="258"/>
      <c r="AH321" s="258"/>
      <c r="AI321" s="258"/>
      <c r="AJ321" s="258"/>
      <c r="AK321" s="258"/>
      <c r="AL321" s="258"/>
      <c r="AM321" s="258"/>
      <c r="AN321" s="258"/>
      <c r="AO321" s="258"/>
    </row>
    <row r="322" spans="1:41" s="259" customFormat="1" ht="36" customHeight="1" x14ac:dyDescent="0.25">
      <c r="A322" s="259">
        <v>1</v>
      </c>
      <c r="B322" s="135">
        <f>SUBTOTAL(103,$A$16:A322)</f>
        <v>292</v>
      </c>
      <c r="C322" s="94" t="s">
        <v>232</v>
      </c>
      <c r="D322" s="124">
        <v>1970</v>
      </c>
      <c r="E322" s="124"/>
      <c r="F322" s="129" t="s">
        <v>269</v>
      </c>
      <c r="G322" s="124">
        <v>2</v>
      </c>
      <c r="H322" s="124" t="s">
        <v>306</v>
      </c>
      <c r="I322" s="128">
        <v>404.7</v>
      </c>
      <c r="J322" s="128">
        <v>372.6</v>
      </c>
      <c r="K322" s="128">
        <v>372.6</v>
      </c>
      <c r="L322" s="126">
        <v>20</v>
      </c>
      <c r="M322" s="124" t="s">
        <v>267</v>
      </c>
      <c r="N322" s="124" t="s">
        <v>271</v>
      </c>
      <c r="O322" s="127" t="s">
        <v>335</v>
      </c>
      <c r="P322" s="128">
        <v>1420092.6900000002</v>
      </c>
      <c r="Q322" s="128">
        <v>0</v>
      </c>
      <c r="R322" s="128">
        <v>0</v>
      </c>
      <c r="S322" s="128">
        <f t="shared" ref="S322:S333" si="50">P322-Q322-R322</f>
        <v>1420092.6900000002</v>
      </c>
      <c r="T322" s="128">
        <f t="shared" si="39"/>
        <v>3509.0009636767982</v>
      </c>
      <c r="U322" s="128">
        <v>5305.7701260192734</v>
      </c>
      <c r="V322" s="257">
        <f t="shared" si="42"/>
        <v>1796.7691623424753</v>
      </c>
      <c r="W322" s="257">
        <f t="shared" ref="W322:W337" si="51">X322+Y322+Z322+AA322+AB322+AD322+AF322+AH322+AJ322+AL322+AN322+AO322</f>
        <v>4913.1223548307389</v>
      </c>
      <c r="X322" s="257">
        <v>0</v>
      </c>
      <c r="Y322" s="258">
        <v>0</v>
      </c>
      <c r="Z322" s="258">
        <v>0</v>
      </c>
      <c r="AA322" s="258">
        <v>0</v>
      </c>
      <c r="AB322" s="258">
        <v>0</v>
      </c>
      <c r="AC322" s="258">
        <v>0</v>
      </c>
      <c r="AD322" s="258">
        <v>0</v>
      </c>
      <c r="AE322" s="258">
        <v>318.7</v>
      </c>
      <c r="AF322" s="257">
        <f>6238.91*AE322/I322</f>
        <v>4913.1223548307389</v>
      </c>
      <c r="AG322" s="258">
        <v>0</v>
      </c>
      <c r="AH322" s="257">
        <v>0</v>
      </c>
      <c r="AI322" s="258">
        <v>0</v>
      </c>
      <c r="AJ322" s="257">
        <v>0</v>
      </c>
      <c r="AK322" s="258">
        <v>0</v>
      </c>
      <c r="AL322" s="258">
        <v>0</v>
      </c>
      <c r="AM322" s="258">
        <v>0</v>
      </c>
      <c r="AN322" s="258"/>
      <c r="AO322" s="258">
        <v>0</v>
      </c>
    </row>
    <row r="323" spans="1:41" s="259" customFormat="1" ht="36" customHeight="1" x14ac:dyDescent="0.25">
      <c r="A323" s="259">
        <v>1</v>
      </c>
      <c r="B323" s="135">
        <f>SUBTOTAL(103,$A$16:A323)</f>
        <v>293</v>
      </c>
      <c r="C323" s="94" t="s">
        <v>234</v>
      </c>
      <c r="D323" s="124">
        <v>1964</v>
      </c>
      <c r="E323" s="124"/>
      <c r="F323" s="129" t="s">
        <v>269</v>
      </c>
      <c r="G323" s="124">
        <v>2</v>
      </c>
      <c r="H323" s="124" t="s">
        <v>305</v>
      </c>
      <c r="I323" s="128">
        <v>645.4</v>
      </c>
      <c r="J323" s="128">
        <v>597.4</v>
      </c>
      <c r="K323" s="128">
        <v>597.4</v>
      </c>
      <c r="L323" s="126">
        <v>42</v>
      </c>
      <c r="M323" s="124" t="s">
        <v>267</v>
      </c>
      <c r="N323" s="124" t="s">
        <v>271</v>
      </c>
      <c r="O323" s="127" t="s">
        <v>336</v>
      </c>
      <c r="P323" s="128">
        <v>93019.16</v>
      </c>
      <c r="Q323" s="128">
        <v>0</v>
      </c>
      <c r="R323" s="128">
        <v>0</v>
      </c>
      <c r="S323" s="128">
        <f t="shared" si="50"/>
        <v>93019.16</v>
      </c>
      <c r="T323" s="128">
        <f t="shared" si="39"/>
        <v>144.12637124264023</v>
      </c>
      <c r="U323" s="128">
        <v>133.82190889370935</v>
      </c>
      <c r="V323" s="257">
        <f t="shared" si="42"/>
        <v>-10.304462348930883</v>
      </c>
      <c r="W323" s="257">
        <f t="shared" si="51"/>
        <v>5184.5478462968704</v>
      </c>
      <c r="X323" s="257">
        <v>0</v>
      </c>
      <c r="Y323" s="258">
        <v>0</v>
      </c>
      <c r="Z323" s="258">
        <v>0</v>
      </c>
      <c r="AA323" s="258">
        <v>0</v>
      </c>
      <c r="AB323" s="258">
        <v>0</v>
      </c>
      <c r="AC323" s="258">
        <v>0</v>
      </c>
      <c r="AD323" s="258">
        <v>0</v>
      </c>
      <c r="AE323" s="258">
        <v>0</v>
      </c>
      <c r="AF323" s="257">
        <v>0</v>
      </c>
      <c r="AG323" s="258">
        <v>0</v>
      </c>
      <c r="AH323" s="257">
        <v>0</v>
      </c>
      <c r="AI323" s="258">
        <v>449.8</v>
      </c>
      <c r="AJ323" s="257">
        <f>7439.1*AI323/I323</f>
        <v>5184.5478462968704</v>
      </c>
      <c r="AK323" s="258">
        <v>0</v>
      </c>
      <c r="AL323" s="258">
        <v>0</v>
      </c>
      <c r="AM323" s="258">
        <v>0</v>
      </c>
      <c r="AN323" s="258"/>
      <c r="AO323" s="258">
        <v>0</v>
      </c>
    </row>
    <row r="324" spans="1:41" s="259" customFormat="1" ht="36" customHeight="1" x14ac:dyDescent="0.25">
      <c r="A324" s="259">
        <v>1</v>
      </c>
      <c r="B324" s="135">
        <f>SUBTOTAL(103,$A$16:A324)</f>
        <v>294</v>
      </c>
      <c r="C324" s="94" t="s">
        <v>237</v>
      </c>
      <c r="D324" s="124">
        <v>1961</v>
      </c>
      <c r="E324" s="124"/>
      <c r="F324" s="129" t="s">
        <v>338</v>
      </c>
      <c r="G324" s="124">
        <v>2</v>
      </c>
      <c r="H324" s="124" t="s">
        <v>305</v>
      </c>
      <c r="I324" s="128">
        <v>605.1</v>
      </c>
      <c r="J324" s="128">
        <v>560.20000000000005</v>
      </c>
      <c r="K324" s="128">
        <v>560.20000000000005</v>
      </c>
      <c r="L324" s="126">
        <v>35</v>
      </c>
      <c r="M324" s="124" t="s">
        <v>267</v>
      </c>
      <c r="N324" s="124" t="s">
        <v>271</v>
      </c>
      <c r="O324" s="127" t="s">
        <v>335</v>
      </c>
      <c r="P324" s="128">
        <v>2317822.98</v>
      </c>
      <c r="Q324" s="128">
        <v>0</v>
      </c>
      <c r="R324" s="128">
        <v>0</v>
      </c>
      <c r="S324" s="128">
        <f t="shared" si="50"/>
        <v>2317822.98</v>
      </c>
      <c r="T324" s="128">
        <f t="shared" si="39"/>
        <v>3830.4792265741198</v>
      </c>
      <c r="U324" s="128">
        <v>4803.5138274665342</v>
      </c>
      <c r="V324" s="257">
        <f t="shared" si="42"/>
        <v>973.03460089241435</v>
      </c>
      <c r="W324" s="257">
        <f t="shared" si="51"/>
        <v>4787.1854453809292</v>
      </c>
      <c r="X324" s="257">
        <v>0</v>
      </c>
      <c r="Y324" s="258">
        <v>0</v>
      </c>
      <c r="Z324" s="258">
        <v>0</v>
      </c>
      <c r="AA324" s="258">
        <v>0</v>
      </c>
      <c r="AB324" s="258">
        <v>0</v>
      </c>
      <c r="AC324" s="258">
        <v>0</v>
      </c>
      <c r="AD324" s="258">
        <v>0</v>
      </c>
      <c r="AE324" s="258">
        <v>464.3</v>
      </c>
      <c r="AF324" s="257">
        <f>6238.91*AE324/I324</f>
        <v>4787.1854453809292</v>
      </c>
      <c r="AG324" s="258">
        <v>0</v>
      </c>
      <c r="AH324" s="257">
        <v>0</v>
      </c>
      <c r="AI324" s="258">
        <v>0</v>
      </c>
      <c r="AJ324" s="257">
        <v>0</v>
      </c>
      <c r="AK324" s="258">
        <v>0</v>
      </c>
      <c r="AL324" s="258">
        <v>0</v>
      </c>
      <c r="AM324" s="258">
        <v>0</v>
      </c>
      <c r="AN324" s="258"/>
      <c r="AO324" s="258">
        <v>0</v>
      </c>
    </row>
    <row r="325" spans="1:41" s="259" customFormat="1" ht="36" customHeight="1" x14ac:dyDescent="0.25">
      <c r="A325" s="259">
        <v>1</v>
      </c>
      <c r="B325" s="135">
        <f>SUBTOTAL(103,$A$16:A325)</f>
        <v>295</v>
      </c>
      <c r="C325" s="94" t="s">
        <v>238</v>
      </c>
      <c r="D325" s="124">
        <v>1963</v>
      </c>
      <c r="E325" s="124"/>
      <c r="F325" s="129" t="s">
        <v>269</v>
      </c>
      <c r="G325" s="124">
        <v>2</v>
      </c>
      <c r="H325" s="124" t="s">
        <v>306</v>
      </c>
      <c r="I325" s="128">
        <v>336.7</v>
      </c>
      <c r="J325" s="128">
        <v>304.3</v>
      </c>
      <c r="K325" s="128">
        <v>304.3</v>
      </c>
      <c r="L325" s="126">
        <v>15</v>
      </c>
      <c r="M325" s="124" t="s">
        <v>267</v>
      </c>
      <c r="N325" s="124" t="s">
        <v>271</v>
      </c>
      <c r="O325" s="127" t="s">
        <v>335</v>
      </c>
      <c r="P325" s="128">
        <v>48252.34</v>
      </c>
      <c r="Q325" s="128">
        <v>0</v>
      </c>
      <c r="R325" s="128">
        <v>0</v>
      </c>
      <c r="S325" s="128">
        <f t="shared" si="50"/>
        <v>48252.34</v>
      </c>
      <c r="T325" s="128">
        <f t="shared" si="39"/>
        <v>143.3095931095931</v>
      </c>
      <c r="U325" s="128">
        <v>163.06159786159785</v>
      </c>
      <c r="V325" s="257">
        <f t="shared" si="42"/>
        <v>19.752004752004751</v>
      </c>
      <c r="W325" s="257">
        <f t="shared" si="51"/>
        <v>5021.516513216513</v>
      </c>
      <c r="X325" s="257">
        <v>0</v>
      </c>
      <c r="Y325" s="258">
        <v>0</v>
      </c>
      <c r="Z325" s="258">
        <v>0</v>
      </c>
      <c r="AA325" s="258">
        <v>0</v>
      </c>
      <c r="AB325" s="258">
        <v>0</v>
      </c>
      <c r="AC325" s="258">
        <v>0</v>
      </c>
      <c r="AD325" s="258">
        <v>0</v>
      </c>
      <c r="AE325" s="258">
        <v>271</v>
      </c>
      <c r="AF325" s="257">
        <f>6238.91*AE325/I325</f>
        <v>5021.516513216513</v>
      </c>
      <c r="AG325" s="258">
        <v>0</v>
      </c>
      <c r="AH325" s="257">
        <v>0</v>
      </c>
      <c r="AI325" s="258">
        <v>0</v>
      </c>
      <c r="AJ325" s="257">
        <v>0</v>
      </c>
      <c r="AK325" s="258">
        <v>0</v>
      </c>
      <c r="AL325" s="258">
        <v>0</v>
      </c>
      <c r="AM325" s="258">
        <v>0</v>
      </c>
      <c r="AN325" s="258"/>
      <c r="AO325" s="258">
        <v>0</v>
      </c>
    </row>
    <row r="326" spans="1:41" s="259" customFormat="1" ht="36" customHeight="1" x14ac:dyDescent="0.25">
      <c r="A326" s="259">
        <v>1</v>
      </c>
      <c r="B326" s="135">
        <f>SUBTOTAL(103,$A$16:A326)</f>
        <v>296</v>
      </c>
      <c r="C326" s="94" t="s">
        <v>233</v>
      </c>
      <c r="D326" s="130">
        <v>1970</v>
      </c>
      <c r="E326" s="124"/>
      <c r="F326" s="129" t="s">
        <v>269</v>
      </c>
      <c r="G326" s="124">
        <v>2</v>
      </c>
      <c r="H326" s="124" t="s">
        <v>306</v>
      </c>
      <c r="I326" s="128">
        <v>351.6</v>
      </c>
      <c r="J326" s="128">
        <v>320.60000000000002</v>
      </c>
      <c r="K326" s="128">
        <v>320.60000000000002</v>
      </c>
      <c r="L326" s="126">
        <v>14</v>
      </c>
      <c r="M326" s="124" t="s">
        <v>267</v>
      </c>
      <c r="N326" s="124" t="s">
        <v>271</v>
      </c>
      <c r="O326" s="127" t="s">
        <v>337</v>
      </c>
      <c r="P326" s="128">
        <v>1368172.96</v>
      </c>
      <c r="Q326" s="128">
        <v>0</v>
      </c>
      <c r="R326" s="128">
        <v>0</v>
      </c>
      <c r="S326" s="128">
        <f t="shared" si="50"/>
        <v>1368172.96</v>
      </c>
      <c r="T326" s="128">
        <f t="shared" si="39"/>
        <v>3891.2769055745161</v>
      </c>
      <c r="U326" s="128">
        <v>5275.9371467576784</v>
      </c>
      <c r="V326" s="257">
        <f t="shared" si="42"/>
        <v>1384.6602411831623</v>
      </c>
      <c r="W326" s="257">
        <f t="shared" si="51"/>
        <v>3711.7610745164957</v>
      </c>
      <c r="X326" s="257">
        <v>0</v>
      </c>
      <c r="Y326" s="258">
        <v>0</v>
      </c>
      <c r="Z326" s="258">
        <v>0</v>
      </c>
      <c r="AA326" s="258">
        <v>0</v>
      </c>
      <c r="AB326" s="258">
        <v>0</v>
      </c>
      <c r="AC326" s="258">
        <v>0</v>
      </c>
      <c r="AD326" s="258">
        <v>0</v>
      </c>
      <c r="AE326" s="258">
        <v>209.18</v>
      </c>
      <c r="AF326" s="257">
        <f>6238.91*AE326/I326</f>
        <v>3711.7610745164957</v>
      </c>
      <c r="AG326" s="258">
        <v>0</v>
      </c>
      <c r="AH326" s="257">
        <v>0</v>
      </c>
      <c r="AI326" s="258">
        <v>0</v>
      </c>
      <c r="AJ326" s="257">
        <v>0</v>
      </c>
      <c r="AK326" s="258">
        <v>0</v>
      </c>
      <c r="AL326" s="258">
        <v>0</v>
      </c>
      <c r="AM326" s="258">
        <v>0</v>
      </c>
      <c r="AN326" s="258"/>
      <c r="AO326" s="258">
        <v>0</v>
      </c>
    </row>
    <row r="327" spans="1:41" s="259" customFormat="1" ht="36" customHeight="1" x14ac:dyDescent="0.25">
      <c r="A327" s="259">
        <v>1</v>
      </c>
      <c r="B327" s="135">
        <f>SUBTOTAL(103,$A$16:A327)</f>
        <v>297</v>
      </c>
      <c r="C327" s="94" t="s">
        <v>240</v>
      </c>
      <c r="D327" s="124">
        <v>1972</v>
      </c>
      <c r="E327" s="124"/>
      <c r="F327" s="129" t="s">
        <v>269</v>
      </c>
      <c r="G327" s="124">
        <v>2</v>
      </c>
      <c r="H327" s="124" t="s">
        <v>314</v>
      </c>
      <c r="I327" s="128">
        <v>899</v>
      </c>
      <c r="J327" s="128">
        <v>843.9</v>
      </c>
      <c r="K327" s="128">
        <v>843.9</v>
      </c>
      <c r="L327" s="126">
        <v>54</v>
      </c>
      <c r="M327" s="124" t="s">
        <v>267</v>
      </c>
      <c r="N327" s="124" t="s">
        <v>271</v>
      </c>
      <c r="O327" s="127" t="s">
        <v>335</v>
      </c>
      <c r="P327" s="128">
        <v>82017.66</v>
      </c>
      <c r="Q327" s="128">
        <v>0</v>
      </c>
      <c r="R327" s="128">
        <v>0</v>
      </c>
      <c r="S327" s="128">
        <f t="shared" si="50"/>
        <v>82017.66</v>
      </c>
      <c r="T327" s="128">
        <f t="shared" si="39"/>
        <v>91.232102335928815</v>
      </c>
      <c r="U327" s="128">
        <v>91.232102335928815</v>
      </c>
      <c r="V327" s="257">
        <f t="shared" si="42"/>
        <v>0</v>
      </c>
      <c r="W327" s="257">
        <f t="shared" si="51"/>
        <v>3743.346</v>
      </c>
      <c r="X327" s="257">
        <v>0</v>
      </c>
      <c r="Y327" s="258">
        <v>0</v>
      </c>
      <c r="Z327" s="258">
        <v>0</v>
      </c>
      <c r="AA327" s="258">
        <v>0</v>
      </c>
      <c r="AB327" s="258">
        <v>0</v>
      </c>
      <c r="AC327" s="258">
        <v>0</v>
      </c>
      <c r="AD327" s="258">
        <v>0</v>
      </c>
      <c r="AE327" s="258">
        <v>539.4</v>
      </c>
      <c r="AF327" s="257">
        <f>6238.91*AE327/I327</f>
        <v>3743.346</v>
      </c>
      <c r="AG327" s="258">
        <v>0</v>
      </c>
      <c r="AH327" s="257">
        <v>0</v>
      </c>
      <c r="AI327" s="258">
        <v>0</v>
      </c>
      <c r="AJ327" s="257">
        <v>0</v>
      </c>
      <c r="AK327" s="258">
        <v>0</v>
      </c>
      <c r="AL327" s="258">
        <v>0</v>
      </c>
      <c r="AM327" s="258">
        <v>0</v>
      </c>
      <c r="AN327" s="258"/>
      <c r="AO327" s="258">
        <v>0</v>
      </c>
    </row>
    <row r="328" spans="1:41" s="259" customFormat="1" ht="36" customHeight="1" x14ac:dyDescent="0.25">
      <c r="A328" s="259">
        <v>1</v>
      </c>
      <c r="B328" s="135">
        <f>SUBTOTAL(103,$A$16:A328)</f>
        <v>298</v>
      </c>
      <c r="C328" s="94" t="s">
        <v>1216</v>
      </c>
      <c r="D328" s="124">
        <v>1959</v>
      </c>
      <c r="E328" s="124"/>
      <c r="F328" s="129" t="s">
        <v>338</v>
      </c>
      <c r="G328" s="124">
        <v>2</v>
      </c>
      <c r="H328" s="124" t="s">
        <v>305</v>
      </c>
      <c r="I328" s="125">
        <v>654.4</v>
      </c>
      <c r="J328" s="125">
        <v>551.4</v>
      </c>
      <c r="K328" s="125">
        <v>551.4</v>
      </c>
      <c r="L328" s="126">
        <v>40</v>
      </c>
      <c r="M328" s="124" t="s">
        <v>267</v>
      </c>
      <c r="N328" s="124" t="s">
        <v>271</v>
      </c>
      <c r="O328" s="127" t="s">
        <v>336</v>
      </c>
      <c r="P328" s="128">
        <v>2822499.7699999996</v>
      </c>
      <c r="Q328" s="128">
        <v>0</v>
      </c>
      <c r="R328" s="128">
        <v>0</v>
      </c>
      <c r="S328" s="128">
        <f t="shared" si="50"/>
        <v>2822499.7699999996</v>
      </c>
      <c r="T328" s="128">
        <f t="shared" si="39"/>
        <v>4313.1108954767724</v>
      </c>
      <c r="U328" s="128">
        <v>7701.696592298289</v>
      </c>
      <c r="V328" s="257">
        <f t="shared" si="42"/>
        <v>3388.5856968215166</v>
      </c>
      <c r="W328" s="257">
        <f t="shared" si="51"/>
        <v>6841.4995721271398</v>
      </c>
      <c r="X328" s="257">
        <v>0</v>
      </c>
      <c r="Y328" s="258">
        <v>0</v>
      </c>
      <c r="Z328" s="258">
        <v>0</v>
      </c>
      <c r="AA328" s="258">
        <v>0</v>
      </c>
      <c r="AB328" s="258">
        <v>0</v>
      </c>
      <c r="AC328" s="258">
        <v>0</v>
      </c>
      <c r="AD328" s="258">
        <v>0</v>
      </c>
      <c r="AE328" s="258">
        <v>0</v>
      </c>
      <c r="AF328" s="257">
        <v>0</v>
      </c>
      <c r="AG328" s="258">
        <v>0</v>
      </c>
      <c r="AH328" s="257">
        <v>0</v>
      </c>
      <c r="AI328" s="258">
        <v>0</v>
      </c>
      <c r="AJ328" s="257">
        <v>0</v>
      </c>
      <c r="AK328" s="258">
        <v>0</v>
      </c>
      <c r="AL328" s="258">
        <v>0</v>
      </c>
      <c r="AM328" s="258">
        <v>641</v>
      </c>
      <c r="AN328" s="258">
        <f>6984.52*AM328/I328</f>
        <v>6841.4995721271398</v>
      </c>
      <c r="AO328" s="258">
        <v>0</v>
      </c>
    </row>
    <row r="329" spans="1:41" s="259" customFormat="1" ht="36" customHeight="1" x14ac:dyDescent="0.25">
      <c r="A329" s="259">
        <v>1</v>
      </c>
      <c r="B329" s="135">
        <f>SUBTOTAL(103,$A$16:A329)</f>
        <v>299</v>
      </c>
      <c r="C329" s="94" t="s">
        <v>1217</v>
      </c>
      <c r="D329" s="124">
        <v>1977</v>
      </c>
      <c r="E329" s="124"/>
      <c r="F329" s="129" t="s">
        <v>269</v>
      </c>
      <c r="G329" s="124">
        <v>5</v>
      </c>
      <c r="H329" s="124" t="s">
        <v>306</v>
      </c>
      <c r="I329" s="128">
        <v>3019</v>
      </c>
      <c r="J329" s="128">
        <v>3019</v>
      </c>
      <c r="K329" s="128">
        <v>2048</v>
      </c>
      <c r="L329" s="126">
        <v>333</v>
      </c>
      <c r="M329" s="124" t="s">
        <v>267</v>
      </c>
      <c r="N329" s="124" t="s">
        <v>271</v>
      </c>
      <c r="O329" s="127" t="s">
        <v>1316</v>
      </c>
      <c r="P329" s="128">
        <v>2302494.9500000002</v>
      </c>
      <c r="Q329" s="128">
        <v>0</v>
      </c>
      <c r="R329" s="128">
        <v>0</v>
      </c>
      <c r="S329" s="128">
        <f t="shared" si="50"/>
        <v>2302494.9500000002</v>
      </c>
      <c r="T329" s="128">
        <f t="shared" si="39"/>
        <v>762.6680854587612</v>
      </c>
      <c r="U329" s="128">
        <v>810.46</v>
      </c>
      <c r="V329" s="257">
        <f t="shared" si="42"/>
        <v>47.791914541238839</v>
      </c>
      <c r="W329" s="257">
        <f t="shared" si="51"/>
        <v>1750.9997598542561</v>
      </c>
      <c r="X329" s="257">
        <v>0</v>
      </c>
      <c r="Y329" s="258">
        <v>0</v>
      </c>
      <c r="Z329" s="258">
        <v>0</v>
      </c>
      <c r="AA329" s="258">
        <v>0</v>
      </c>
      <c r="AB329" s="258">
        <v>0</v>
      </c>
      <c r="AC329" s="258">
        <v>0</v>
      </c>
      <c r="AD329" s="258">
        <v>0</v>
      </c>
      <c r="AE329" s="258">
        <v>0</v>
      </c>
      <c r="AF329" s="257">
        <v>0</v>
      </c>
      <c r="AG329" s="258">
        <v>0</v>
      </c>
      <c r="AH329" s="257">
        <v>0</v>
      </c>
      <c r="AI329" s="258">
        <v>677.5</v>
      </c>
      <c r="AJ329" s="257">
        <f>7802.61*AI329/I329</f>
        <v>1750.9997598542561</v>
      </c>
      <c r="AK329" s="258">
        <v>0</v>
      </c>
      <c r="AL329" s="258">
        <v>0</v>
      </c>
      <c r="AM329" s="258">
        <v>0</v>
      </c>
      <c r="AN329" s="258"/>
      <c r="AO329" s="258">
        <v>0</v>
      </c>
    </row>
    <row r="330" spans="1:41" s="259" customFormat="1" ht="36" customHeight="1" x14ac:dyDescent="0.25">
      <c r="A330" s="259">
        <v>1</v>
      </c>
      <c r="B330" s="135">
        <f>SUBTOTAL(103,$A$16:A330)</f>
        <v>300</v>
      </c>
      <c r="C330" s="94" t="s">
        <v>1218</v>
      </c>
      <c r="D330" s="124">
        <v>1951</v>
      </c>
      <c r="E330" s="124"/>
      <c r="F330" s="129" t="s">
        <v>338</v>
      </c>
      <c r="G330" s="124">
        <v>2</v>
      </c>
      <c r="H330" s="124" t="s">
        <v>305</v>
      </c>
      <c r="I330" s="128">
        <v>859.4</v>
      </c>
      <c r="J330" s="128">
        <v>812.4</v>
      </c>
      <c r="K330" s="128">
        <v>812.4</v>
      </c>
      <c r="L330" s="126">
        <v>38</v>
      </c>
      <c r="M330" s="124" t="s">
        <v>267</v>
      </c>
      <c r="N330" s="124" t="s">
        <v>271</v>
      </c>
      <c r="O330" s="127" t="s">
        <v>335</v>
      </c>
      <c r="P330" s="128">
        <v>2904879.9699999997</v>
      </c>
      <c r="Q330" s="128">
        <v>0</v>
      </c>
      <c r="R330" s="128">
        <v>0</v>
      </c>
      <c r="S330" s="128">
        <f t="shared" si="50"/>
        <v>2904879.9699999997</v>
      </c>
      <c r="T330" s="128">
        <f t="shared" si="39"/>
        <v>3380.1256341633698</v>
      </c>
      <c r="U330" s="128">
        <v>6535.3973702583198</v>
      </c>
      <c r="V330" s="257">
        <f t="shared" si="42"/>
        <v>3155.27173609495</v>
      </c>
      <c r="W330" s="257">
        <f t="shared" si="51"/>
        <v>1081.8399999999999</v>
      </c>
      <c r="X330" s="257">
        <v>101.55</v>
      </c>
      <c r="Y330" s="258">
        <v>0</v>
      </c>
      <c r="Z330" s="258">
        <v>0</v>
      </c>
      <c r="AA330" s="258">
        <v>184.98</v>
      </c>
      <c r="AB330" s="258">
        <v>795.31</v>
      </c>
      <c r="AC330" s="258">
        <v>0</v>
      </c>
      <c r="AD330" s="258">
        <v>0</v>
      </c>
      <c r="AE330" s="258">
        <v>0</v>
      </c>
      <c r="AF330" s="257">
        <v>0</v>
      </c>
      <c r="AG330" s="258">
        <v>0</v>
      </c>
      <c r="AH330" s="257">
        <v>0</v>
      </c>
      <c r="AI330" s="258">
        <v>0</v>
      </c>
      <c r="AJ330" s="257">
        <v>0</v>
      </c>
      <c r="AK330" s="258">
        <v>0</v>
      </c>
      <c r="AL330" s="258">
        <v>0</v>
      </c>
      <c r="AM330" s="258">
        <v>0</v>
      </c>
      <c r="AN330" s="258"/>
      <c r="AO330" s="258">
        <v>0</v>
      </c>
    </row>
    <row r="331" spans="1:41" s="259" customFormat="1" ht="36" customHeight="1" x14ac:dyDescent="0.25">
      <c r="A331" s="259">
        <v>1</v>
      </c>
      <c r="B331" s="135">
        <f>SUBTOTAL(103,$A$16:A331)</f>
        <v>301</v>
      </c>
      <c r="C331" s="94" t="s">
        <v>1221</v>
      </c>
      <c r="D331" s="124">
        <v>1917</v>
      </c>
      <c r="E331" s="124"/>
      <c r="F331" s="129" t="s">
        <v>269</v>
      </c>
      <c r="G331" s="124">
        <v>2</v>
      </c>
      <c r="H331" s="124" t="s">
        <v>305</v>
      </c>
      <c r="I331" s="128">
        <v>389.7</v>
      </c>
      <c r="J331" s="128">
        <v>385</v>
      </c>
      <c r="K331" s="128">
        <v>385</v>
      </c>
      <c r="L331" s="126">
        <v>11</v>
      </c>
      <c r="M331" s="124" t="s">
        <v>267</v>
      </c>
      <c r="N331" s="124" t="s">
        <v>271</v>
      </c>
      <c r="O331" s="127" t="s">
        <v>335</v>
      </c>
      <c r="P331" s="128">
        <v>1882894.5999999999</v>
      </c>
      <c r="Q331" s="128">
        <v>0</v>
      </c>
      <c r="R331" s="128">
        <v>0</v>
      </c>
      <c r="S331" s="128">
        <f t="shared" si="50"/>
        <v>1882894.5999999999</v>
      </c>
      <c r="T331" s="128">
        <f t="shared" si="39"/>
        <v>4831.651526815499</v>
      </c>
      <c r="U331" s="128">
        <v>6012.802455735181</v>
      </c>
      <c r="V331" s="257">
        <f t="shared" si="42"/>
        <v>1181.150928919682</v>
      </c>
      <c r="W331" s="257">
        <f t="shared" si="51"/>
        <v>15116.68090839107</v>
      </c>
      <c r="X331" s="257">
        <v>0</v>
      </c>
      <c r="Y331" s="258">
        <v>0</v>
      </c>
      <c r="Z331" s="258">
        <v>0</v>
      </c>
      <c r="AA331" s="258">
        <v>0</v>
      </c>
      <c r="AB331" s="258">
        <v>0</v>
      </c>
      <c r="AC331" s="258">
        <v>0</v>
      </c>
      <c r="AD331" s="258">
        <v>0</v>
      </c>
      <c r="AE331" s="258">
        <v>0</v>
      </c>
      <c r="AF331" s="257">
        <v>0</v>
      </c>
      <c r="AG331" s="258">
        <v>0</v>
      </c>
      <c r="AH331" s="257">
        <v>0</v>
      </c>
      <c r="AI331" s="258">
        <v>755</v>
      </c>
      <c r="AJ331" s="257">
        <f>7802.61*AI331/I331</f>
        <v>15116.68090839107</v>
      </c>
      <c r="AK331" s="258">
        <v>0</v>
      </c>
      <c r="AL331" s="258">
        <v>0</v>
      </c>
      <c r="AM331" s="258">
        <v>0</v>
      </c>
      <c r="AN331" s="258"/>
      <c r="AO331" s="258">
        <v>0</v>
      </c>
    </row>
    <row r="332" spans="1:41" s="259" customFormat="1" ht="36" customHeight="1" x14ac:dyDescent="0.25">
      <c r="A332" s="259">
        <v>1</v>
      </c>
      <c r="B332" s="135">
        <f>SUBTOTAL(103,$A$16:A332)</f>
        <v>302</v>
      </c>
      <c r="C332" s="94" t="s">
        <v>1542</v>
      </c>
      <c r="D332" s="124">
        <v>1967</v>
      </c>
      <c r="E332" s="124"/>
      <c r="F332" s="129" t="s">
        <v>269</v>
      </c>
      <c r="G332" s="124">
        <v>2</v>
      </c>
      <c r="H332" s="124" t="s">
        <v>306</v>
      </c>
      <c r="I332" s="128">
        <v>391.7</v>
      </c>
      <c r="J332" s="128">
        <v>362.7</v>
      </c>
      <c r="K332" s="128">
        <v>362.7</v>
      </c>
      <c r="L332" s="126">
        <v>18</v>
      </c>
      <c r="M332" s="124" t="s">
        <v>267</v>
      </c>
      <c r="N332" s="124" t="s">
        <v>271</v>
      </c>
      <c r="O332" s="127" t="s">
        <v>336</v>
      </c>
      <c r="P332" s="128">
        <v>1422597.9100000001</v>
      </c>
      <c r="Q332" s="128">
        <v>0</v>
      </c>
      <c r="R332" s="128">
        <v>0</v>
      </c>
      <c r="S332" s="128">
        <f t="shared" si="50"/>
        <v>1422597.9100000001</v>
      </c>
      <c r="T332" s="128">
        <f t="shared" si="39"/>
        <v>3631.8557824865975</v>
      </c>
      <c r="U332" s="128">
        <v>5240.052323972428</v>
      </c>
      <c r="V332" s="257">
        <f t="shared" si="42"/>
        <v>1608.1965414858305</v>
      </c>
      <c r="W332" s="257">
        <f t="shared" si="51"/>
        <v>16522.761261169264</v>
      </c>
      <c r="X332" s="257">
        <v>0</v>
      </c>
      <c r="Y332" s="258">
        <v>0</v>
      </c>
      <c r="Z332" s="258">
        <v>0</v>
      </c>
      <c r="AA332" s="258">
        <v>0</v>
      </c>
      <c r="AB332" s="258">
        <v>0</v>
      </c>
      <c r="AC332" s="258">
        <v>0</v>
      </c>
      <c r="AD332" s="258">
        <v>0</v>
      </c>
      <c r="AE332" s="258">
        <v>0</v>
      </c>
      <c r="AF332" s="257">
        <v>0</v>
      </c>
      <c r="AG332" s="258">
        <v>0</v>
      </c>
      <c r="AH332" s="257">
        <v>0</v>
      </c>
      <c r="AI332" s="258">
        <v>0</v>
      </c>
      <c r="AJ332" s="257">
        <v>0</v>
      </c>
      <c r="AK332" s="258">
        <v>84.3</v>
      </c>
      <c r="AL332" s="257">
        <f>76773.02*AK332/I332</f>
        <v>16522.761261169264</v>
      </c>
      <c r="AM332" s="258">
        <v>0</v>
      </c>
      <c r="AN332" s="258"/>
      <c r="AO332" s="258">
        <v>0</v>
      </c>
    </row>
    <row r="333" spans="1:41" s="259" customFormat="1" ht="36" customHeight="1" x14ac:dyDescent="0.25">
      <c r="A333" s="259">
        <v>1</v>
      </c>
      <c r="B333" s="135">
        <f>SUBTOTAL(103,$A$16:A333)</f>
        <v>303</v>
      </c>
      <c r="C333" s="94" t="s">
        <v>1543</v>
      </c>
      <c r="D333" s="124">
        <v>1969</v>
      </c>
      <c r="E333" s="124"/>
      <c r="F333" s="129" t="s">
        <v>269</v>
      </c>
      <c r="G333" s="124">
        <v>2</v>
      </c>
      <c r="H333" s="124" t="s">
        <v>305</v>
      </c>
      <c r="I333" s="128">
        <v>1229.8</v>
      </c>
      <c r="J333" s="128">
        <v>730</v>
      </c>
      <c r="K333" s="128">
        <v>648.4</v>
      </c>
      <c r="L333" s="126">
        <v>31</v>
      </c>
      <c r="M333" s="124" t="s">
        <v>267</v>
      </c>
      <c r="N333" s="124" t="s">
        <v>271</v>
      </c>
      <c r="O333" s="127" t="s">
        <v>335</v>
      </c>
      <c r="P333" s="128">
        <v>2288055.7799999998</v>
      </c>
      <c r="Q333" s="128">
        <v>0</v>
      </c>
      <c r="R333" s="128">
        <v>0</v>
      </c>
      <c r="S333" s="128">
        <f t="shared" si="50"/>
        <v>2288055.7799999998</v>
      </c>
      <c r="T333" s="128">
        <f t="shared" si="39"/>
        <v>1860.5104732476825</v>
      </c>
      <c r="U333" s="128">
        <v>3056.9457641079848</v>
      </c>
      <c r="V333" s="257">
        <f t="shared" si="42"/>
        <v>1196.4352908603023</v>
      </c>
      <c r="W333" s="257">
        <f t="shared" si="51"/>
        <v>1898.8648666449828</v>
      </c>
      <c r="X333" s="257">
        <v>0</v>
      </c>
      <c r="Y333" s="258">
        <v>0</v>
      </c>
      <c r="Z333" s="258">
        <v>0</v>
      </c>
      <c r="AA333" s="258">
        <v>0</v>
      </c>
      <c r="AB333" s="258">
        <v>0</v>
      </c>
      <c r="AC333" s="258">
        <v>0</v>
      </c>
      <c r="AD333" s="258">
        <v>0</v>
      </c>
      <c r="AE333" s="258">
        <v>374.3</v>
      </c>
      <c r="AF333" s="257">
        <f>6238.91*AE333/I333</f>
        <v>1898.8648666449828</v>
      </c>
      <c r="AG333" s="258">
        <v>0</v>
      </c>
      <c r="AH333" s="257">
        <v>0</v>
      </c>
      <c r="AI333" s="258">
        <v>0</v>
      </c>
      <c r="AJ333" s="257">
        <v>0</v>
      </c>
      <c r="AK333" s="258">
        <v>0</v>
      </c>
      <c r="AL333" s="258">
        <v>0</v>
      </c>
      <c r="AM333" s="258">
        <v>0</v>
      </c>
      <c r="AN333" s="258"/>
      <c r="AO333" s="258">
        <v>0</v>
      </c>
    </row>
    <row r="334" spans="1:41" s="259" customFormat="1" ht="36" customHeight="1" x14ac:dyDescent="0.25">
      <c r="A334" s="259">
        <v>1</v>
      </c>
      <c r="B334" s="135">
        <f>SUBTOTAL(103,$A$16:A334)</f>
        <v>304</v>
      </c>
      <c r="C334" s="94" t="s">
        <v>1557</v>
      </c>
      <c r="D334" s="124">
        <v>1949</v>
      </c>
      <c r="E334" s="124"/>
      <c r="F334" s="129" t="s">
        <v>1317</v>
      </c>
      <c r="G334" s="124">
        <v>2</v>
      </c>
      <c r="H334" s="124" t="s">
        <v>305</v>
      </c>
      <c r="I334" s="128">
        <v>760.8</v>
      </c>
      <c r="J334" s="128">
        <v>760.8</v>
      </c>
      <c r="K334" s="128">
        <v>760.8</v>
      </c>
      <c r="L334" s="126">
        <v>40</v>
      </c>
      <c r="M334" s="124" t="s">
        <v>267</v>
      </c>
      <c r="N334" s="124" t="s">
        <v>271</v>
      </c>
      <c r="O334" s="127" t="s">
        <v>336</v>
      </c>
      <c r="P334" s="128">
        <v>2360181.94</v>
      </c>
      <c r="Q334" s="128">
        <v>0</v>
      </c>
      <c r="R334" s="128">
        <v>0</v>
      </c>
      <c r="S334" s="128">
        <f>P334-R334-Q334</f>
        <v>2360181.94</v>
      </c>
      <c r="T334" s="128">
        <f t="shared" ref="T334:T396" si="52">P334/I334</f>
        <v>3102.237039957939</v>
      </c>
      <c r="U334" s="128">
        <v>5189.5888947160884</v>
      </c>
      <c r="V334" s="257">
        <f t="shared" si="42"/>
        <v>2087.3518547581493</v>
      </c>
      <c r="W334" s="257">
        <f t="shared" si="51"/>
        <v>2688.6848339905364</v>
      </c>
      <c r="X334" s="257">
        <v>0</v>
      </c>
      <c r="Y334" s="258">
        <v>0</v>
      </c>
      <c r="Z334" s="258">
        <v>0</v>
      </c>
      <c r="AA334" s="258">
        <v>0</v>
      </c>
      <c r="AB334" s="258">
        <v>0</v>
      </c>
      <c r="AC334" s="258">
        <v>0</v>
      </c>
      <c r="AD334" s="258">
        <v>0</v>
      </c>
      <c r="AE334" s="258">
        <v>327.87</v>
      </c>
      <c r="AF334" s="257">
        <f>6238.91*AE334/I334</f>
        <v>2688.6848339905364</v>
      </c>
      <c r="AG334" s="258">
        <v>0</v>
      </c>
      <c r="AH334" s="257">
        <v>0</v>
      </c>
      <c r="AI334" s="258">
        <v>0</v>
      </c>
      <c r="AJ334" s="257">
        <v>0</v>
      </c>
      <c r="AK334" s="258">
        <v>0</v>
      </c>
      <c r="AL334" s="258">
        <v>0</v>
      </c>
      <c r="AM334" s="258">
        <v>0</v>
      </c>
      <c r="AN334" s="258"/>
      <c r="AO334" s="258">
        <v>0</v>
      </c>
    </row>
    <row r="335" spans="1:41" s="259" customFormat="1" ht="36" customHeight="1" x14ac:dyDescent="0.25">
      <c r="A335" s="259">
        <v>1</v>
      </c>
      <c r="B335" s="135">
        <f>SUBTOTAL(103,$A$16:A335)</f>
        <v>305</v>
      </c>
      <c r="C335" s="94" t="s">
        <v>1558</v>
      </c>
      <c r="D335" s="124">
        <v>1961</v>
      </c>
      <c r="E335" s="124"/>
      <c r="F335" s="129" t="s">
        <v>269</v>
      </c>
      <c r="G335" s="124">
        <v>2</v>
      </c>
      <c r="H335" s="124" t="s">
        <v>305</v>
      </c>
      <c r="I335" s="128">
        <v>755.3</v>
      </c>
      <c r="J335" s="128">
        <v>755.3</v>
      </c>
      <c r="K335" s="128">
        <v>755.3</v>
      </c>
      <c r="L335" s="126">
        <v>28</v>
      </c>
      <c r="M335" s="124" t="s">
        <v>267</v>
      </c>
      <c r="N335" s="124" t="s">
        <v>271</v>
      </c>
      <c r="O335" s="127" t="s">
        <v>335</v>
      </c>
      <c r="P335" s="128">
        <v>2304536.62</v>
      </c>
      <c r="Q335" s="128">
        <v>0</v>
      </c>
      <c r="R335" s="128">
        <v>0</v>
      </c>
      <c r="S335" s="128">
        <f>P335-R335-Q335</f>
        <v>2304536.62</v>
      </c>
      <c r="T335" s="128">
        <f t="shared" si="52"/>
        <v>3051.1540050311137</v>
      </c>
      <c r="U335" s="128">
        <v>4907.2827926651662</v>
      </c>
      <c r="V335" s="257">
        <f t="shared" si="42"/>
        <v>1856.1287876340525</v>
      </c>
      <c r="W335" s="257">
        <f t="shared" si="51"/>
        <v>4960.482751621872</v>
      </c>
      <c r="X335" s="257">
        <v>0</v>
      </c>
      <c r="Y335" s="258">
        <v>0</v>
      </c>
      <c r="Z335" s="258">
        <v>0</v>
      </c>
      <c r="AA335" s="258">
        <v>0</v>
      </c>
      <c r="AB335" s="258">
        <v>0</v>
      </c>
      <c r="AC335" s="258">
        <v>0</v>
      </c>
      <c r="AD335" s="258">
        <v>0</v>
      </c>
      <c r="AE335" s="258">
        <v>600.53</v>
      </c>
      <c r="AF335" s="257">
        <f>6238.91*AE335/I335</f>
        <v>4960.482751621872</v>
      </c>
      <c r="AG335" s="258">
        <v>0</v>
      </c>
      <c r="AH335" s="257">
        <v>0</v>
      </c>
      <c r="AI335" s="258">
        <v>0</v>
      </c>
      <c r="AJ335" s="257">
        <v>0</v>
      </c>
      <c r="AK335" s="258">
        <v>0</v>
      </c>
      <c r="AL335" s="258">
        <v>0</v>
      </c>
      <c r="AM335" s="258">
        <v>0</v>
      </c>
      <c r="AN335" s="258"/>
      <c r="AO335" s="258">
        <v>0</v>
      </c>
    </row>
    <row r="336" spans="1:41" s="259" customFormat="1" ht="36" customHeight="1" x14ac:dyDescent="0.25">
      <c r="A336" s="259">
        <v>1</v>
      </c>
      <c r="B336" s="135">
        <f>SUBTOTAL(103,$A$16:A336)</f>
        <v>306</v>
      </c>
      <c r="C336" s="94" t="s">
        <v>1594</v>
      </c>
      <c r="D336" s="124">
        <v>1958</v>
      </c>
      <c r="E336" s="124"/>
      <c r="F336" s="129" t="s">
        <v>332</v>
      </c>
      <c r="G336" s="124">
        <v>2</v>
      </c>
      <c r="H336" s="124" t="s">
        <v>306</v>
      </c>
      <c r="I336" s="128">
        <v>658</v>
      </c>
      <c r="J336" s="128">
        <v>250.1</v>
      </c>
      <c r="K336" s="128">
        <v>250.1</v>
      </c>
      <c r="L336" s="126">
        <v>21</v>
      </c>
      <c r="M336" s="124" t="s">
        <v>267</v>
      </c>
      <c r="N336" s="124" t="s">
        <v>271</v>
      </c>
      <c r="O336" s="127" t="s">
        <v>335</v>
      </c>
      <c r="P336" s="128">
        <v>40603.629999999997</v>
      </c>
      <c r="Q336" s="128">
        <v>0</v>
      </c>
      <c r="R336" s="128">
        <v>0</v>
      </c>
      <c r="S336" s="128">
        <f>P336-R336-Q336</f>
        <v>40603.629999999997</v>
      </c>
      <c r="T336" s="128">
        <f t="shared" si="52"/>
        <v>61.707644376899694</v>
      </c>
      <c r="U336" s="128">
        <v>61.707644376899694</v>
      </c>
      <c r="V336" s="257">
        <f t="shared" si="42"/>
        <v>0</v>
      </c>
      <c r="W336" s="257">
        <f t="shared" si="51"/>
        <v>5745.8654407294835</v>
      </c>
      <c r="X336" s="257">
        <v>0</v>
      </c>
      <c r="Y336" s="258">
        <v>0</v>
      </c>
      <c r="Z336" s="258">
        <v>0</v>
      </c>
      <c r="AA336" s="258">
        <v>0</v>
      </c>
      <c r="AB336" s="258">
        <v>0</v>
      </c>
      <c r="AC336" s="258">
        <v>0</v>
      </c>
      <c r="AD336" s="258">
        <v>0</v>
      </c>
      <c r="AE336" s="258">
        <v>606</v>
      </c>
      <c r="AF336" s="257">
        <f>6238.91*AE336/I336</f>
        <v>5745.8654407294835</v>
      </c>
      <c r="AG336" s="258">
        <v>0</v>
      </c>
      <c r="AH336" s="257">
        <v>0</v>
      </c>
      <c r="AI336" s="258">
        <v>0</v>
      </c>
      <c r="AJ336" s="257">
        <v>0</v>
      </c>
      <c r="AK336" s="258">
        <v>0</v>
      </c>
      <c r="AL336" s="258">
        <v>0</v>
      </c>
      <c r="AM336" s="258">
        <v>0</v>
      </c>
      <c r="AN336" s="258"/>
      <c r="AO336" s="258">
        <v>0</v>
      </c>
    </row>
    <row r="337" spans="1:41" s="259" customFormat="1" ht="36" customHeight="1" x14ac:dyDescent="0.25">
      <c r="A337" s="259">
        <v>1</v>
      </c>
      <c r="B337" s="135">
        <f>SUBTOTAL(103,$A$16:A337)</f>
        <v>307</v>
      </c>
      <c r="C337" s="94" t="s">
        <v>1219</v>
      </c>
      <c r="D337" s="124">
        <v>1955</v>
      </c>
      <c r="E337" s="124"/>
      <c r="F337" s="129" t="s">
        <v>1317</v>
      </c>
      <c r="G337" s="124">
        <v>2</v>
      </c>
      <c r="H337" s="124" t="s">
        <v>305</v>
      </c>
      <c r="I337" s="128">
        <v>805.7</v>
      </c>
      <c r="J337" s="128">
        <v>731</v>
      </c>
      <c r="K337" s="128">
        <v>731</v>
      </c>
      <c r="L337" s="126">
        <v>37</v>
      </c>
      <c r="M337" s="124" t="s">
        <v>267</v>
      </c>
      <c r="N337" s="124" t="s">
        <v>271</v>
      </c>
      <c r="O337" s="127" t="s">
        <v>335</v>
      </c>
      <c r="P337" s="128">
        <v>89335.7</v>
      </c>
      <c r="Q337" s="128">
        <v>0</v>
      </c>
      <c r="R337" s="128">
        <v>0</v>
      </c>
      <c r="S337" s="128">
        <f>P337-R337-Q337</f>
        <v>89335.7</v>
      </c>
      <c r="T337" s="128">
        <f t="shared" si="52"/>
        <v>110.87960779446443</v>
      </c>
      <c r="U337" s="128">
        <v>110.87960779446443</v>
      </c>
      <c r="V337" s="257">
        <f t="shared" ref="V337" si="53">U337-T337</f>
        <v>0</v>
      </c>
      <c r="W337" s="257">
        <f t="shared" si="51"/>
        <v>1866.4986148690577</v>
      </c>
      <c r="X337" s="257">
        <v>0</v>
      </c>
      <c r="Y337" s="258">
        <v>0</v>
      </c>
      <c r="Z337" s="258">
        <v>0</v>
      </c>
      <c r="AA337" s="258">
        <v>0</v>
      </c>
      <c r="AB337" s="258">
        <v>0</v>
      </c>
      <c r="AC337" s="258">
        <v>0</v>
      </c>
      <c r="AD337" s="258">
        <v>0</v>
      </c>
      <c r="AE337" s="258">
        <v>0</v>
      </c>
      <c r="AF337" s="257">
        <v>0</v>
      </c>
      <c r="AG337" s="258">
        <v>0</v>
      </c>
      <c r="AH337" s="257">
        <v>0</v>
      </c>
      <c r="AI337" s="258">
        <v>377.9</v>
      </c>
      <c r="AJ337" s="257">
        <f>3979.46*AI337/I337</f>
        <v>1866.4986148690577</v>
      </c>
      <c r="AK337" s="258">
        <v>0</v>
      </c>
      <c r="AL337" s="258">
        <v>0</v>
      </c>
      <c r="AM337" s="258">
        <v>0</v>
      </c>
      <c r="AN337" s="258"/>
      <c r="AO337" s="258">
        <v>0</v>
      </c>
    </row>
    <row r="338" spans="1:41" s="259" customFormat="1" ht="36" customHeight="1" x14ac:dyDescent="0.25">
      <c r="B338" s="94" t="s">
        <v>831</v>
      </c>
      <c r="C338" s="94"/>
      <c r="D338" s="124" t="s">
        <v>896</v>
      </c>
      <c r="E338" s="124" t="s">
        <v>896</v>
      </c>
      <c r="F338" s="124" t="s">
        <v>896</v>
      </c>
      <c r="G338" s="124" t="s">
        <v>896</v>
      </c>
      <c r="H338" s="124" t="s">
        <v>896</v>
      </c>
      <c r="I338" s="125">
        <f>SUM(I339:I343)</f>
        <v>1768.6000000000001</v>
      </c>
      <c r="J338" s="125">
        <f>SUM(J339:J343)</f>
        <v>1496.2</v>
      </c>
      <c r="K338" s="125">
        <f>SUM(K339:K343)</f>
        <v>1496.2</v>
      </c>
      <c r="L338" s="126">
        <f>SUM(L339:L343)</f>
        <v>65</v>
      </c>
      <c r="M338" s="124" t="s">
        <v>896</v>
      </c>
      <c r="N338" s="124" t="s">
        <v>896</v>
      </c>
      <c r="O338" s="127" t="s">
        <v>896</v>
      </c>
      <c r="P338" s="125">
        <v>2260405.9900000002</v>
      </c>
      <c r="Q338" s="125">
        <f>SUM(Q339:Q343)</f>
        <v>0</v>
      </c>
      <c r="R338" s="125">
        <f>SUM(R339:R343)</f>
        <v>0</v>
      </c>
      <c r="S338" s="125">
        <f>SUM(S339:S343)</f>
        <v>2260405.9900000002</v>
      </c>
      <c r="T338" s="128">
        <f t="shared" si="52"/>
        <v>1278.0764389912927</v>
      </c>
      <c r="U338" s="128">
        <f>MAX(U339:U343)</f>
        <v>5745.1699138699141</v>
      </c>
      <c r="V338" s="257">
        <f t="shared" ref="V338:V398" si="54">U338-T338</f>
        <v>4467.0934748786212</v>
      </c>
      <c r="W338" s="257"/>
      <c r="X338" s="257"/>
      <c r="Y338" s="258"/>
      <c r="Z338" s="258"/>
      <c r="AA338" s="258"/>
      <c r="AB338" s="258"/>
      <c r="AC338" s="258"/>
      <c r="AD338" s="258"/>
      <c r="AE338" s="258"/>
      <c r="AF338" s="258"/>
      <c r="AG338" s="258"/>
      <c r="AH338" s="258"/>
      <c r="AI338" s="258"/>
      <c r="AJ338" s="258"/>
      <c r="AK338" s="258"/>
      <c r="AL338" s="258"/>
      <c r="AM338" s="258"/>
      <c r="AN338" s="258"/>
      <c r="AO338" s="258"/>
    </row>
    <row r="339" spans="1:41" s="259" customFormat="1" ht="36" customHeight="1" x14ac:dyDescent="0.25">
      <c r="A339" s="259">
        <v>1</v>
      </c>
      <c r="B339" s="135">
        <f>SUBTOTAL(103,$A$16:A339)</f>
        <v>308</v>
      </c>
      <c r="C339" s="94" t="s">
        <v>247</v>
      </c>
      <c r="D339" s="124">
        <v>1955</v>
      </c>
      <c r="E339" s="124"/>
      <c r="F339" s="129" t="s">
        <v>332</v>
      </c>
      <c r="G339" s="124">
        <v>2</v>
      </c>
      <c r="H339" s="124" t="s">
        <v>305</v>
      </c>
      <c r="I339" s="128">
        <v>374.6</v>
      </c>
      <c r="J339" s="128">
        <v>343.4</v>
      </c>
      <c r="K339" s="128">
        <v>343.4</v>
      </c>
      <c r="L339" s="126">
        <v>9</v>
      </c>
      <c r="M339" s="124" t="s">
        <v>267</v>
      </c>
      <c r="N339" s="124" t="s">
        <v>268</v>
      </c>
      <c r="O339" s="127" t="s">
        <v>270</v>
      </c>
      <c r="P339" s="128">
        <v>9547.9500000000007</v>
      </c>
      <c r="Q339" s="128">
        <v>0</v>
      </c>
      <c r="R339" s="128">
        <v>0</v>
      </c>
      <c r="S339" s="128">
        <f>P339-Q339-R339</f>
        <v>9547.9500000000007</v>
      </c>
      <c r="T339" s="128">
        <f t="shared" si="52"/>
        <v>25.488387613454353</v>
      </c>
      <c r="U339" s="128">
        <v>25.488387613454353</v>
      </c>
      <c r="V339" s="257">
        <f t="shared" si="54"/>
        <v>0</v>
      </c>
      <c r="W339" s="257">
        <f>T339</f>
        <v>25.488387613454353</v>
      </c>
      <c r="X339" s="257">
        <v>0</v>
      </c>
      <c r="Y339" s="258">
        <v>0</v>
      </c>
      <c r="Z339" s="258">
        <v>0</v>
      </c>
      <c r="AA339" s="258">
        <v>0</v>
      </c>
      <c r="AB339" s="258">
        <v>0</v>
      </c>
      <c r="AC339" s="258">
        <v>0</v>
      </c>
      <c r="AD339" s="258">
        <v>0</v>
      </c>
      <c r="AE339" s="258">
        <v>0</v>
      </c>
      <c r="AF339" s="257">
        <v>0</v>
      </c>
      <c r="AG339" s="258">
        <v>0</v>
      </c>
      <c r="AH339" s="257">
        <v>0</v>
      </c>
      <c r="AI339" s="258">
        <v>0</v>
      </c>
      <c r="AJ339" s="257">
        <v>0</v>
      </c>
      <c r="AK339" s="258">
        <v>0</v>
      </c>
      <c r="AL339" s="258">
        <v>0</v>
      </c>
      <c r="AM339" s="258">
        <v>0</v>
      </c>
      <c r="AN339" s="258"/>
      <c r="AO339" s="258">
        <v>0</v>
      </c>
    </row>
    <row r="340" spans="1:41" s="259" customFormat="1" ht="36" customHeight="1" x14ac:dyDescent="0.25">
      <c r="A340" s="259">
        <v>1</v>
      </c>
      <c r="B340" s="135">
        <f>SUBTOTAL(103,$A$16:A340)</f>
        <v>309</v>
      </c>
      <c r="C340" s="94" t="s">
        <v>248</v>
      </c>
      <c r="D340" s="124">
        <v>1954</v>
      </c>
      <c r="E340" s="124"/>
      <c r="F340" s="129" t="s">
        <v>269</v>
      </c>
      <c r="G340" s="124">
        <v>2</v>
      </c>
      <c r="H340" s="124" t="s">
        <v>306</v>
      </c>
      <c r="I340" s="128">
        <v>373.6</v>
      </c>
      <c r="J340" s="128">
        <v>342.5</v>
      </c>
      <c r="K340" s="128">
        <v>342.5</v>
      </c>
      <c r="L340" s="126">
        <v>9</v>
      </c>
      <c r="M340" s="124" t="s">
        <v>267</v>
      </c>
      <c r="N340" s="124" t="s">
        <v>268</v>
      </c>
      <c r="O340" s="127" t="s">
        <v>270</v>
      </c>
      <c r="P340" s="128">
        <v>31750.52</v>
      </c>
      <c r="Q340" s="128">
        <v>0</v>
      </c>
      <c r="R340" s="128">
        <v>0</v>
      </c>
      <c r="S340" s="128">
        <f>P340-Q340-R340</f>
        <v>31750.52</v>
      </c>
      <c r="T340" s="128">
        <f t="shared" si="52"/>
        <v>84.985331905781578</v>
      </c>
      <c r="U340" s="128">
        <v>84.985331905781578</v>
      </c>
      <c r="V340" s="257">
        <f t="shared" si="54"/>
        <v>0</v>
      </c>
      <c r="W340" s="257">
        <f>T340</f>
        <v>84.985331905781578</v>
      </c>
      <c r="X340" s="257">
        <v>0</v>
      </c>
      <c r="Y340" s="258">
        <v>0</v>
      </c>
      <c r="Z340" s="258">
        <v>0</v>
      </c>
      <c r="AA340" s="258">
        <v>184.98</v>
      </c>
      <c r="AB340" s="258">
        <v>0</v>
      </c>
      <c r="AC340" s="258">
        <v>0</v>
      </c>
      <c r="AD340" s="258">
        <v>0</v>
      </c>
      <c r="AE340" s="258">
        <v>0</v>
      </c>
      <c r="AF340" s="257">
        <v>0</v>
      </c>
      <c r="AG340" s="258">
        <v>0</v>
      </c>
      <c r="AH340" s="257">
        <v>0</v>
      </c>
      <c r="AI340" s="258">
        <v>0</v>
      </c>
      <c r="AJ340" s="257">
        <v>0</v>
      </c>
      <c r="AK340" s="258">
        <v>0</v>
      </c>
      <c r="AL340" s="258">
        <v>0</v>
      </c>
      <c r="AM340" s="258">
        <v>0</v>
      </c>
      <c r="AN340" s="258"/>
      <c r="AO340" s="258">
        <v>0</v>
      </c>
    </row>
    <row r="341" spans="1:41" s="259" customFormat="1" ht="36" customHeight="1" x14ac:dyDescent="0.25">
      <c r="A341" s="259">
        <v>1</v>
      </c>
      <c r="B341" s="135">
        <f>SUBTOTAL(103,$A$16:A341)</f>
        <v>310</v>
      </c>
      <c r="C341" s="94" t="s">
        <v>245</v>
      </c>
      <c r="D341" s="124">
        <v>1969</v>
      </c>
      <c r="E341" s="124"/>
      <c r="F341" s="129" t="s">
        <v>269</v>
      </c>
      <c r="G341" s="124">
        <v>2</v>
      </c>
      <c r="H341" s="124" t="s">
        <v>306</v>
      </c>
      <c r="I341" s="128">
        <v>384.6</v>
      </c>
      <c r="J341" s="128">
        <v>229.2</v>
      </c>
      <c r="K341" s="128">
        <v>229.2</v>
      </c>
      <c r="L341" s="126">
        <v>18</v>
      </c>
      <c r="M341" s="124" t="s">
        <v>267</v>
      </c>
      <c r="N341" s="124" t="s">
        <v>268</v>
      </c>
      <c r="O341" s="127" t="s">
        <v>270</v>
      </c>
      <c r="P341" s="128">
        <v>60499.25</v>
      </c>
      <c r="Q341" s="128">
        <v>0</v>
      </c>
      <c r="R341" s="128">
        <v>0</v>
      </c>
      <c r="S341" s="128">
        <f>P341-Q341-R341</f>
        <v>60499.25</v>
      </c>
      <c r="T341" s="128">
        <f t="shared" si="52"/>
        <v>157.30434217368693</v>
      </c>
      <c r="U341" s="128">
        <v>157.30434217368693</v>
      </c>
      <c r="V341" s="257">
        <f t="shared" si="54"/>
        <v>0</v>
      </c>
      <c r="W341" s="257">
        <f t="shared" ref="W341:W343" si="55">X341+Y341+Z341+AA341+AB341+AD341+AF341+AH341+AJ341+AL341+AN341+AO341</f>
        <v>8304.1020072802912</v>
      </c>
      <c r="X341" s="257">
        <v>0</v>
      </c>
      <c r="Y341" s="258">
        <v>0</v>
      </c>
      <c r="Z341" s="258">
        <v>0</v>
      </c>
      <c r="AA341" s="258">
        <v>0</v>
      </c>
      <c r="AB341" s="258">
        <v>0</v>
      </c>
      <c r="AC341" s="258">
        <v>0</v>
      </c>
      <c r="AD341" s="258">
        <v>0</v>
      </c>
      <c r="AE341" s="258">
        <v>0</v>
      </c>
      <c r="AF341" s="257">
        <v>0</v>
      </c>
      <c r="AG341" s="258">
        <v>0</v>
      </c>
      <c r="AH341" s="257">
        <v>0</v>
      </c>
      <c r="AI341" s="258">
        <v>0</v>
      </c>
      <c r="AJ341" s="257">
        <v>0</v>
      </c>
      <c r="AK341" s="258">
        <v>41.6</v>
      </c>
      <c r="AL341" s="257">
        <f>76773.02*AK341/I341</f>
        <v>8304.1020072802912</v>
      </c>
      <c r="AM341" s="258">
        <v>0</v>
      </c>
      <c r="AN341" s="258"/>
      <c r="AO341" s="258">
        <v>0</v>
      </c>
    </row>
    <row r="342" spans="1:41" s="259" customFormat="1" ht="36" customHeight="1" x14ac:dyDescent="0.25">
      <c r="A342" s="259">
        <v>1</v>
      </c>
      <c r="B342" s="135">
        <f>SUBTOTAL(103,$A$16:A342)</f>
        <v>311</v>
      </c>
      <c r="C342" s="94" t="s">
        <v>1544</v>
      </c>
      <c r="D342" s="124">
        <v>1960</v>
      </c>
      <c r="E342" s="124"/>
      <c r="F342" s="129" t="s">
        <v>269</v>
      </c>
      <c r="G342" s="124">
        <v>2</v>
      </c>
      <c r="H342" s="124" t="s">
        <v>306</v>
      </c>
      <c r="I342" s="128">
        <v>299.10000000000002</v>
      </c>
      <c r="J342" s="128">
        <v>244.4</v>
      </c>
      <c r="K342" s="128">
        <v>244.4</v>
      </c>
      <c r="L342" s="126">
        <v>16</v>
      </c>
      <c r="M342" s="124" t="s">
        <v>267</v>
      </c>
      <c r="N342" s="124" t="s">
        <v>268</v>
      </c>
      <c r="O342" s="127" t="s">
        <v>270</v>
      </c>
      <c r="P342" s="128">
        <v>944609.1</v>
      </c>
      <c r="Q342" s="128">
        <v>0</v>
      </c>
      <c r="R342" s="128">
        <v>0</v>
      </c>
      <c r="S342" s="128">
        <f>P342-Q342-R342</f>
        <v>944609.1</v>
      </c>
      <c r="T342" s="128">
        <f t="shared" si="52"/>
        <v>3158.1715145436306</v>
      </c>
      <c r="U342" s="128">
        <v>5436.8002487462381</v>
      </c>
      <c r="V342" s="257">
        <f t="shared" si="54"/>
        <v>2278.6287342026076</v>
      </c>
      <c r="W342" s="257">
        <f t="shared" si="55"/>
        <v>9180.1130391173538</v>
      </c>
      <c r="X342" s="257">
        <v>0</v>
      </c>
      <c r="Y342" s="258">
        <v>0</v>
      </c>
      <c r="Z342" s="258">
        <v>0</v>
      </c>
      <c r="AA342" s="258">
        <v>0</v>
      </c>
      <c r="AB342" s="258">
        <v>0</v>
      </c>
      <c r="AC342" s="258">
        <v>0</v>
      </c>
      <c r="AD342" s="258">
        <v>0</v>
      </c>
      <c r="AE342" s="258">
        <v>0</v>
      </c>
      <c r="AF342" s="257">
        <v>0</v>
      </c>
      <c r="AG342" s="258">
        <v>0</v>
      </c>
      <c r="AH342" s="257">
        <v>0</v>
      </c>
      <c r="AI342" s="258">
        <v>369.1</v>
      </c>
      <c r="AJ342" s="257">
        <f>7439.1*AI342/I342</f>
        <v>9180.1130391173538</v>
      </c>
      <c r="AK342" s="258">
        <v>0</v>
      </c>
      <c r="AL342" s="258">
        <v>0</v>
      </c>
      <c r="AM342" s="258">
        <v>0</v>
      </c>
      <c r="AN342" s="258"/>
      <c r="AO342" s="258">
        <v>0</v>
      </c>
    </row>
    <row r="343" spans="1:41" s="259" customFormat="1" ht="36" customHeight="1" x14ac:dyDescent="0.25">
      <c r="A343" s="259">
        <v>1</v>
      </c>
      <c r="B343" s="135">
        <f>SUBTOTAL(103,$A$16:A343)</f>
        <v>312</v>
      </c>
      <c r="C343" s="94" t="s">
        <v>1545</v>
      </c>
      <c r="D343" s="124">
        <v>1962</v>
      </c>
      <c r="E343" s="124"/>
      <c r="F343" s="129" t="s">
        <v>269</v>
      </c>
      <c r="G343" s="124">
        <v>2</v>
      </c>
      <c r="H343" s="124" t="s">
        <v>306</v>
      </c>
      <c r="I343" s="128">
        <v>336.7</v>
      </c>
      <c r="J343" s="128">
        <v>336.7</v>
      </c>
      <c r="K343" s="128">
        <v>336.7</v>
      </c>
      <c r="L343" s="126">
        <v>13</v>
      </c>
      <c r="M343" s="124" t="s">
        <v>267</v>
      </c>
      <c r="N343" s="124" t="s">
        <v>343</v>
      </c>
      <c r="O343" s="127" t="s">
        <v>1589</v>
      </c>
      <c r="P343" s="128">
        <v>1213999.1700000002</v>
      </c>
      <c r="Q343" s="128">
        <v>0</v>
      </c>
      <c r="R343" s="128">
        <v>0</v>
      </c>
      <c r="S343" s="128">
        <f>P343-R343-Q343</f>
        <v>1213999.1700000002</v>
      </c>
      <c r="T343" s="128">
        <f t="shared" si="52"/>
        <v>3605.5811404811411</v>
      </c>
      <c r="U343" s="128">
        <v>5745.1699138699141</v>
      </c>
      <c r="V343" s="257">
        <f t="shared" si="54"/>
        <v>2139.588773388773</v>
      </c>
      <c r="W343" s="257">
        <f t="shared" si="55"/>
        <v>4813.2440201960198</v>
      </c>
      <c r="X343" s="257">
        <v>0</v>
      </c>
      <c r="Y343" s="258">
        <v>0</v>
      </c>
      <c r="Z343" s="258">
        <v>0</v>
      </c>
      <c r="AA343" s="258">
        <v>0</v>
      </c>
      <c r="AB343" s="258">
        <v>0</v>
      </c>
      <c r="AC343" s="258">
        <v>0</v>
      </c>
      <c r="AD343" s="258">
        <v>0</v>
      </c>
      <c r="AE343" s="258">
        <v>259.76</v>
      </c>
      <c r="AF343" s="257">
        <f>6238.91*AE343/I343</f>
        <v>4813.2440201960198</v>
      </c>
      <c r="AG343" s="258">
        <v>0</v>
      </c>
      <c r="AH343" s="257">
        <v>0</v>
      </c>
      <c r="AI343" s="258">
        <v>0</v>
      </c>
      <c r="AJ343" s="257">
        <v>0</v>
      </c>
      <c r="AK343" s="258">
        <v>0</v>
      </c>
      <c r="AL343" s="258">
        <v>0</v>
      </c>
      <c r="AM343" s="258">
        <v>0</v>
      </c>
      <c r="AN343" s="258"/>
      <c r="AO343" s="258">
        <v>0</v>
      </c>
    </row>
    <row r="344" spans="1:41" s="259" customFormat="1" ht="36" customHeight="1" x14ac:dyDescent="0.25">
      <c r="B344" s="94" t="s">
        <v>832</v>
      </c>
      <c r="C344" s="94"/>
      <c r="D344" s="124" t="s">
        <v>896</v>
      </c>
      <c r="E344" s="124" t="s">
        <v>896</v>
      </c>
      <c r="F344" s="124" t="s">
        <v>896</v>
      </c>
      <c r="G344" s="124" t="s">
        <v>896</v>
      </c>
      <c r="H344" s="124" t="s">
        <v>896</v>
      </c>
      <c r="I344" s="125">
        <f>SUM(I345:I346)</f>
        <v>1222.4000000000001</v>
      </c>
      <c r="J344" s="125">
        <f t="shared" ref="J344:L344" si="56">SUM(J345:J346)</f>
        <v>1166.8</v>
      </c>
      <c r="K344" s="125">
        <f t="shared" si="56"/>
        <v>1166.8</v>
      </c>
      <c r="L344" s="126">
        <f t="shared" si="56"/>
        <v>44</v>
      </c>
      <c r="M344" s="124" t="s">
        <v>896</v>
      </c>
      <c r="N344" s="124" t="s">
        <v>896</v>
      </c>
      <c r="O344" s="127" t="s">
        <v>896</v>
      </c>
      <c r="P344" s="128">
        <v>4429525.8800000008</v>
      </c>
      <c r="Q344" s="128">
        <f t="shared" ref="Q344:S344" si="57">SUM(Q345:Q346)</f>
        <v>0</v>
      </c>
      <c r="R344" s="128">
        <f t="shared" si="57"/>
        <v>0</v>
      </c>
      <c r="S344" s="128">
        <f t="shared" si="57"/>
        <v>4429525.8800000008</v>
      </c>
      <c r="T344" s="128">
        <f t="shared" si="52"/>
        <v>3623.6304646596864</v>
      </c>
      <c r="U344" s="128">
        <f>MAX(U345:U346)</f>
        <v>7880.8422347740689</v>
      </c>
      <c r="V344" s="257">
        <f t="shared" si="54"/>
        <v>4257.2117701143825</v>
      </c>
      <c r="W344" s="257"/>
      <c r="X344" s="257"/>
      <c r="Y344" s="258"/>
      <c r="Z344" s="258"/>
      <c r="AA344" s="258"/>
      <c r="AB344" s="258"/>
      <c r="AC344" s="258"/>
      <c r="AD344" s="258"/>
      <c r="AE344" s="258"/>
      <c r="AF344" s="258"/>
      <c r="AG344" s="258"/>
      <c r="AH344" s="258"/>
      <c r="AI344" s="258"/>
      <c r="AJ344" s="258"/>
      <c r="AK344" s="258"/>
      <c r="AL344" s="258"/>
      <c r="AM344" s="258"/>
      <c r="AN344" s="258"/>
      <c r="AO344" s="258"/>
    </row>
    <row r="345" spans="1:41" s="259" customFormat="1" ht="36" customHeight="1" x14ac:dyDescent="0.25">
      <c r="A345" s="259">
        <v>1</v>
      </c>
      <c r="B345" s="135">
        <f>SUBTOTAL(103,$A$16:A345)</f>
        <v>313</v>
      </c>
      <c r="C345" s="94" t="s">
        <v>242</v>
      </c>
      <c r="D345" s="124">
        <v>1984</v>
      </c>
      <c r="E345" s="124"/>
      <c r="F345" s="129" t="s">
        <v>313</v>
      </c>
      <c r="G345" s="124">
        <v>2</v>
      </c>
      <c r="H345" s="124" t="s">
        <v>305</v>
      </c>
      <c r="I345" s="128">
        <v>611.6</v>
      </c>
      <c r="J345" s="128">
        <v>556</v>
      </c>
      <c r="K345" s="128">
        <v>556</v>
      </c>
      <c r="L345" s="126">
        <v>22</v>
      </c>
      <c r="M345" s="124" t="s">
        <v>267</v>
      </c>
      <c r="N345" s="124" t="s">
        <v>268</v>
      </c>
      <c r="O345" s="127" t="s">
        <v>270</v>
      </c>
      <c r="P345" s="128">
        <v>2286802.33</v>
      </c>
      <c r="Q345" s="128">
        <v>0</v>
      </c>
      <c r="R345" s="128">
        <v>0</v>
      </c>
      <c r="S345" s="128">
        <f>P345-Q345-R345</f>
        <v>2286802.33</v>
      </c>
      <c r="T345" s="128">
        <f t="shared" si="52"/>
        <v>3739.0489372138654</v>
      </c>
      <c r="U345" s="128">
        <v>5967.3356115107918</v>
      </c>
      <c r="V345" s="257">
        <f t="shared" si="54"/>
        <v>2228.2866742969263</v>
      </c>
      <c r="W345" s="257">
        <f t="shared" ref="W345:W346" si="58">X345+Y345+Z345+AA345+AB345+AD345+AF345+AH345+AJ345+AL345+AN345+AO345</f>
        <v>6258.9281654676261</v>
      </c>
      <c r="X345" s="257">
        <v>0</v>
      </c>
      <c r="Y345" s="258">
        <v>0</v>
      </c>
      <c r="Z345" s="258">
        <v>0</v>
      </c>
      <c r="AA345" s="258">
        <v>0</v>
      </c>
      <c r="AB345" s="258">
        <v>0</v>
      </c>
      <c r="AC345" s="258">
        <v>0</v>
      </c>
      <c r="AD345" s="258">
        <v>0</v>
      </c>
      <c r="AE345" s="258">
        <v>0</v>
      </c>
      <c r="AF345" s="257">
        <v>0</v>
      </c>
      <c r="AG345" s="258">
        <v>0</v>
      </c>
      <c r="AH345" s="257">
        <v>0</v>
      </c>
      <c r="AI345" s="258">
        <v>490.6</v>
      </c>
      <c r="AJ345" s="257">
        <f>7802.61*AI345/I345</f>
        <v>6258.9281654676261</v>
      </c>
      <c r="AK345" s="258">
        <v>0</v>
      </c>
      <c r="AL345" s="258">
        <v>0</v>
      </c>
      <c r="AM345" s="258">
        <v>0</v>
      </c>
      <c r="AN345" s="258"/>
      <c r="AO345" s="258">
        <v>0</v>
      </c>
    </row>
    <row r="346" spans="1:41" s="259" customFormat="1" ht="36" customHeight="1" x14ac:dyDescent="0.25">
      <c r="A346" s="259">
        <v>1</v>
      </c>
      <c r="B346" s="135">
        <f>SUBTOTAL(103,$A$16:A346)</f>
        <v>314</v>
      </c>
      <c r="C346" s="94" t="s">
        <v>1222</v>
      </c>
      <c r="D346" s="124">
        <v>1984</v>
      </c>
      <c r="E346" s="124"/>
      <c r="F346" s="129" t="s">
        <v>320</v>
      </c>
      <c r="G346" s="124">
        <v>2</v>
      </c>
      <c r="H346" s="124" t="s">
        <v>305</v>
      </c>
      <c r="I346" s="128">
        <v>610.79999999999995</v>
      </c>
      <c r="J346" s="128">
        <v>610.79999999999995</v>
      </c>
      <c r="K346" s="128">
        <v>610.79999999999995</v>
      </c>
      <c r="L346" s="126">
        <v>22</v>
      </c>
      <c r="M346" s="124" t="s">
        <v>267</v>
      </c>
      <c r="N346" s="124" t="s">
        <v>268</v>
      </c>
      <c r="O346" s="127" t="s">
        <v>270</v>
      </c>
      <c r="P346" s="128">
        <v>2142723.5500000003</v>
      </c>
      <c r="Q346" s="128">
        <v>0</v>
      </c>
      <c r="R346" s="128">
        <v>0</v>
      </c>
      <c r="S346" s="128">
        <f>P346-Q346-R346</f>
        <v>2142723.5500000003</v>
      </c>
      <c r="T346" s="128">
        <f t="shared" si="52"/>
        <v>3508.0608218729544</v>
      </c>
      <c r="U346" s="128">
        <v>7880.8422347740689</v>
      </c>
      <c r="V346" s="257">
        <f t="shared" si="54"/>
        <v>4372.7814129011149</v>
      </c>
      <c r="W346" s="257">
        <f t="shared" si="58"/>
        <v>8407.3505982318275</v>
      </c>
      <c r="X346" s="257">
        <v>0</v>
      </c>
      <c r="Y346" s="258">
        <v>0</v>
      </c>
      <c r="Z346" s="258">
        <v>0</v>
      </c>
      <c r="AA346" s="258">
        <v>0</v>
      </c>
      <c r="AB346" s="258">
        <v>0</v>
      </c>
      <c r="AC346" s="258">
        <v>0</v>
      </c>
      <c r="AD346" s="258">
        <v>0</v>
      </c>
      <c r="AE346" s="258">
        <v>0</v>
      </c>
      <c r="AF346" s="257">
        <v>0</v>
      </c>
      <c r="AG346" s="258">
        <v>0</v>
      </c>
      <c r="AH346" s="257">
        <v>0</v>
      </c>
      <c r="AI346" s="258">
        <v>658.14</v>
      </c>
      <c r="AJ346" s="257">
        <f>7802.61*AI346/I346</f>
        <v>8407.3505982318275</v>
      </c>
      <c r="AK346" s="258">
        <v>0</v>
      </c>
      <c r="AL346" s="258">
        <v>0</v>
      </c>
      <c r="AM346" s="258">
        <v>0</v>
      </c>
      <c r="AN346" s="258"/>
      <c r="AO346" s="258">
        <v>0</v>
      </c>
    </row>
    <row r="347" spans="1:41" s="259" customFormat="1" ht="36" customHeight="1" x14ac:dyDescent="0.25">
      <c r="B347" s="94" t="s">
        <v>833</v>
      </c>
      <c r="C347" s="262"/>
      <c r="D347" s="124" t="s">
        <v>896</v>
      </c>
      <c r="E347" s="124" t="s">
        <v>896</v>
      </c>
      <c r="F347" s="124" t="s">
        <v>896</v>
      </c>
      <c r="G347" s="124" t="s">
        <v>896</v>
      </c>
      <c r="H347" s="124" t="s">
        <v>896</v>
      </c>
      <c r="I347" s="125">
        <f>SUM(I348:I349)</f>
        <v>1746.5</v>
      </c>
      <c r="J347" s="125">
        <f>SUM(J348:J349)</f>
        <v>1598.5</v>
      </c>
      <c r="K347" s="125">
        <f>SUM(K348:K349)</f>
        <v>1598.5</v>
      </c>
      <c r="L347" s="126">
        <f>SUM(L348:L349)</f>
        <v>78</v>
      </c>
      <c r="M347" s="124" t="s">
        <v>896</v>
      </c>
      <c r="N347" s="124" t="s">
        <v>896</v>
      </c>
      <c r="O347" s="127" t="s">
        <v>896</v>
      </c>
      <c r="P347" s="128">
        <v>7840990.7699999996</v>
      </c>
      <c r="Q347" s="128">
        <f>SUM(Q348:Q349)</f>
        <v>0</v>
      </c>
      <c r="R347" s="128">
        <f>SUM(R348:R349)</f>
        <v>0</v>
      </c>
      <c r="S347" s="128">
        <f>SUM(S348:S349)</f>
        <v>7840990.7699999996</v>
      </c>
      <c r="T347" s="128">
        <f t="shared" si="52"/>
        <v>4489.5452447752641</v>
      </c>
      <c r="U347" s="128">
        <f>MAX(U348:U349)</f>
        <v>5266.7086997685665</v>
      </c>
      <c r="V347" s="257">
        <f t="shared" si="54"/>
        <v>777.16345499330237</v>
      </c>
      <c r="W347" s="257"/>
      <c r="X347" s="257"/>
      <c r="Y347" s="258"/>
      <c r="Z347" s="258"/>
      <c r="AA347" s="258"/>
      <c r="AB347" s="258"/>
      <c r="AC347" s="258"/>
      <c r="AD347" s="258"/>
      <c r="AE347" s="258"/>
      <c r="AF347" s="258"/>
      <c r="AG347" s="258"/>
      <c r="AH347" s="258"/>
      <c r="AI347" s="258"/>
      <c r="AJ347" s="258"/>
      <c r="AK347" s="258"/>
      <c r="AL347" s="258"/>
      <c r="AM347" s="258"/>
      <c r="AN347" s="258"/>
      <c r="AO347" s="258"/>
    </row>
    <row r="348" spans="1:41" s="259" customFormat="1" ht="36" customHeight="1" x14ac:dyDescent="0.25">
      <c r="A348" s="259">
        <v>1</v>
      </c>
      <c r="B348" s="135">
        <f>SUBTOTAL(103,$A$16:A348)</f>
        <v>315</v>
      </c>
      <c r="C348" s="131" t="s">
        <v>0</v>
      </c>
      <c r="D348" s="124">
        <v>1975</v>
      </c>
      <c r="E348" s="124"/>
      <c r="F348" s="129" t="s">
        <v>269</v>
      </c>
      <c r="G348" s="124">
        <v>2</v>
      </c>
      <c r="H348" s="124" t="s">
        <v>305</v>
      </c>
      <c r="I348" s="128">
        <v>795.9</v>
      </c>
      <c r="J348" s="128">
        <v>735.5</v>
      </c>
      <c r="K348" s="128">
        <v>735.5</v>
      </c>
      <c r="L348" s="126">
        <v>42</v>
      </c>
      <c r="M348" s="124" t="s">
        <v>267</v>
      </c>
      <c r="N348" s="124" t="s">
        <v>268</v>
      </c>
      <c r="O348" s="127" t="s">
        <v>270</v>
      </c>
      <c r="P348" s="128">
        <v>2834457.48</v>
      </c>
      <c r="Q348" s="128">
        <v>0</v>
      </c>
      <c r="R348" s="128">
        <v>0</v>
      </c>
      <c r="S348" s="128">
        <f>P348-Q348-R348</f>
        <v>2834457.48</v>
      </c>
      <c r="T348" s="128">
        <f t="shared" si="52"/>
        <v>3561.3236336223144</v>
      </c>
      <c r="U348" s="128">
        <v>4861.6954881266493</v>
      </c>
      <c r="V348" s="257">
        <f t="shared" si="54"/>
        <v>1300.3718545043348</v>
      </c>
      <c r="W348" s="257">
        <f t="shared" ref="W348" si="59">X348+Y348+Z348+AA348+AB348+AD348+AF348+AH348+AJ348+AL348+AN348+AO348</f>
        <v>4845.1693315743187</v>
      </c>
      <c r="X348" s="257">
        <v>0</v>
      </c>
      <c r="Y348" s="258">
        <v>0</v>
      </c>
      <c r="Z348" s="258">
        <v>0</v>
      </c>
      <c r="AA348" s="258">
        <v>0</v>
      </c>
      <c r="AB348" s="258">
        <v>0</v>
      </c>
      <c r="AC348" s="258">
        <v>0</v>
      </c>
      <c r="AD348" s="258">
        <v>0</v>
      </c>
      <c r="AE348" s="258">
        <v>618.1</v>
      </c>
      <c r="AF348" s="257">
        <f>6238.91*AE348/I348</f>
        <v>4845.1693315743187</v>
      </c>
      <c r="AG348" s="258">
        <v>0</v>
      </c>
      <c r="AH348" s="257">
        <v>0</v>
      </c>
      <c r="AI348" s="258">
        <v>0</v>
      </c>
      <c r="AJ348" s="257">
        <v>0</v>
      </c>
      <c r="AK348" s="258">
        <v>0</v>
      </c>
      <c r="AL348" s="258">
        <v>0</v>
      </c>
      <c r="AM348" s="258">
        <v>0</v>
      </c>
      <c r="AN348" s="258"/>
      <c r="AO348" s="258">
        <v>0</v>
      </c>
    </row>
    <row r="349" spans="1:41" s="259" customFormat="1" ht="36" customHeight="1" x14ac:dyDescent="0.25">
      <c r="A349" s="259">
        <v>1</v>
      </c>
      <c r="B349" s="135">
        <f>SUBTOTAL(103,$A$16:A349)</f>
        <v>316</v>
      </c>
      <c r="C349" s="94" t="s">
        <v>5</v>
      </c>
      <c r="D349" s="124">
        <v>1979</v>
      </c>
      <c r="E349" s="124"/>
      <c r="F349" s="129" t="s">
        <v>269</v>
      </c>
      <c r="G349" s="124">
        <v>2</v>
      </c>
      <c r="H349" s="124" t="s">
        <v>314</v>
      </c>
      <c r="I349" s="128">
        <v>950.6</v>
      </c>
      <c r="J349" s="128">
        <v>863</v>
      </c>
      <c r="K349" s="128">
        <v>863</v>
      </c>
      <c r="L349" s="126">
        <v>36</v>
      </c>
      <c r="M349" s="124" t="s">
        <v>267</v>
      </c>
      <c r="N349" s="124" t="s">
        <v>268</v>
      </c>
      <c r="O349" s="127" t="s">
        <v>270</v>
      </c>
      <c r="P349" s="128">
        <v>5006533.2899999991</v>
      </c>
      <c r="Q349" s="128">
        <v>0</v>
      </c>
      <c r="R349" s="128">
        <v>0</v>
      </c>
      <c r="S349" s="128">
        <f>P349-Q349-R349</f>
        <v>5006533.2899999991</v>
      </c>
      <c r="T349" s="128">
        <f t="shared" si="52"/>
        <v>5266.7086997685665</v>
      </c>
      <c r="U349" s="128">
        <v>5266.7086997685665</v>
      </c>
      <c r="V349" s="257">
        <f t="shared" si="54"/>
        <v>0</v>
      </c>
      <c r="W349" s="257">
        <f>T349</f>
        <v>5266.7086997685665</v>
      </c>
      <c r="X349" s="257">
        <v>0</v>
      </c>
      <c r="Y349" s="258">
        <v>0</v>
      </c>
      <c r="Z349" s="258">
        <v>0</v>
      </c>
      <c r="AA349" s="258">
        <v>0</v>
      </c>
      <c r="AB349" s="258">
        <v>0</v>
      </c>
      <c r="AC349" s="258">
        <v>0</v>
      </c>
      <c r="AD349" s="258">
        <v>0</v>
      </c>
      <c r="AE349" s="258">
        <v>722.14</v>
      </c>
      <c r="AF349" s="257">
        <f>6436.53*AE349/I349</f>
        <v>4889.6231582158634</v>
      </c>
      <c r="AG349" s="258">
        <v>0</v>
      </c>
      <c r="AH349" s="257">
        <v>0</v>
      </c>
      <c r="AI349" s="258">
        <v>0</v>
      </c>
      <c r="AJ349" s="257">
        <v>0</v>
      </c>
      <c r="AK349" s="258">
        <v>0</v>
      </c>
      <c r="AL349" s="258">
        <v>0</v>
      </c>
      <c r="AM349" s="258">
        <v>0</v>
      </c>
      <c r="AN349" s="258"/>
      <c r="AO349" s="258">
        <v>0</v>
      </c>
    </row>
    <row r="350" spans="1:41" s="259" customFormat="1" ht="36" customHeight="1" x14ac:dyDescent="0.25">
      <c r="B350" s="94" t="s">
        <v>834</v>
      </c>
      <c r="C350" s="261"/>
      <c r="D350" s="124" t="s">
        <v>896</v>
      </c>
      <c r="E350" s="124" t="s">
        <v>896</v>
      </c>
      <c r="F350" s="124" t="s">
        <v>896</v>
      </c>
      <c r="G350" s="124" t="s">
        <v>896</v>
      </c>
      <c r="H350" s="124" t="s">
        <v>896</v>
      </c>
      <c r="I350" s="125">
        <f>SUM(I351:I353)</f>
        <v>5843.6</v>
      </c>
      <c r="J350" s="125">
        <f>SUM(J351:J353)</f>
        <v>5341</v>
      </c>
      <c r="K350" s="125">
        <f>SUM(K351:K353)</f>
        <v>4976.3</v>
      </c>
      <c r="L350" s="126">
        <f>SUM(L351:L353)</f>
        <v>224</v>
      </c>
      <c r="M350" s="124" t="s">
        <v>896</v>
      </c>
      <c r="N350" s="124" t="s">
        <v>896</v>
      </c>
      <c r="O350" s="127" t="s">
        <v>896</v>
      </c>
      <c r="P350" s="125">
        <v>8426851.959999999</v>
      </c>
      <c r="Q350" s="125">
        <f>SUM(Q351:Q353)</f>
        <v>0</v>
      </c>
      <c r="R350" s="125">
        <f>SUM(R351:R353)</f>
        <v>0</v>
      </c>
      <c r="S350" s="125">
        <f>SUM(S351:S353)</f>
        <v>8426851.959999999</v>
      </c>
      <c r="T350" s="128">
        <f t="shared" si="52"/>
        <v>1442.0651584639604</v>
      </c>
      <c r="U350" s="128">
        <f>MAX(U351:U353)</f>
        <v>5635.5559977876101</v>
      </c>
      <c r="V350" s="257">
        <f t="shared" si="54"/>
        <v>4193.4908393236492</v>
      </c>
      <c r="W350" s="257"/>
      <c r="X350" s="257"/>
      <c r="Y350" s="258"/>
      <c r="Z350" s="258"/>
      <c r="AA350" s="258"/>
      <c r="AB350" s="258"/>
      <c r="AC350" s="258"/>
      <c r="AD350" s="258"/>
      <c r="AE350" s="258"/>
      <c r="AF350" s="258"/>
      <c r="AG350" s="258"/>
      <c r="AH350" s="258"/>
      <c r="AI350" s="258"/>
      <c r="AJ350" s="258"/>
      <c r="AK350" s="258"/>
      <c r="AL350" s="258"/>
      <c r="AM350" s="258"/>
      <c r="AN350" s="258"/>
      <c r="AO350" s="258"/>
    </row>
    <row r="351" spans="1:41" s="259" customFormat="1" ht="36" customHeight="1" x14ac:dyDescent="0.25">
      <c r="A351" s="259">
        <v>1</v>
      </c>
      <c r="B351" s="135">
        <f>SUBTOTAL(103,$A$16:A351)</f>
        <v>317</v>
      </c>
      <c r="C351" s="94" t="s">
        <v>697</v>
      </c>
      <c r="D351" s="124">
        <v>1928</v>
      </c>
      <c r="E351" s="124"/>
      <c r="F351" s="129" t="s">
        <v>332</v>
      </c>
      <c r="G351" s="124" t="s">
        <v>305</v>
      </c>
      <c r="H351" s="124" t="s">
        <v>306</v>
      </c>
      <c r="I351" s="128">
        <v>253.1</v>
      </c>
      <c r="J351" s="128">
        <v>231.8</v>
      </c>
      <c r="K351" s="128">
        <v>231.8</v>
      </c>
      <c r="L351" s="126">
        <v>14</v>
      </c>
      <c r="M351" s="124" t="s">
        <v>267</v>
      </c>
      <c r="N351" s="124" t="s">
        <v>271</v>
      </c>
      <c r="O351" s="127" t="s">
        <v>731</v>
      </c>
      <c r="P351" s="128">
        <v>51949.1</v>
      </c>
      <c r="Q351" s="128">
        <v>0</v>
      </c>
      <c r="R351" s="128">
        <v>0</v>
      </c>
      <c r="S351" s="128">
        <f>P351-Q351-R351</f>
        <v>51949.1</v>
      </c>
      <c r="T351" s="128">
        <f t="shared" si="52"/>
        <v>205.25128407743975</v>
      </c>
      <c r="U351" s="128">
        <v>205.25128407743975</v>
      </c>
      <c r="V351" s="257">
        <f t="shared" si="54"/>
        <v>0</v>
      </c>
      <c r="W351" s="257">
        <f>T351</f>
        <v>205.25128407743975</v>
      </c>
      <c r="X351" s="257">
        <v>0</v>
      </c>
      <c r="Y351" s="258">
        <v>0</v>
      </c>
      <c r="Z351" s="258">
        <v>0</v>
      </c>
      <c r="AA351" s="258">
        <v>0</v>
      </c>
      <c r="AB351" s="258">
        <v>0</v>
      </c>
      <c r="AC351" s="258">
        <v>0</v>
      </c>
      <c r="AD351" s="258">
        <v>0</v>
      </c>
      <c r="AE351" s="258">
        <v>0</v>
      </c>
      <c r="AF351" s="257">
        <v>0</v>
      </c>
      <c r="AG351" s="258">
        <v>0</v>
      </c>
      <c r="AH351" s="257">
        <v>0</v>
      </c>
      <c r="AI351" s="258">
        <v>0</v>
      </c>
      <c r="AJ351" s="257">
        <v>0</v>
      </c>
      <c r="AK351" s="258">
        <v>0</v>
      </c>
      <c r="AL351" s="258">
        <v>0</v>
      </c>
      <c r="AM351" s="258">
        <v>0</v>
      </c>
      <c r="AN351" s="258"/>
      <c r="AO351" s="258">
        <v>0</v>
      </c>
    </row>
    <row r="352" spans="1:41" s="259" customFormat="1" ht="36" customHeight="1" x14ac:dyDescent="0.25">
      <c r="A352" s="259">
        <v>1</v>
      </c>
      <c r="B352" s="135">
        <f>SUBTOTAL(103,$A$16:A352)</f>
        <v>318</v>
      </c>
      <c r="C352" s="94" t="s">
        <v>1225</v>
      </c>
      <c r="D352" s="124">
        <v>1972</v>
      </c>
      <c r="E352" s="124">
        <v>2010</v>
      </c>
      <c r="F352" s="129" t="s">
        <v>269</v>
      </c>
      <c r="G352" s="124">
        <v>5</v>
      </c>
      <c r="H352" s="124" t="s">
        <v>314</v>
      </c>
      <c r="I352" s="128">
        <v>5138.5</v>
      </c>
      <c r="J352" s="128">
        <v>4692.3</v>
      </c>
      <c r="K352" s="128">
        <v>4327.6000000000004</v>
      </c>
      <c r="L352" s="126">
        <v>197</v>
      </c>
      <c r="M352" s="124" t="s">
        <v>267</v>
      </c>
      <c r="N352" s="124" t="s">
        <v>271</v>
      </c>
      <c r="O352" s="127" t="s">
        <v>731</v>
      </c>
      <c r="P352" s="128">
        <v>6562845.1299999999</v>
      </c>
      <c r="Q352" s="128">
        <v>0</v>
      </c>
      <c r="R352" s="128">
        <v>0</v>
      </c>
      <c r="S352" s="128">
        <f>P352-Q352-R352</f>
        <v>6562845.1299999999</v>
      </c>
      <c r="T352" s="128">
        <f t="shared" si="52"/>
        <v>1277.1908397392235</v>
      </c>
      <c r="U352" s="128">
        <v>3259.66</v>
      </c>
      <c r="V352" s="257">
        <f t="shared" si="54"/>
        <v>1982.4691602607763</v>
      </c>
      <c r="W352" s="257">
        <f t="shared" ref="W352:W353" si="60">X352+Y352+Z352+AA352+AB352+AD352+AF352+AH352+AJ352+AL352+AN352+AO352</f>
        <v>3259.66</v>
      </c>
      <c r="X352" s="257">
        <v>0</v>
      </c>
      <c r="Y352" s="258">
        <v>0</v>
      </c>
      <c r="Z352" s="258">
        <v>3259.66</v>
      </c>
      <c r="AA352" s="258">
        <v>0</v>
      </c>
      <c r="AB352" s="258">
        <v>0</v>
      </c>
      <c r="AC352" s="258">
        <v>0</v>
      </c>
      <c r="AD352" s="258">
        <v>0</v>
      </c>
      <c r="AE352" s="258">
        <v>0</v>
      </c>
      <c r="AF352" s="257">
        <v>0</v>
      </c>
      <c r="AG352" s="258">
        <v>0</v>
      </c>
      <c r="AH352" s="257">
        <v>0</v>
      </c>
      <c r="AI352" s="258">
        <v>0</v>
      </c>
      <c r="AJ352" s="257">
        <v>0</v>
      </c>
      <c r="AK352" s="258">
        <v>0</v>
      </c>
      <c r="AL352" s="258">
        <v>0</v>
      </c>
      <c r="AM352" s="258">
        <v>0</v>
      </c>
      <c r="AN352" s="258"/>
      <c r="AO352" s="258">
        <v>0</v>
      </c>
    </row>
    <row r="353" spans="1:41" s="259" customFormat="1" ht="36" customHeight="1" x14ac:dyDescent="0.25">
      <c r="A353" s="259">
        <v>1</v>
      </c>
      <c r="B353" s="135">
        <f>SUBTOTAL(103,$A$16:A353)</f>
        <v>319</v>
      </c>
      <c r="C353" s="94" t="s">
        <v>1581</v>
      </c>
      <c r="D353" s="124">
        <v>1985</v>
      </c>
      <c r="E353" s="124"/>
      <c r="F353" s="129" t="s">
        <v>269</v>
      </c>
      <c r="G353" s="124">
        <v>2</v>
      </c>
      <c r="H353" s="124" t="s">
        <v>306</v>
      </c>
      <c r="I353" s="128">
        <v>452</v>
      </c>
      <c r="J353" s="128">
        <v>416.9</v>
      </c>
      <c r="K353" s="128">
        <v>416.9</v>
      </c>
      <c r="L353" s="126">
        <v>13</v>
      </c>
      <c r="M353" s="124" t="s">
        <v>267</v>
      </c>
      <c r="N353" s="124" t="s">
        <v>271</v>
      </c>
      <c r="O353" s="127" t="s">
        <v>1590</v>
      </c>
      <c r="P353" s="128">
        <v>1812057.73</v>
      </c>
      <c r="Q353" s="128">
        <v>0</v>
      </c>
      <c r="R353" s="128">
        <v>0</v>
      </c>
      <c r="S353" s="128">
        <f>P353-R353-Q353</f>
        <v>1812057.73</v>
      </c>
      <c r="T353" s="128">
        <f t="shared" si="52"/>
        <v>4008.9772787610618</v>
      </c>
      <c r="U353" s="128">
        <v>5635.5559977876101</v>
      </c>
      <c r="V353" s="257">
        <f t="shared" si="54"/>
        <v>1626.5787190265482</v>
      </c>
      <c r="W353" s="257">
        <f t="shared" si="60"/>
        <v>5616.3992898230081</v>
      </c>
      <c r="X353" s="257">
        <v>0</v>
      </c>
      <c r="Y353" s="258">
        <v>0</v>
      </c>
      <c r="Z353" s="258">
        <v>0</v>
      </c>
      <c r="AA353" s="258">
        <v>0</v>
      </c>
      <c r="AB353" s="258">
        <v>0</v>
      </c>
      <c r="AC353" s="258">
        <v>0</v>
      </c>
      <c r="AD353" s="258">
        <v>0</v>
      </c>
      <c r="AE353" s="258">
        <v>406.9</v>
      </c>
      <c r="AF353" s="257">
        <f>6238.91*AE353/I353</f>
        <v>5616.3992898230081</v>
      </c>
      <c r="AG353" s="258">
        <v>0</v>
      </c>
      <c r="AH353" s="257">
        <v>0</v>
      </c>
      <c r="AI353" s="258">
        <v>0</v>
      </c>
      <c r="AJ353" s="257">
        <v>0</v>
      </c>
      <c r="AK353" s="258">
        <v>0</v>
      </c>
      <c r="AL353" s="258">
        <v>0</v>
      </c>
      <c r="AM353" s="258">
        <v>0</v>
      </c>
      <c r="AN353" s="258"/>
      <c r="AO353" s="258">
        <v>0</v>
      </c>
    </row>
    <row r="354" spans="1:41" s="259" customFormat="1" ht="36" customHeight="1" x14ac:dyDescent="0.25">
      <c r="B354" s="94" t="s">
        <v>835</v>
      </c>
      <c r="C354" s="94"/>
      <c r="D354" s="124" t="s">
        <v>896</v>
      </c>
      <c r="E354" s="124" t="s">
        <v>896</v>
      </c>
      <c r="F354" s="124" t="s">
        <v>896</v>
      </c>
      <c r="G354" s="124" t="s">
        <v>896</v>
      </c>
      <c r="H354" s="124" t="s">
        <v>896</v>
      </c>
      <c r="I354" s="125">
        <f>SUM(I355:I356)</f>
        <v>9076.82</v>
      </c>
      <c r="J354" s="125">
        <f t="shared" ref="J354:L354" si="61">SUM(J355:J356)</f>
        <v>7152</v>
      </c>
      <c r="K354" s="125">
        <f t="shared" si="61"/>
        <v>7030.7999999999993</v>
      </c>
      <c r="L354" s="126">
        <f t="shared" si="61"/>
        <v>298</v>
      </c>
      <c r="M354" s="124" t="s">
        <v>896</v>
      </c>
      <c r="N354" s="124" t="s">
        <v>896</v>
      </c>
      <c r="O354" s="127" t="s">
        <v>896</v>
      </c>
      <c r="P354" s="125">
        <v>7999153.3599999994</v>
      </c>
      <c r="Q354" s="125">
        <f t="shared" ref="Q354:S354" si="62">SUM(Q355:Q356)</f>
        <v>0</v>
      </c>
      <c r="R354" s="125">
        <f t="shared" si="62"/>
        <v>0</v>
      </c>
      <c r="S354" s="125">
        <f t="shared" si="62"/>
        <v>7999153.3599999994</v>
      </c>
      <c r="T354" s="128">
        <f t="shared" si="52"/>
        <v>881.27266597773223</v>
      </c>
      <c r="U354" s="128">
        <f>MAX(U355:U356)</f>
        <v>3345.83</v>
      </c>
      <c r="V354" s="257">
        <f t="shared" si="54"/>
        <v>2464.5573340222677</v>
      </c>
      <c r="W354" s="257"/>
      <c r="X354" s="257"/>
      <c r="Y354" s="258"/>
      <c r="Z354" s="258"/>
      <c r="AA354" s="258"/>
      <c r="AB354" s="258"/>
      <c r="AC354" s="258"/>
      <c r="AD354" s="258"/>
      <c r="AE354" s="258"/>
      <c r="AF354" s="258"/>
      <c r="AG354" s="258"/>
      <c r="AH354" s="258"/>
      <c r="AI354" s="258"/>
      <c r="AJ354" s="258"/>
      <c r="AK354" s="258"/>
      <c r="AL354" s="258"/>
      <c r="AM354" s="258"/>
      <c r="AN354" s="258"/>
      <c r="AO354" s="258"/>
    </row>
    <row r="355" spans="1:41" s="259" customFormat="1" ht="36" customHeight="1" x14ac:dyDescent="0.25">
      <c r="A355" s="259">
        <v>1</v>
      </c>
      <c r="B355" s="135">
        <f>SUBTOTAL(103,$A$16:A355)</f>
        <v>320</v>
      </c>
      <c r="C355" s="94" t="s">
        <v>703</v>
      </c>
      <c r="D355" s="124">
        <v>1976</v>
      </c>
      <c r="E355" s="124">
        <v>2007</v>
      </c>
      <c r="F355" s="129" t="s">
        <v>313</v>
      </c>
      <c r="G355" s="124">
        <v>5</v>
      </c>
      <c r="H355" s="124" t="s">
        <v>373</v>
      </c>
      <c r="I355" s="128">
        <v>5095.72</v>
      </c>
      <c r="J355" s="128">
        <v>4603.3999999999996</v>
      </c>
      <c r="K355" s="128">
        <v>4482.2</v>
      </c>
      <c r="L355" s="126">
        <v>160</v>
      </c>
      <c r="M355" s="124" t="s">
        <v>267</v>
      </c>
      <c r="N355" s="124" t="s">
        <v>271</v>
      </c>
      <c r="O355" s="127" t="s">
        <v>732</v>
      </c>
      <c r="P355" s="128">
        <v>3217837.34</v>
      </c>
      <c r="Q355" s="128">
        <v>0</v>
      </c>
      <c r="R355" s="128">
        <v>0</v>
      </c>
      <c r="S355" s="128">
        <f>P355-Q355-R355</f>
        <v>3217837.34</v>
      </c>
      <c r="T355" s="128">
        <f t="shared" si="52"/>
        <v>631.47844465551475</v>
      </c>
      <c r="U355" s="128">
        <v>1406.0648267173233</v>
      </c>
      <c r="V355" s="257">
        <f t="shared" si="54"/>
        <v>774.58638206180854</v>
      </c>
      <c r="W355" s="257">
        <f t="shared" ref="W355:W356" si="63">X355+Y355+Z355+AA355+AB355+AD355+AF355+AH355+AJ355+AL355+AN355+AO355</f>
        <v>1519.4098792712314</v>
      </c>
      <c r="X355" s="257">
        <v>0</v>
      </c>
      <c r="Y355" s="258">
        <v>0</v>
      </c>
      <c r="Z355" s="258">
        <v>0</v>
      </c>
      <c r="AA355" s="258">
        <v>0</v>
      </c>
      <c r="AB355" s="258">
        <v>0</v>
      </c>
      <c r="AC355" s="258">
        <v>0</v>
      </c>
      <c r="AD355" s="258">
        <v>0</v>
      </c>
      <c r="AE355" s="258">
        <v>1241</v>
      </c>
      <c r="AF355" s="257">
        <f>6238.91*AE355/I355</f>
        <v>1519.4098792712314</v>
      </c>
      <c r="AG355" s="258">
        <v>0</v>
      </c>
      <c r="AH355" s="257">
        <v>0</v>
      </c>
      <c r="AI355" s="258">
        <v>0</v>
      </c>
      <c r="AJ355" s="257">
        <v>0</v>
      </c>
      <c r="AK355" s="258">
        <v>0</v>
      </c>
      <c r="AL355" s="258">
        <v>0</v>
      </c>
      <c r="AM355" s="258">
        <v>0</v>
      </c>
      <c r="AN355" s="258"/>
      <c r="AO355" s="258">
        <v>0</v>
      </c>
    </row>
    <row r="356" spans="1:41" s="259" customFormat="1" ht="36" customHeight="1" x14ac:dyDescent="0.25">
      <c r="A356" s="259">
        <v>1</v>
      </c>
      <c r="B356" s="135">
        <f>SUBTOTAL(103,$A$16:A356)</f>
        <v>321</v>
      </c>
      <c r="C356" s="94" t="s">
        <v>1226</v>
      </c>
      <c r="D356" s="124">
        <v>1975</v>
      </c>
      <c r="E356" s="124">
        <v>2015</v>
      </c>
      <c r="F356" s="129" t="s">
        <v>269</v>
      </c>
      <c r="G356" s="124">
        <v>3</v>
      </c>
      <c r="H356" s="124" t="s">
        <v>305</v>
      </c>
      <c r="I356" s="128">
        <v>3981.1</v>
      </c>
      <c r="J356" s="128">
        <v>2548.6</v>
      </c>
      <c r="K356" s="128">
        <v>2548.6</v>
      </c>
      <c r="L356" s="126">
        <v>138</v>
      </c>
      <c r="M356" s="124" t="s">
        <v>267</v>
      </c>
      <c r="N356" s="124" t="s">
        <v>271</v>
      </c>
      <c r="O356" s="127" t="s">
        <v>731</v>
      </c>
      <c r="P356" s="128">
        <v>4781316.0199999996</v>
      </c>
      <c r="Q356" s="128">
        <v>0</v>
      </c>
      <c r="R356" s="128">
        <v>0</v>
      </c>
      <c r="S356" s="128">
        <f>P356-Q356-R356</f>
        <v>4781316.0199999996</v>
      </c>
      <c r="T356" s="128">
        <f t="shared" si="52"/>
        <v>1201.0037477079197</v>
      </c>
      <c r="U356" s="128">
        <v>3345.83</v>
      </c>
      <c r="V356" s="257">
        <f t="shared" si="54"/>
        <v>2144.8262522920804</v>
      </c>
      <c r="W356" s="257">
        <f t="shared" si="63"/>
        <v>3444.64</v>
      </c>
      <c r="X356" s="257">
        <v>0</v>
      </c>
      <c r="Y356" s="258">
        <v>0</v>
      </c>
      <c r="Z356" s="258">
        <v>3259.66</v>
      </c>
      <c r="AA356" s="258">
        <v>184.98</v>
      </c>
      <c r="AB356" s="258">
        <v>0</v>
      </c>
      <c r="AC356" s="258">
        <v>0</v>
      </c>
      <c r="AD356" s="258">
        <v>0</v>
      </c>
      <c r="AE356" s="258">
        <v>0</v>
      </c>
      <c r="AF356" s="257">
        <v>0</v>
      </c>
      <c r="AG356" s="258">
        <v>0</v>
      </c>
      <c r="AH356" s="257">
        <v>0</v>
      </c>
      <c r="AI356" s="258">
        <v>0</v>
      </c>
      <c r="AJ356" s="257">
        <v>0</v>
      </c>
      <c r="AK356" s="258">
        <v>0</v>
      </c>
      <c r="AL356" s="258">
        <v>0</v>
      </c>
      <c r="AM356" s="258">
        <v>0</v>
      </c>
      <c r="AN356" s="258"/>
      <c r="AO356" s="258">
        <v>0</v>
      </c>
    </row>
    <row r="357" spans="1:41" s="259" customFormat="1" ht="36" customHeight="1" x14ac:dyDescent="0.25">
      <c r="B357" s="94" t="s">
        <v>836</v>
      </c>
      <c r="C357" s="94"/>
      <c r="D357" s="124" t="s">
        <v>896</v>
      </c>
      <c r="E357" s="124" t="s">
        <v>896</v>
      </c>
      <c r="F357" s="124" t="s">
        <v>896</v>
      </c>
      <c r="G357" s="124" t="s">
        <v>896</v>
      </c>
      <c r="H357" s="124" t="s">
        <v>896</v>
      </c>
      <c r="I357" s="125">
        <f>I358</f>
        <v>846.4</v>
      </c>
      <c r="J357" s="125">
        <f>J358</f>
        <v>794.7</v>
      </c>
      <c r="K357" s="125">
        <f>K358</f>
        <v>794.7</v>
      </c>
      <c r="L357" s="126">
        <f>L358</f>
        <v>26</v>
      </c>
      <c r="M357" s="124" t="s">
        <v>896</v>
      </c>
      <c r="N357" s="124" t="s">
        <v>896</v>
      </c>
      <c r="O357" s="127" t="s">
        <v>896</v>
      </c>
      <c r="P357" s="128">
        <v>3236596.36</v>
      </c>
      <c r="Q357" s="128">
        <f>Q358</f>
        <v>0</v>
      </c>
      <c r="R357" s="128">
        <f>R358</f>
        <v>0</v>
      </c>
      <c r="S357" s="128">
        <f>S358</f>
        <v>3236596.36</v>
      </c>
      <c r="T357" s="128">
        <f t="shared" si="52"/>
        <v>3823.9560018903589</v>
      </c>
      <c r="U357" s="128">
        <f>MAX(U358)</f>
        <v>4084.729597471644</v>
      </c>
      <c r="V357" s="257">
        <f t="shared" si="54"/>
        <v>260.77359558128501</v>
      </c>
      <c r="W357" s="257"/>
      <c r="X357" s="257"/>
      <c r="Y357" s="258"/>
      <c r="Z357" s="258"/>
      <c r="AA357" s="258"/>
      <c r="AB357" s="258"/>
      <c r="AC357" s="258"/>
      <c r="AD357" s="258"/>
      <c r="AE357" s="258"/>
      <c r="AF357" s="258"/>
      <c r="AG357" s="258"/>
      <c r="AH357" s="258"/>
      <c r="AI357" s="258"/>
      <c r="AJ357" s="258"/>
      <c r="AK357" s="258"/>
      <c r="AL357" s="258"/>
      <c r="AM357" s="258"/>
      <c r="AN357" s="258"/>
      <c r="AO357" s="258"/>
    </row>
    <row r="358" spans="1:41" s="259" customFormat="1" ht="36" customHeight="1" x14ac:dyDescent="0.25">
      <c r="A358" s="259">
        <v>1</v>
      </c>
      <c r="B358" s="135">
        <f>SUBTOTAL(103,$A$16:A358)</f>
        <v>322</v>
      </c>
      <c r="C358" s="94" t="s">
        <v>801</v>
      </c>
      <c r="D358" s="124">
        <v>1981</v>
      </c>
      <c r="E358" s="124"/>
      <c r="F358" s="129" t="s">
        <v>269</v>
      </c>
      <c r="G358" s="124">
        <v>2</v>
      </c>
      <c r="H358" s="124" t="s">
        <v>314</v>
      </c>
      <c r="I358" s="128">
        <v>846.4</v>
      </c>
      <c r="J358" s="128">
        <v>794.7</v>
      </c>
      <c r="K358" s="128">
        <v>794.7</v>
      </c>
      <c r="L358" s="126">
        <v>26</v>
      </c>
      <c r="M358" s="124" t="s">
        <v>267</v>
      </c>
      <c r="N358" s="124" t="s">
        <v>271</v>
      </c>
      <c r="O358" s="127" t="s">
        <v>731</v>
      </c>
      <c r="P358" s="128">
        <v>3236596.36</v>
      </c>
      <c r="Q358" s="128">
        <v>0</v>
      </c>
      <c r="R358" s="128">
        <v>0</v>
      </c>
      <c r="S358" s="128">
        <f>P358-Q358-R358</f>
        <v>3236596.36</v>
      </c>
      <c r="T358" s="128">
        <f t="shared" si="52"/>
        <v>3823.9560018903589</v>
      </c>
      <c r="U358" s="128">
        <v>4084.729597471644</v>
      </c>
      <c r="V358" s="257">
        <f>U358-T358</f>
        <v>260.77359558128501</v>
      </c>
      <c r="W358" s="257">
        <f>X358+Y358+Z358+AA358+AB358+AD358+AF358+AH358+AJ358+AL358+AN358+AO358</f>
        <v>10368.151683246693</v>
      </c>
      <c r="X358" s="257">
        <v>0</v>
      </c>
      <c r="Y358" s="258">
        <v>0</v>
      </c>
      <c r="Z358" s="258">
        <v>0</v>
      </c>
      <c r="AA358" s="258">
        <v>0</v>
      </c>
      <c r="AB358" s="258">
        <v>0</v>
      </c>
      <c r="AC358" s="258">
        <v>0</v>
      </c>
      <c r="AD358" s="258">
        <v>0</v>
      </c>
      <c r="AE358" s="258">
        <v>552.27</v>
      </c>
      <c r="AF358" s="257">
        <f>6238.91*AE358/I358</f>
        <v>4070.8445483223063</v>
      </c>
      <c r="AG358" s="258">
        <v>0</v>
      </c>
      <c r="AH358" s="257">
        <v>0</v>
      </c>
      <c r="AI358" s="258">
        <v>716.49</v>
      </c>
      <c r="AJ358" s="257">
        <f>7439.1*AI358/I358</f>
        <v>6297.3071349243864</v>
      </c>
      <c r="AK358" s="258">
        <v>0</v>
      </c>
      <c r="AL358" s="258">
        <v>0</v>
      </c>
      <c r="AM358" s="258">
        <v>0</v>
      </c>
      <c r="AN358" s="258"/>
      <c r="AO358" s="258">
        <v>0</v>
      </c>
    </row>
    <row r="359" spans="1:41" s="259" customFormat="1" ht="36" customHeight="1" x14ac:dyDescent="0.25">
      <c r="B359" s="94" t="s">
        <v>837</v>
      </c>
      <c r="C359" s="261"/>
      <c r="D359" s="124" t="s">
        <v>896</v>
      </c>
      <c r="E359" s="124" t="s">
        <v>896</v>
      </c>
      <c r="F359" s="124" t="s">
        <v>896</v>
      </c>
      <c r="G359" s="124" t="s">
        <v>896</v>
      </c>
      <c r="H359" s="124" t="s">
        <v>896</v>
      </c>
      <c r="I359" s="125">
        <f>SUM(I360:I373)</f>
        <v>47259.14</v>
      </c>
      <c r="J359" s="125">
        <f>SUM(J360:J373)</f>
        <v>43903.109999999993</v>
      </c>
      <c r="K359" s="125">
        <f>SUM(K360:K373)</f>
        <v>43903.109999999993</v>
      </c>
      <c r="L359" s="126">
        <f>SUM(L360:L373)</f>
        <v>1528</v>
      </c>
      <c r="M359" s="124" t="s">
        <v>896</v>
      </c>
      <c r="N359" s="124" t="s">
        <v>896</v>
      </c>
      <c r="O359" s="127" t="s">
        <v>896</v>
      </c>
      <c r="P359" s="125">
        <v>45445529.100000001</v>
      </c>
      <c r="Q359" s="125">
        <f>SUM(Q360:Q373)</f>
        <v>0</v>
      </c>
      <c r="R359" s="125">
        <f>SUM(R360:R373)</f>
        <v>0</v>
      </c>
      <c r="S359" s="125">
        <f>SUM(S360:S373)</f>
        <v>45445529.100000001</v>
      </c>
      <c r="T359" s="128">
        <f t="shared" si="52"/>
        <v>961.62412392608076</v>
      </c>
      <c r="U359" s="128">
        <f>MAX(U360:U373)</f>
        <v>6828.4824510272338</v>
      </c>
      <c r="V359" s="257">
        <f t="shared" si="54"/>
        <v>5866.858327101153</v>
      </c>
      <c r="W359" s="257"/>
      <c r="X359" s="257"/>
      <c r="Y359" s="258"/>
      <c r="Z359" s="258"/>
      <c r="AA359" s="258"/>
      <c r="AB359" s="258"/>
      <c r="AC359" s="258"/>
      <c r="AD359" s="258"/>
      <c r="AE359" s="258"/>
      <c r="AF359" s="258"/>
      <c r="AG359" s="258"/>
      <c r="AH359" s="258"/>
      <c r="AI359" s="258"/>
      <c r="AJ359" s="258"/>
      <c r="AK359" s="258"/>
      <c r="AL359" s="258"/>
      <c r="AM359" s="258"/>
      <c r="AN359" s="258"/>
      <c r="AO359" s="258"/>
    </row>
    <row r="360" spans="1:41" s="259" customFormat="1" ht="36" customHeight="1" x14ac:dyDescent="0.25">
      <c r="A360" s="259">
        <v>1</v>
      </c>
      <c r="B360" s="135">
        <f>SUBTOTAL(103,$A$16:A360)</f>
        <v>323</v>
      </c>
      <c r="C360" s="94" t="s">
        <v>114</v>
      </c>
      <c r="D360" s="124">
        <v>1973</v>
      </c>
      <c r="E360" s="124"/>
      <c r="F360" s="129" t="s">
        <v>269</v>
      </c>
      <c r="G360" s="124">
        <v>2</v>
      </c>
      <c r="H360" s="124" t="s">
        <v>305</v>
      </c>
      <c r="I360" s="128">
        <v>781.06</v>
      </c>
      <c r="J360" s="128">
        <v>721</v>
      </c>
      <c r="K360" s="128">
        <v>721</v>
      </c>
      <c r="L360" s="126">
        <v>38</v>
      </c>
      <c r="M360" s="124" t="s">
        <v>267</v>
      </c>
      <c r="N360" s="124" t="s">
        <v>271</v>
      </c>
      <c r="O360" s="127" t="s">
        <v>286</v>
      </c>
      <c r="P360" s="128">
        <v>54256.44</v>
      </c>
      <c r="Q360" s="128">
        <v>0</v>
      </c>
      <c r="R360" s="128">
        <v>0</v>
      </c>
      <c r="S360" s="128">
        <f t="shared" ref="S360:S372" si="64">P360-Q360-R360</f>
        <v>54256.44</v>
      </c>
      <c r="T360" s="128">
        <f t="shared" si="52"/>
        <v>69.465137121347922</v>
      </c>
      <c r="U360" s="128">
        <v>69.465137121347922</v>
      </c>
      <c r="V360" s="257">
        <f t="shared" si="54"/>
        <v>0</v>
      </c>
      <c r="W360" s="257">
        <f>T360</f>
        <v>69.465137121347922</v>
      </c>
      <c r="X360" s="257">
        <v>0</v>
      </c>
      <c r="Y360" s="258">
        <v>0</v>
      </c>
      <c r="Z360" s="258">
        <v>0</v>
      </c>
      <c r="AA360" s="258">
        <v>0</v>
      </c>
      <c r="AB360" s="258">
        <v>0</v>
      </c>
      <c r="AC360" s="258">
        <v>0</v>
      </c>
      <c r="AD360" s="258">
        <v>0</v>
      </c>
      <c r="AE360" s="258">
        <v>0</v>
      </c>
      <c r="AF360" s="257">
        <v>0</v>
      </c>
      <c r="AG360" s="258">
        <v>0</v>
      </c>
      <c r="AH360" s="257">
        <v>0</v>
      </c>
      <c r="AI360" s="258">
        <v>0</v>
      </c>
      <c r="AJ360" s="257">
        <v>0</v>
      </c>
      <c r="AK360" s="258">
        <v>0</v>
      </c>
      <c r="AL360" s="258">
        <v>0</v>
      </c>
      <c r="AM360" s="258">
        <v>0</v>
      </c>
      <c r="AN360" s="258"/>
      <c r="AO360" s="258">
        <v>0</v>
      </c>
    </row>
    <row r="361" spans="1:41" s="259" customFormat="1" ht="36" customHeight="1" x14ac:dyDescent="0.25">
      <c r="A361" s="259">
        <v>1</v>
      </c>
      <c r="B361" s="135">
        <f>SUBTOTAL(103,$A$16:A361)</f>
        <v>324</v>
      </c>
      <c r="C361" s="94" t="s">
        <v>117</v>
      </c>
      <c r="D361" s="124">
        <v>1972</v>
      </c>
      <c r="E361" s="124"/>
      <c r="F361" s="129" t="s">
        <v>269</v>
      </c>
      <c r="G361" s="124">
        <v>2</v>
      </c>
      <c r="H361" s="124" t="s">
        <v>305</v>
      </c>
      <c r="I361" s="128">
        <v>788.14</v>
      </c>
      <c r="J361" s="128">
        <v>731.68</v>
      </c>
      <c r="K361" s="128">
        <v>731.68</v>
      </c>
      <c r="L361" s="126">
        <v>38</v>
      </c>
      <c r="M361" s="124" t="s">
        <v>267</v>
      </c>
      <c r="N361" s="124" t="s">
        <v>271</v>
      </c>
      <c r="O361" s="127" t="s">
        <v>286</v>
      </c>
      <c r="P361" s="128">
        <v>2502252.8600000003</v>
      </c>
      <c r="Q361" s="128">
        <v>0</v>
      </c>
      <c r="R361" s="128">
        <v>0</v>
      </c>
      <c r="S361" s="128">
        <f t="shared" si="64"/>
        <v>2502252.8600000003</v>
      </c>
      <c r="T361" s="128">
        <f t="shared" si="52"/>
        <v>3174.8837262415313</v>
      </c>
      <c r="U361" s="128">
        <v>4948.4842413784345</v>
      </c>
      <c r="V361" s="257">
        <f t="shared" si="54"/>
        <v>1773.6005151369031</v>
      </c>
      <c r="W361" s="257">
        <f t="shared" ref="W361:W373" si="65">X361+Y361+Z361+AA361+AB361+AD361+AF361+AH361+AJ361+AL361+AN361+AO361</f>
        <v>4931.6630674753214</v>
      </c>
      <c r="X361" s="257">
        <v>0</v>
      </c>
      <c r="Y361" s="258">
        <v>0</v>
      </c>
      <c r="Z361" s="258">
        <v>0</v>
      </c>
      <c r="AA361" s="258">
        <v>0</v>
      </c>
      <c r="AB361" s="258">
        <v>0</v>
      </c>
      <c r="AC361" s="258">
        <v>0</v>
      </c>
      <c r="AD361" s="258">
        <v>0</v>
      </c>
      <c r="AE361" s="258">
        <v>623</v>
      </c>
      <c r="AF361" s="257">
        <f>6238.91*AE361/I361</f>
        <v>4931.6630674753214</v>
      </c>
      <c r="AG361" s="258">
        <v>0</v>
      </c>
      <c r="AH361" s="257">
        <v>0</v>
      </c>
      <c r="AI361" s="258">
        <v>0</v>
      </c>
      <c r="AJ361" s="257">
        <v>0</v>
      </c>
      <c r="AK361" s="258">
        <v>0</v>
      </c>
      <c r="AL361" s="258">
        <v>0</v>
      </c>
      <c r="AM361" s="258">
        <v>0</v>
      </c>
      <c r="AN361" s="258"/>
      <c r="AO361" s="258">
        <v>0</v>
      </c>
    </row>
    <row r="362" spans="1:41" s="259" customFormat="1" ht="36" customHeight="1" x14ac:dyDescent="0.25">
      <c r="A362" s="259">
        <v>1</v>
      </c>
      <c r="B362" s="135">
        <f>SUBTOTAL(103,$A$16:A362)</f>
        <v>325</v>
      </c>
      <c r="C362" s="94" t="s">
        <v>113</v>
      </c>
      <c r="D362" s="124">
        <v>1969</v>
      </c>
      <c r="E362" s="124"/>
      <c r="F362" s="129" t="s">
        <v>269</v>
      </c>
      <c r="G362" s="124">
        <v>2</v>
      </c>
      <c r="H362" s="124" t="s">
        <v>305</v>
      </c>
      <c r="I362" s="128">
        <v>399.42</v>
      </c>
      <c r="J362" s="128">
        <v>370.5</v>
      </c>
      <c r="K362" s="128">
        <v>370.5</v>
      </c>
      <c r="L362" s="126">
        <v>15</v>
      </c>
      <c r="M362" s="124" t="s">
        <v>267</v>
      </c>
      <c r="N362" s="124" t="s">
        <v>271</v>
      </c>
      <c r="O362" s="127" t="s">
        <v>286</v>
      </c>
      <c r="P362" s="128">
        <v>2257759.4200000004</v>
      </c>
      <c r="Q362" s="128">
        <v>0</v>
      </c>
      <c r="R362" s="128">
        <v>0</v>
      </c>
      <c r="S362" s="128">
        <f t="shared" si="64"/>
        <v>2257759.4200000004</v>
      </c>
      <c r="T362" s="128">
        <f t="shared" si="52"/>
        <v>5652.5948124780944</v>
      </c>
      <c r="U362" s="128">
        <v>5328.8883881628362</v>
      </c>
      <c r="V362" s="257">
        <f t="shared" si="54"/>
        <v>-323.70642431525812</v>
      </c>
      <c r="W362" s="257">
        <f t="shared" si="65"/>
        <v>5310.7741224775918</v>
      </c>
      <c r="X362" s="257">
        <v>0</v>
      </c>
      <c r="Y362" s="258">
        <v>0</v>
      </c>
      <c r="Z362" s="258">
        <v>0</v>
      </c>
      <c r="AA362" s="258">
        <v>0</v>
      </c>
      <c r="AB362" s="258">
        <v>0</v>
      </c>
      <c r="AC362" s="258">
        <v>0</v>
      </c>
      <c r="AD362" s="258">
        <v>0</v>
      </c>
      <c r="AE362" s="258">
        <v>340</v>
      </c>
      <c r="AF362" s="257">
        <f>6238.91*AE362/I362</f>
        <v>5310.7741224775918</v>
      </c>
      <c r="AG362" s="258">
        <v>0</v>
      </c>
      <c r="AH362" s="257">
        <v>0</v>
      </c>
      <c r="AI362" s="258">
        <v>0</v>
      </c>
      <c r="AJ362" s="257">
        <v>0</v>
      </c>
      <c r="AK362" s="258">
        <v>0</v>
      </c>
      <c r="AL362" s="258">
        <v>0</v>
      </c>
      <c r="AM362" s="258">
        <v>0</v>
      </c>
      <c r="AN362" s="258"/>
      <c r="AO362" s="258">
        <v>0</v>
      </c>
    </row>
    <row r="363" spans="1:41" s="259" customFormat="1" ht="36" customHeight="1" x14ac:dyDescent="0.25">
      <c r="A363" s="259">
        <v>1</v>
      </c>
      <c r="B363" s="135">
        <f>SUBTOTAL(103,$A$16:A363)</f>
        <v>326</v>
      </c>
      <c r="C363" s="94" t="s">
        <v>115</v>
      </c>
      <c r="D363" s="124">
        <v>1972</v>
      </c>
      <c r="E363" s="124"/>
      <c r="F363" s="129" t="s">
        <v>289</v>
      </c>
      <c r="G363" s="124">
        <v>5</v>
      </c>
      <c r="H363" s="124" t="s">
        <v>353</v>
      </c>
      <c r="I363" s="128">
        <v>5806.44</v>
      </c>
      <c r="J363" s="128">
        <v>4487.95</v>
      </c>
      <c r="K363" s="128">
        <v>4487.95</v>
      </c>
      <c r="L363" s="126">
        <v>211</v>
      </c>
      <c r="M363" s="124" t="s">
        <v>267</v>
      </c>
      <c r="N363" s="124" t="s">
        <v>271</v>
      </c>
      <c r="O363" s="127" t="s">
        <v>287</v>
      </c>
      <c r="P363" s="128">
        <v>4557103.54</v>
      </c>
      <c r="Q363" s="128">
        <v>0</v>
      </c>
      <c r="R363" s="128">
        <v>0</v>
      </c>
      <c r="S363" s="128">
        <f t="shared" si="64"/>
        <v>4557103.54</v>
      </c>
      <c r="T363" s="128">
        <f t="shared" si="52"/>
        <v>784.83606822769207</v>
      </c>
      <c r="U363" s="128">
        <v>1332.0493701820737</v>
      </c>
      <c r="V363" s="257">
        <f t="shared" si="54"/>
        <v>547.21330195438168</v>
      </c>
      <c r="W363" s="257">
        <f t="shared" si="65"/>
        <v>1327.521390903893</v>
      </c>
      <c r="X363" s="257">
        <v>0</v>
      </c>
      <c r="Y363" s="258">
        <v>0</v>
      </c>
      <c r="Z363" s="258">
        <v>0</v>
      </c>
      <c r="AA363" s="258">
        <v>0</v>
      </c>
      <c r="AB363" s="258">
        <v>0</v>
      </c>
      <c r="AC363" s="258">
        <v>0</v>
      </c>
      <c r="AD363" s="258">
        <v>0</v>
      </c>
      <c r="AE363" s="258">
        <v>1235.5</v>
      </c>
      <c r="AF363" s="257">
        <f>6238.91*AE363/I363</f>
        <v>1327.521390903893</v>
      </c>
      <c r="AG363" s="258">
        <v>0</v>
      </c>
      <c r="AH363" s="257">
        <v>0</v>
      </c>
      <c r="AI363" s="258">
        <v>0</v>
      </c>
      <c r="AJ363" s="257">
        <v>0</v>
      </c>
      <c r="AK363" s="258">
        <v>0</v>
      </c>
      <c r="AL363" s="258">
        <v>0</v>
      </c>
      <c r="AM363" s="258">
        <v>0</v>
      </c>
      <c r="AN363" s="258"/>
      <c r="AO363" s="258">
        <v>0</v>
      </c>
    </row>
    <row r="364" spans="1:41" s="259" customFormat="1" ht="36" customHeight="1" x14ac:dyDescent="0.25">
      <c r="A364" s="259">
        <v>1</v>
      </c>
      <c r="B364" s="135">
        <f>SUBTOTAL(103,$A$16:A364)</f>
        <v>327</v>
      </c>
      <c r="C364" s="94" t="s">
        <v>116</v>
      </c>
      <c r="D364" s="124">
        <v>1973</v>
      </c>
      <c r="E364" s="124"/>
      <c r="F364" s="129" t="s">
        <v>289</v>
      </c>
      <c r="G364" s="124">
        <v>5</v>
      </c>
      <c r="H364" s="124" t="s">
        <v>373</v>
      </c>
      <c r="I364" s="128">
        <v>6042.57</v>
      </c>
      <c r="J364" s="128">
        <v>6042.57</v>
      </c>
      <c r="K364" s="128">
        <v>6042.57</v>
      </c>
      <c r="L364" s="126">
        <v>176</v>
      </c>
      <c r="M364" s="124" t="s">
        <v>267</v>
      </c>
      <c r="N364" s="124" t="s">
        <v>271</v>
      </c>
      <c r="O364" s="127" t="s">
        <v>287</v>
      </c>
      <c r="P364" s="128">
        <v>4223582.3699999992</v>
      </c>
      <c r="Q364" s="128">
        <v>0</v>
      </c>
      <c r="R364" s="128">
        <v>0</v>
      </c>
      <c r="S364" s="128">
        <f t="shared" si="64"/>
        <v>4223582.3699999992</v>
      </c>
      <c r="T364" s="128">
        <f t="shared" si="52"/>
        <v>698.97119437590288</v>
      </c>
      <c r="U364" s="128">
        <v>1149.1265379135039</v>
      </c>
      <c r="V364" s="257">
        <f t="shared" si="54"/>
        <v>450.15534353760097</v>
      </c>
      <c r="W364" s="257">
        <f t="shared" si="65"/>
        <v>1145.2203605088564</v>
      </c>
      <c r="X364" s="257">
        <v>0</v>
      </c>
      <c r="Y364" s="258">
        <v>0</v>
      </c>
      <c r="Z364" s="258">
        <v>0</v>
      </c>
      <c r="AA364" s="258">
        <v>0</v>
      </c>
      <c r="AB364" s="258">
        <v>0</v>
      </c>
      <c r="AC364" s="258">
        <v>0</v>
      </c>
      <c r="AD364" s="258">
        <v>0</v>
      </c>
      <c r="AE364" s="258">
        <v>1109.18</v>
      </c>
      <c r="AF364" s="257">
        <f>6238.91*AE364/I364</f>
        <v>1145.2203605088564</v>
      </c>
      <c r="AG364" s="258">
        <v>0</v>
      </c>
      <c r="AH364" s="257">
        <v>0</v>
      </c>
      <c r="AI364" s="258">
        <v>0</v>
      </c>
      <c r="AJ364" s="257">
        <v>0</v>
      </c>
      <c r="AK364" s="258">
        <v>0</v>
      </c>
      <c r="AL364" s="258">
        <v>0</v>
      </c>
      <c r="AM364" s="258">
        <v>0</v>
      </c>
      <c r="AN364" s="258"/>
      <c r="AO364" s="258">
        <v>0</v>
      </c>
    </row>
    <row r="365" spans="1:41" s="259" customFormat="1" ht="36" customHeight="1" x14ac:dyDescent="0.25">
      <c r="A365" s="259">
        <v>1</v>
      </c>
      <c r="B365" s="135">
        <f>SUBTOTAL(103,$A$16:A365)</f>
        <v>328</v>
      </c>
      <c r="C365" s="94" t="s">
        <v>118</v>
      </c>
      <c r="D365" s="124">
        <v>1973</v>
      </c>
      <c r="E365" s="124"/>
      <c r="F365" s="129" t="s">
        <v>269</v>
      </c>
      <c r="G365" s="124">
        <v>2</v>
      </c>
      <c r="H365" s="124" t="s">
        <v>305</v>
      </c>
      <c r="I365" s="128">
        <v>787.52</v>
      </c>
      <c r="J365" s="128">
        <v>787.52</v>
      </c>
      <c r="K365" s="128">
        <v>787.52</v>
      </c>
      <c r="L365" s="126">
        <v>30</v>
      </c>
      <c r="M365" s="124" t="s">
        <v>267</v>
      </c>
      <c r="N365" s="124" t="s">
        <v>271</v>
      </c>
      <c r="O365" s="127" t="s">
        <v>287</v>
      </c>
      <c r="P365" s="128">
        <v>3453193.2099999995</v>
      </c>
      <c r="Q365" s="128">
        <v>0</v>
      </c>
      <c r="R365" s="128">
        <v>0</v>
      </c>
      <c r="S365" s="128">
        <f t="shared" si="64"/>
        <v>3453193.2099999995</v>
      </c>
      <c r="T365" s="128">
        <f t="shared" si="52"/>
        <v>4384.89588835839</v>
      </c>
      <c r="U365" s="128">
        <v>5047.7710407354734</v>
      </c>
      <c r="V365" s="257">
        <f t="shared" si="54"/>
        <v>662.8751523770834</v>
      </c>
      <c r="W365" s="257">
        <f t="shared" si="65"/>
        <v>5030.612365400244</v>
      </c>
      <c r="X365" s="257">
        <v>0</v>
      </c>
      <c r="Y365" s="258">
        <v>0</v>
      </c>
      <c r="Z365" s="258">
        <v>0</v>
      </c>
      <c r="AA365" s="258">
        <v>0</v>
      </c>
      <c r="AB365" s="258">
        <v>0</v>
      </c>
      <c r="AC365" s="258">
        <v>0</v>
      </c>
      <c r="AD365" s="258">
        <v>0</v>
      </c>
      <c r="AE365" s="258">
        <v>635</v>
      </c>
      <c r="AF365" s="257">
        <f>6238.91*AE365/I365</f>
        <v>5030.612365400244</v>
      </c>
      <c r="AG365" s="258">
        <v>0</v>
      </c>
      <c r="AH365" s="257">
        <v>0</v>
      </c>
      <c r="AI365" s="258">
        <v>0</v>
      </c>
      <c r="AJ365" s="257">
        <v>0</v>
      </c>
      <c r="AK365" s="258">
        <v>0</v>
      </c>
      <c r="AL365" s="258">
        <v>0</v>
      </c>
      <c r="AM365" s="258">
        <v>0</v>
      </c>
      <c r="AN365" s="258"/>
      <c r="AO365" s="258">
        <v>0</v>
      </c>
    </row>
    <row r="366" spans="1:41" s="259" customFormat="1" ht="36" customHeight="1" x14ac:dyDescent="0.25">
      <c r="A366" s="259">
        <v>1</v>
      </c>
      <c r="B366" s="135">
        <f>SUBTOTAL(103,$A$16:A366)</f>
        <v>329</v>
      </c>
      <c r="C366" s="94" t="s">
        <v>1227</v>
      </c>
      <c r="D366" s="124" t="s">
        <v>311</v>
      </c>
      <c r="E366" s="124"/>
      <c r="F366" s="129" t="s">
        <v>269</v>
      </c>
      <c r="G366" s="124" t="s">
        <v>353</v>
      </c>
      <c r="H366" s="124" t="s">
        <v>373</v>
      </c>
      <c r="I366" s="128">
        <v>5104.3599999999997</v>
      </c>
      <c r="J366" s="128">
        <v>5104.3599999999997</v>
      </c>
      <c r="K366" s="128">
        <v>5104.3599999999997</v>
      </c>
      <c r="L366" s="126">
        <v>159</v>
      </c>
      <c r="M366" s="124" t="s">
        <v>267</v>
      </c>
      <c r="N366" s="124" t="s">
        <v>271</v>
      </c>
      <c r="O366" s="127" t="s">
        <v>1313</v>
      </c>
      <c r="P366" s="128">
        <v>5566777.7000000011</v>
      </c>
      <c r="Q366" s="128">
        <v>0</v>
      </c>
      <c r="R366" s="128">
        <v>0</v>
      </c>
      <c r="S366" s="128">
        <f t="shared" si="64"/>
        <v>5566777.7000000011</v>
      </c>
      <c r="T366" s="128">
        <f t="shared" si="52"/>
        <v>1090.5926893871124</v>
      </c>
      <c r="U366" s="128">
        <v>4134.3555078403569</v>
      </c>
      <c r="V366" s="257">
        <f t="shared" si="54"/>
        <v>3043.7628184532446</v>
      </c>
      <c r="W366" s="257">
        <f t="shared" si="65"/>
        <v>3546.19</v>
      </c>
      <c r="X366" s="257">
        <v>101.55</v>
      </c>
      <c r="Y366" s="258">
        <v>0</v>
      </c>
      <c r="Z366" s="258">
        <v>3259.66</v>
      </c>
      <c r="AA366" s="258">
        <v>184.98</v>
      </c>
      <c r="AB366" s="258">
        <v>0</v>
      </c>
      <c r="AC366" s="258">
        <v>0</v>
      </c>
      <c r="AD366" s="258">
        <v>0</v>
      </c>
      <c r="AE366" s="258">
        <v>0</v>
      </c>
      <c r="AF366" s="257">
        <v>0</v>
      </c>
      <c r="AG366" s="258">
        <v>0</v>
      </c>
      <c r="AH366" s="257">
        <v>0</v>
      </c>
      <c r="AI366" s="258">
        <v>0</v>
      </c>
      <c r="AJ366" s="257">
        <v>0</v>
      </c>
      <c r="AK366" s="258">
        <v>0</v>
      </c>
      <c r="AL366" s="258">
        <v>0</v>
      </c>
      <c r="AM366" s="258">
        <v>0</v>
      </c>
      <c r="AN366" s="258"/>
      <c r="AO366" s="258">
        <v>0</v>
      </c>
    </row>
    <row r="367" spans="1:41" s="259" customFormat="1" ht="36" customHeight="1" x14ac:dyDescent="0.25">
      <c r="A367" s="259">
        <v>1</v>
      </c>
      <c r="B367" s="135">
        <f>SUBTOTAL(103,$A$16:A367)</f>
        <v>330</v>
      </c>
      <c r="C367" s="94" t="s">
        <v>1228</v>
      </c>
      <c r="D367" s="124">
        <v>1973</v>
      </c>
      <c r="E367" s="124"/>
      <c r="F367" s="129" t="s">
        <v>320</v>
      </c>
      <c r="G367" s="124">
        <v>5</v>
      </c>
      <c r="H367" s="124" t="s">
        <v>373</v>
      </c>
      <c r="I367" s="128">
        <v>6039.17</v>
      </c>
      <c r="J367" s="128">
        <v>6039.17</v>
      </c>
      <c r="K367" s="128">
        <v>6039.17</v>
      </c>
      <c r="L367" s="126">
        <v>184</v>
      </c>
      <c r="M367" s="124" t="s">
        <v>267</v>
      </c>
      <c r="N367" s="124" t="s">
        <v>271</v>
      </c>
      <c r="O367" s="127" t="s">
        <v>1314</v>
      </c>
      <c r="P367" s="128">
        <v>4137160</v>
      </c>
      <c r="Q367" s="128">
        <v>0</v>
      </c>
      <c r="R367" s="128">
        <v>0</v>
      </c>
      <c r="S367" s="128">
        <f t="shared" si="64"/>
        <v>4137160</v>
      </c>
      <c r="T367" s="128">
        <f t="shared" si="52"/>
        <v>685.05440317129671</v>
      </c>
      <c r="U367" s="128">
        <v>1201.8003269157846</v>
      </c>
      <c r="V367" s="257">
        <f t="shared" si="54"/>
        <v>516.74592374448787</v>
      </c>
      <c r="W367" s="257">
        <f t="shared" si="65"/>
        <v>3494.3939117461509</v>
      </c>
      <c r="X367" s="257">
        <v>0</v>
      </c>
      <c r="Y367" s="258">
        <v>0</v>
      </c>
      <c r="Z367" s="258">
        <v>0</v>
      </c>
      <c r="AA367" s="258">
        <v>0</v>
      </c>
      <c r="AB367" s="258">
        <v>0</v>
      </c>
      <c r="AC367" s="258">
        <v>0</v>
      </c>
      <c r="AD367" s="258">
        <v>0</v>
      </c>
      <c r="AE367" s="258">
        <v>0</v>
      </c>
      <c r="AF367" s="257">
        <v>0</v>
      </c>
      <c r="AG367" s="258">
        <v>0</v>
      </c>
      <c r="AH367" s="257">
        <v>0</v>
      </c>
      <c r="AI367" s="258">
        <v>2836.8</v>
      </c>
      <c r="AJ367" s="257">
        <f>7439.1*AI367/I367</f>
        <v>3494.3939117461509</v>
      </c>
      <c r="AK367" s="258">
        <v>0</v>
      </c>
      <c r="AL367" s="258">
        <v>0</v>
      </c>
      <c r="AM367" s="258">
        <v>0</v>
      </c>
      <c r="AN367" s="258"/>
      <c r="AO367" s="258">
        <v>0</v>
      </c>
    </row>
    <row r="368" spans="1:41" s="259" customFormat="1" ht="36" customHeight="1" x14ac:dyDescent="0.25">
      <c r="A368" s="259">
        <v>1</v>
      </c>
      <c r="B368" s="135">
        <f>SUBTOTAL(103,$A$16:A368)</f>
        <v>331</v>
      </c>
      <c r="C368" s="94" t="s">
        <v>1229</v>
      </c>
      <c r="D368" s="124">
        <v>1974</v>
      </c>
      <c r="E368" s="124"/>
      <c r="F368" s="129" t="s">
        <v>289</v>
      </c>
      <c r="G368" s="124">
        <v>5</v>
      </c>
      <c r="H368" s="124" t="s">
        <v>310</v>
      </c>
      <c r="I368" s="128">
        <v>4571.8999999999996</v>
      </c>
      <c r="J368" s="128">
        <v>3098.1</v>
      </c>
      <c r="K368" s="128">
        <v>3098.1</v>
      </c>
      <c r="L368" s="126">
        <v>119</v>
      </c>
      <c r="M368" s="124" t="s">
        <v>267</v>
      </c>
      <c r="N368" s="124" t="s">
        <v>271</v>
      </c>
      <c r="O368" s="127" t="s">
        <v>1335</v>
      </c>
      <c r="P368" s="128">
        <v>2786924.03</v>
      </c>
      <c r="Q368" s="128">
        <v>0</v>
      </c>
      <c r="R368" s="128">
        <v>0</v>
      </c>
      <c r="S368" s="128">
        <f t="shared" si="64"/>
        <v>2786924.03</v>
      </c>
      <c r="T368" s="128">
        <f t="shared" si="52"/>
        <v>609.57676895820123</v>
      </c>
      <c r="U368" s="128">
        <v>1045.8525168966951</v>
      </c>
      <c r="V368" s="257">
        <f t="shared" si="54"/>
        <v>436.27574793849385</v>
      </c>
      <c r="W368" s="257">
        <f t="shared" si="65"/>
        <v>1582.1004586058311</v>
      </c>
      <c r="X368" s="257">
        <v>0</v>
      </c>
      <c r="Y368" s="258">
        <v>0</v>
      </c>
      <c r="Z368" s="258">
        <v>0</v>
      </c>
      <c r="AA368" s="258">
        <v>0</v>
      </c>
      <c r="AB368" s="258">
        <v>0</v>
      </c>
      <c r="AC368" s="258">
        <v>0</v>
      </c>
      <c r="AD368" s="258">
        <v>0</v>
      </c>
      <c r="AE368" s="258">
        <v>1159.3699999999999</v>
      </c>
      <c r="AF368" s="257">
        <f>6238.91*AE368/I368</f>
        <v>1582.1004586058311</v>
      </c>
      <c r="AG368" s="258">
        <v>0</v>
      </c>
      <c r="AH368" s="257">
        <v>0</v>
      </c>
      <c r="AI368" s="258">
        <v>0</v>
      </c>
      <c r="AJ368" s="257">
        <v>0</v>
      </c>
      <c r="AK368" s="258">
        <v>0</v>
      </c>
      <c r="AL368" s="258">
        <v>0</v>
      </c>
      <c r="AM368" s="258">
        <v>0</v>
      </c>
      <c r="AN368" s="258"/>
      <c r="AO368" s="258">
        <v>0</v>
      </c>
    </row>
    <row r="369" spans="1:41" s="259" customFormat="1" ht="36" customHeight="1" x14ac:dyDescent="0.25">
      <c r="A369" s="259">
        <v>1</v>
      </c>
      <c r="B369" s="135">
        <f>SUBTOTAL(103,$A$16:A369)</f>
        <v>332</v>
      </c>
      <c r="C369" s="94" t="s">
        <v>1230</v>
      </c>
      <c r="D369" s="124">
        <v>1966</v>
      </c>
      <c r="E369" s="124"/>
      <c r="F369" s="129" t="s">
        <v>289</v>
      </c>
      <c r="G369" s="124">
        <v>2</v>
      </c>
      <c r="H369" s="124" t="s">
        <v>314</v>
      </c>
      <c r="I369" s="128">
        <v>418.6</v>
      </c>
      <c r="J369" s="128">
        <v>418.6</v>
      </c>
      <c r="K369" s="128">
        <v>418.6</v>
      </c>
      <c r="L369" s="126">
        <v>29</v>
      </c>
      <c r="M369" s="124" t="s">
        <v>267</v>
      </c>
      <c r="N369" s="124" t="s">
        <v>271</v>
      </c>
      <c r="O369" s="127" t="s">
        <v>1335</v>
      </c>
      <c r="P369" s="128">
        <v>1749750.39</v>
      </c>
      <c r="Q369" s="128">
        <v>0</v>
      </c>
      <c r="R369" s="128">
        <v>0</v>
      </c>
      <c r="S369" s="128">
        <f t="shared" si="64"/>
        <v>1749750.39</v>
      </c>
      <c r="T369" s="128">
        <f t="shared" si="52"/>
        <v>4180.0057095078828</v>
      </c>
      <c r="U369" s="128">
        <v>6828.4824510272338</v>
      </c>
      <c r="V369" s="257">
        <f t="shared" si="54"/>
        <v>2648.476741519351</v>
      </c>
      <c r="W369" s="257">
        <f t="shared" si="65"/>
        <v>11383.849636884854</v>
      </c>
      <c r="X369" s="257">
        <v>0</v>
      </c>
      <c r="Y369" s="258">
        <v>0</v>
      </c>
      <c r="Z369" s="258">
        <v>0</v>
      </c>
      <c r="AA369" s="258">
        <v>0</v>
      </c>
      <c r="AB369" s="258">
        <v>0</v>
      </c>
      <c r="AC369" s="258">
        <v>0</v>
      </c>
      <c r="AD369" s="258">
        <v>0</v>
      </c>
      <c r="AE369" s="258">
        <v>763.8</v>
      </c>
      <c r="AF369" s="257">
        <f>6238.91*AE369/I369</f>
        <v>11383.849636884854</v>
      </c>
      <c r="AG369" s="258">
        <v>0</v>
      </c>
      <c r="AH369" s="257">
        <v>0</v>
      </c>
      <c r="AI369" s="258">
        <v>0</v>
      </c>
      <c r="AJ369" s="257">
        <v>0</v>
      </c>
      <c r="AK369" s="258">
        <v>0</v>
      </c>
      <c r="AL369" s="258">
        <v>0</v>
      </c>
      <c r="AM369" s="258">
        <v>0</v>
      </c>
      <c r="AN369" s="258"/>
      <c r="AO369" s="258">
        <v>0</v>
      </c>
    </row>
    <row r="370" spans="1:41" s="259" customFormat="1" ht="36" customHeight="1" x14ac:dyDescent="0.25">
      <c r="A370" s="259">
        <v>1</v>
      </c>
      <c r="B370" s="135">
        <f>SUBTOTAL(103,$A$16:A370)</f>
        <v>333</v>
      </c>
      <c r="C370" s="94" t="s">
        <v>1231</v>
      </c>
      <c r="D370" s="124">
        <v>1987</v>
      </c>
      <c r="E370" s="124"/>
      <c r="F370" s="129" t="s">
        <v>269</v>
      </c>
      <c r="G370" s="124">
        <v>2</v>
      </c>
      <c r="H370" s="124" t="s">
        <v>314</v>
      </c>
      <c r="I370" s="128">
        <v>1448.2</v>
      </c>
      <c r="J370" s="128">
        <v>1448.2</v>
      </c>
      <c r="K370" s="128">
        <v>1448.2</v>
      </c>
      <c r="L370" s="126">
        <v>53</v>
      </c>
      <c r="M370" s="124" t="s">
        <v>267</v>
      </c>
      <c r="N370" s="124" t="s">
        <v>271</v>
      </c>
      <c r="O370" s="127" t="s">
        <v>1336</v>
      </c>
      <c r="P370" s="128">
        <v>173405.6</v>
      </c>
      <c r="Q370" s="128">
        <v>0</v>
      </c>
      <c r="R370" s="128">
        <v>0</v>
      </c>
      <c r="S370" s="128">
        <f t="shared" si="64"/>
        <v>173405.6</v>
      </c>
      <c r="T370" s="128">
        <f t="shared" si="52"/>
        <v>119.7387101229112</v>
      </c>
      <c r="U370" s="128">
        <f>T370</f>
        <v>119.7387101229112</v>
      </c>
      <c r="V370" s="257">
        <f t="shared" si="54"/>
        <v>0</v>
      </c>
      <c r="W370" s="257">
        <f t="shared" si="65"/>
        <v>1967.0531045435712</v>
      </c>
      <c r="X370" s="257">
        <v>0</v>
      </c>
      <c r="Y370" s="258">
        <v>0</v>
      </c>
      <c r="Z370" s="258">
        <v>0</v>
      </c>
      <c r="AA370" s="258">
        <v>0</v>
      </c>
      <c r="AB370" s="258">
        <v>0</v>
      </c>
      <c r="AC370" s="258">
        <v>0</v>
      </c>
      <c r="AD370" s="258">
        <v>0</v>
      </c>
      <c r="AE370" s="258">
        <v>456.6</v>
      </c>
      <c r="AF370" s="257">
        <f>6238.91*AE370/I370</f>
        <v>1967.0531045435712</v>
      </c>
      <c r="AG370" s="258">
        <v>0</v>
      </c>
      <c r="AH370" s="257">
        <v>0</v>
      </c>
      <c r="AI370" s="258">
        <v>0</v>
      </c>
      <c r="AJ370" s="257">
        <v>0</v>
      </c>
      <c r="AK370" s="258">
        <v>0</v>
      </c>
      <c r="AL370" s="258">
        <v>0</v>
      </c>
      <c r="AM370" s="258">
        <v>0</v>
      </c>
      <c r="AN370" s="258"/>
      <c r="AO370" s="258">
        <v>0</v>
      </c>
    </row>
    <row r="371" spans="1:41" s="259" customFormat="1" ht="36" customHeight="1" x14ac:dyDescent="0.25">
      <c r="A371" s="259">
        <v>1</v>
      </c>
      <c r="B371" s="135">
        <f>SUBTOTAL(103,$A$16:A371)</f>
        <v>334</v>
      </c>
      <c r="C371" s="94" t="s">
        <v>1232</v>
      </c>
      <c r="D371" s="124">
        <v>1978</v>
      </c>
      <c r="E371" s="124"/>
      <c r="F371" s="129" t="s">
        <v>320</v>
      </c>
      <c r="G371" s="124">
        <v>5</v>
      </c>
      <c r="H371" s="124" t="s">
        <v>2293</v>
      </c>
      <c r="I371" s="128">
        <v>7971.79</v>
      </c>
      <c r="J371" s="128">
        <v>7971.79</v>
      </c>
      <c r="K371" s="128">
        <v>7971.79</v>
      </c>
      <c r="L371" s="126">
        <v>264</v>
      </c>
      <c r="M371" s="124" t="s">
        <v>267</v>
      </c>
      <c r="N371" s="124" t="s">
        <v>271</v>
      </c>
      <c r="O371" s="127" t="s">
        <v>1336</v>
      </c>
      <c r="P371" s="128">
        <v>6271249.8300000001</v>
      </c>
      <c r="Q371" s="128">
        <v>0</v>
      </c>
      <c r="R371" s="128">
        <v>0</v>
      </c>
      <c r="S371" s="128">
        <f t="shared" si="64"/>
        <v>6271249.8300000001</v>
      </c>
      <c r="T371" s="128">
        <f t="shared" si="52"/>
        <v>786.68026001688452</v>
      </c>
      <c r="U371" s="128">
        <v>1203.5555876158301</v>
      </c>
      <c r="V371" s="257">
        <f t="shared" si="54"/>
        <v>416.87532759894555</v>
      </c>
      <c r="W371" s="257">
        <f t="shared" si="65"/>
        <v>3546.19</v>
      </c>
      <c r="X371" s="257">
        <v>101.55</v>
      </c>
      <c r="Y371" s="258">
        <v>0</v>
      </c>
      <c r="Z371" s="258">
        <v>3259.66</v>
      </c>
      <c r="AA371" s="258">
        <v>184.98</v>
      </c>
      <c r="AB371" s="258">
        <v>0</v>
      </c>
      <c r="AC371" s="258">
        <v>0</v>
      </c>
      <c r="AD371" s="258">
        <v>0</v>
      </c>
      <c r="AE371" s="258">
        <v>0</v>
      </c>
      <c r="AF371" s="257">
        <v>0</v>
      </c>
      <c r="AG371" s="258">
        <v>0</v>
      </c>
      <c r="AH371" s="257">
        <v>0</v>
      </c>
      <c r="AI371" s="258">
        <v>0</v>
      </c>
      <c r="AJ371" s="257">
        <v>0</v>
      </c>
      <c r="AK371" s="258">
        <v>0</v>
      </c>
      <c r="AL371" s="258">
        <v>0</v>
      </c>
      <c r="AM371" s="258">
        <v>0</v>
      </c>
      <c r="AN371" s="258"/>
      <c r="AO371" s="258">
        <v>0</v>
      </c>
    </row>
    <row r="372" spans="1:41" s="259" customFormat="1" ht="36" customHeight="1" x14ac:dyDescent="0.25">
      <c r="A372" s="259">
        <v>1</v>
      </c>
      <c r="B372" s="135">
        <f>SUBTOTAL(103,$A$16:A372)</f>
        <v>335</v>
      </c>
      <c r="C372" s="94" t="s">
        <v>1568</v>
      </c>
      <c r="D372" s="124">
        <v>1977</v>
      </c>
      <c r="E372" s="124"/>
      <c r="F372" s="129" t="s">
        <v>1585</v>
      </c>
      <c r="G372" s="124">
        <v>2</v>
      </c>
      <c r="H372" s="124" t="s">
        <v>314</v>
      </c>
      <c r="I372" s="128">
        <v>982.4</v>
      </c>
      <c r="J372" s="128">
        <v>564.1</v>
      </c>
      <c r="K372" s="128">
        <v>564.1</v>
      </c>
      <c r="L372" s="126">
        <v>46</v>
      </c>
      <c r="M372" s="124" t="s">
        <v>267</v>
      </c>
      <c r="N372" s="124" t="s">
        <v>271</v>
      </c>
      <c r="O372" s="127" t="s">
        <v>1592</v>
      </c>
      <c r="P372" s="128">
        <v>3782480.4</v>
      </c>
      <c r="Q372" s="128">
        <v>0</v>
      </c>
      <c r="R372" s="128">
        <v>0</v>
      </c>
      <c r="S372" s="128">
        <f t="shared" si="64"/>
        <v>3782480.4</v>
      </c>
      <c r="T372" s="128">
        <f t="shared" si="52"/>
        <v>3850.2447068403908</v>
      </c>
      <c r="U372" s="128">
        <v>5792.9060701343651</v>
      </c>
      <c r="V372" s="257">
        <f t="shared" si="54"/>
        <v>1942.6613632939743</v>
      </c>
      <c r="W372" s="257">
        <f t="shared" si="65"/>
        <v>9709.5577147801305</v>
      </c>
      <c r="X372" s="257">
        <v>0</v>
      </c>
      <c r="Y372" s="258">
        <v>0</v>
      </c>
      <c r="Z372" s="258">
        <v>0</v>
      </c>
      <c r="AA372" s="258">
        <v>0</v>
      </c>
      <c r="AB372" s="258">
        <v>0</v>
      </c>
      <c r="AC372" s="258">
        <v>0</v>
      </c>
      <c r="AD372" s="258">
        <v>0</v>
      </c>
      <c r="AE372" s="258">
        <v>1528.9</v>
      </c>
      <c r="AF372" s="257">
        <f>6238.91*AE372/I372</f>
        <v>9709.5577147801305</v>
      </c>
      <c r="AG372" s="258">
        <v>0</v>
      </c>
      <c r="AH372" s="257">
        <v>0</v>
      </c>
      <c r="AI372" s="258">
        <v>0</v>
      </c>
      <c r="AJ372" s="257">
        <v>0</v>
      </c>
      <c r="AK372" s="258">
        <v>0</v>
      </c>
      <c r="AL372" s="258">
        <v>0</v>
      </c>
      <c r="AM372" s="258">
        <v>0</v>
      </c>
      <c r="AN372" s="258"/>
      <c r="AO372" s="258">
        <v>0</v>
      </c>
    </row>
    <row r="373" spans="1:41" s="259" customFormat="1" ht="36" customHeight="1" x14ac:dyDescent="0.25">
      <c r="A373" s="259">
        <v>1</v>
      </c>
      <c r="B373" s="135">
        <f>SUBTOTAL(103,$A$16:A373)</f>
        <v>336</v>
      </c>
      <c r="C373" s="94" t="s">
        <v>135</v>
      </c>
      <c r="D373" s="124">
        <v>1976</v>
      </c>
      <c r="E373" s="124"/>
      <c r="F373" s="129" t="s">
        <v>289</v>
      </c>
      <c r="G373" s="124">
        <v>5</v>
      </c>
      <c r="H373" s="124" t="s">
        <v>373</v>
      </c>
      <c r="I373" s="128">
        <v>6117.57</v>
      </c>
      <c r="J373" s="128">
        <v>6117.57</v>
      </c>
      <c r="K373" s="128">
        <v>6117.57</v>
      </c>
      <c r="L373" s="126">
        <v>166</v>
      </c>
      <c r="M373" s="124" t="s">
        <v>267</v>
      </c>
      <c r="N373" s="124" t="s">
        <v>271</v>
      </c>
      <c r="O373" s="127" t="s">
        <v>287</v>
      </c>
      <c r="P373" s="128">
        <v>3929633.31</v>
      </c>
      <c r="Q373" s="128">
        <v>0</v>
      </c>
      <c r="R373" s="128">
        <v>0</v>
      </c>
      <c r="S373" s="128">
        <f>P373-R373-Q373</f>
        <v>3929633.31</v>
      </c>
      <c r="T373" s="128">
        <f t="shared" si="52"/>
        <v>642.35199760689295</v>
      </c>
      <c r="U373" s="128">
        <v>1136.3074194165331</v>
      </c>
      <c r="V373" s="257">
        <f t="shared" si="54"/>
        <v>493.95542180964014</v>
      </c>
      <c r="W373" s="257">
        <f t="shared" si="65"/>
        <v>887.25616543823776</v>
      </c>
      <c r="X373" s="257">
        <v>0</v>
      </c>
      <c r="Y373" s="258">
        <v>0</v>
      </c>
      <c r="Z373" s="258">
        <v>0</v>
      </c>
      <c r="AA373" s="258">
        <v>0</v>
      </c>
      <c r="AB373" s="258">
        <v>0</v>
      </c>
      <c r="AC373" s="258">
        <v>0</v>
      </c>
      <c r="AD373" s="258">
        <v>0</v>
      </c>
      <c r="AE373" s="258">
        <v>870</v>
      </c>
      <c r="AF373" s="257">
        <f>6238.91*AE373/I373</f>
        <v>887.25616543823776</v>
      </c>
      <c r="AG373" s="258">
        <v>0</v>
      </c>
      <c r="AH373" s="257">
        <v>0</v>
      </c>
      <c r="AI373" s="258">
        <v>0</v>
      </c>
      <c r="AJ373" s="257">
        <v>0</v>
      </c>
      <c r="AK373" s="258">
        <v>0</v>
      </c>
      <c r="AL373" s="258">
        <v>0</v>
      </c>
      <c r="AM373" s="258">
        <v>0</v>
      </c>
      <c r="AN373" s="258"/>
      <c r="AO373" s="258">
        <v>0</v>
      </c>
    </row>
    <row r="374" spans="1:41" s="259" customFormat="1" ht="36" customHeight="1" x14ac:dyDescent="0.25">
      <c r="B374" s="94" t="s">
        <v>838</v>
      </c>
      <c r="C374" s="94"/>
      <c r="D374" s="124" t="s">
        <v>896</v>
      </c>
      <c r="E374" s="124" t="s">
        <v>896</v>
      </c>
      <c r="F374" s="124" t="s">
        <v>896</v>
      </c>
      <c r="G374" s="124" t="s">
        <v>896</v>
      </c>
      <c r="H374" s="124" t="s">
        <v>896</v>
      </c>
      <c r="I374" s="125">
        <f>SUM(I375:I376)</f>
        <v>2529.2999999999997</v>
      </c>
      <c r="J374" s="125">
        <f>SUM(J375:J376)</f>
        <v>2222.2999999999997</v>
      </c>
      <c r="K374" s="125">
        <f>SUM(K375:K376)</f>
        <v>2222.2999999999997</v>
      </c>
      <c r="L374" s="126">
        <f>SUM(L375:L376)</f>
        <v>106</v>
      </c>
      <c r="M374" s="124" t="s">
        <v>896</v>
      </c>
      <c r="N374" s="124" t="s">
        <v>896</v>
      </c>
      <c r="O374" s="127" t="s">
        <v>896</v>
      </c>
      <c r="P374" s="128">
        <v>2913286.51</v>
      </c>
      <c r="Q374" s="128">
        <f>SUM(Q375:Q376)</f>
        <v>0</v>
      </c>
      <c r="R374" s="128">
        <f>SUM(R375:R376)</f>
        <v>0</v>
      </c>
      <c r="S374" s="128">
        <f>SUM(S375:S376)</f>
        <v>2913286.51</v>
      </c>
      <c r="T374" s="128">
        <f t="shared" si="52"/>
        <v>1151.8153283517179</v>
      </c>
      <c r="U374" s="128">
        <f>MAX(U375:U376)</f>
        <v>1604.1810991665088</v>
      </c>
      <c r="V374" s="257">
        <f t="shared" si="54"/>
        <v>452.36577081479095</v>
      </c>
      <c r="W374" s="257"/>
      <c r="X374" s="257"/>
      <c r="Y374" s="258"/>
      <c r="Z374" s="258"/>
      <c r="AA374" s="258"/>
      <c r="AB374" s="258"/>
      <c r="AC374" s="258"/>
      <c r="AD374" s="258"/>
      <c r="AE374" s="258"/>
      <c r="AF374" s="258"/>
      <c r="AG374" s="258"/>
      <c r="AH374" s="258"/>
      <c r="AI374" s="258"/>
      <c r="AJ374" s="258"/>
      <c r="AK374" s="258"/>
      <c r="AL374" s="258"/>
      <c r="AM374" s="258"/>
      <c r="AN374" s="258"/>
      <c r="AO374" s="258"/>
    </row>
    <row r="375" spans="1:41" s="259" customFormat="1" ht="36" customHeight="1" x14ac:dyDescent="0.25">
      <c r="A375" s="259">
        <v>1</v>
      </c>
      <c r="B375" s="135">
        <f>SUBTOTAL(103,$A$16:A375)</f>
        <v>337</v>
      </c>
      <c r="C375" s="94" t="s">
        <v>120</v>
      </c>
      <c r="D375" s="124">
        <v>1984</v>
      </c>
      <c r="E375" s="124"/>
      <c r="F375" s="129" t="s">
        <v>289</v>
      </c>
      <c r="G375" s="124">
        <v>5</v>
      </c>
      <c r="H375" s="124" t="s">
        <v>314</v>
      </c>
      <c r="I375" s="128">
        <v>2111.6</v>
      </c>
      <c r="J375" s="128">
        <v>1804.6</v>
      </c>
      <c r="K375" s="128">
        <v>1804.6</v>
      </c>
      <c r="L375" s="126">
        <v>84</v>
      </c>
      <c r="M375" s="124" t="s">
        <v>267</v>
      </c>
      <c r="N375" s="124" t="s">
        <v>271</v>
      </c>
      <c r="O375" s="127" t="s">
        <v>288</v>
      </c>
      <c r="P375" s="128">
        <v>2379404.19</v>
      </c>
      <c r="Q375" s="128">
        <v>0</v>
      </c>
      <c r="R375" s="128">
        <v>0</v>
      </c>
      <c r="S375" s="128">
        <f>P375-Q375-R375</f>
        <v>2379404.19</v>
      </c>
      <c r="T375" s="128">
        <f t="shared" si="52"/>
        <v>1126.8252462587611</v>
      </c>
      <c r="U375" s="128">
        <v>1604.1810991665088</v>
      </c>
      <c r="V375" s="257">
        <f t="shared" si="54"/>
        <v>477.3558529077477</v>
      </c>
      <c r="W375" s="257">
        <f t="shared" ref="W375" si="66">X375+Y375+Z375+AA375+AB375+AD375+AF375+AH375+AJ375+AL375+AN375+AO375</f>
        <v>1598.7280739723433</v>
      </c>
      <c r="X375" s="257">
        <v>0</v>
      </c>
      <c r="Y375" s="258">
        <v>0</v>
      </c>
      <c r="Z375" s="258">
        <v>0</v>
      </c>
      <c r="AA375" s="258">
        <v>0</v>
      </c>
      <c r="AB375" s="258">
        <v>0</v>
      </c>
      <c r="AC375" s="258">
        <v>0</v>
      </c>
      <c r="AD375" s="258">
        <v>0</v>
      </c>
      <c r="AE375" s="258">
        <v>541.1</v>
      </c>
      <c r="AF375" s="257">
        <f>6238.91*AE375/I375</f>
        <v>1598.7280739723433</v>
      </c>
      <c r="AG375" s="258">
        <v>0</v>
      </c>
      <c r="AH375" s="257">
        <v>0</v>
      </c>
      <c r="AI375" s="258">
        <v>0</v>
      </c>
      <c r="AJ375" s="257">
        <v>0</v>
      </c>
      <c r="AK375" s="258">
        <v>0</v>
      </c>
      <c r="AL375" s="258">
        <v>0</v>
      </c>
      <c r="AM375" s="258">
        <v>0</v>
      </c>
      <c r="AN375" s="258"/>
      <c r="AO375" s="258">
        <v>0</v>
      </c>
    </row>
    <row r="376" spans="1:41" s="259" customFormat="1" ht="36" customHeight="1" x14ac:dyDescent="0.25">
      <c r="A376" s="259">
        <v>1</v>
      </c>
      <c r="B376" s="135">
        <f>SUBTOTAL(103,$A$16:A376)</f>
        <v>338</v>
      </c>
      <c r="C376" s="94" t="s">
        <v>1233</v>
      </c>
      <c r="D376" s="124">
        <v>1987</v>
      </c>
      <c r="E376" s="124"/>
      <c r="F376" s="129" t="s">
        <v>269</v>
      </c>
      <c r="G376" s="124">
        <v>2</v>
      </c>
      <c r="H376" s="124" t="s">
        <v>306</v>
      </c>
      <c r="I376" s="128">
        <v>417.7</v>
      </c>
      <c r="J376" s="128">
        <v>417.7</v>
      </c>
      <c r="K376" s="128">
        <v>417.7</v>
      </c>
      <c r="L376" s="126">
        <v>22</v>
      </c>
      <c r="M376" s="124" t="s">
        <v>267</v>
      </c>
      <c r="N376" s="124" t="s">
        <v>268</v>
      </c>
      <c r="O376" s="127" t="s">
        <v>270</v>
      </c>
      <c r="P376" s="128">
        <v>533882.32000000007</v>
      </c>
      <c r="Q376" s="128">
        <v>0</v>
      </c>
      <c r="R376" s="128">
        <v>0</v>
      </c>
      <c r="S376" s="128">
        <f>P376-Q376-R376</f>
        <v>533882.32000000007</v>
      </c>
      <c r="T376" s="128">
        <f t="shared" si="52"/>
        <v>1278.1477615513529</v>
      </c>
      <c r="U376" s="128">
        <v>1278.1477615513529</v>
      </c>
      <c r="V376" s="257">
        <f t="shared" si="54"/>
        <v>0</v>
      </c>
      <c r="W376" s="257">
        <f>T376</f>
        <v>1278.1477615513529</v>
      </c>
      <c r="X376" s="257">
        <v>113.09</v>
      </c>
      <c r="Y376" s="258">
        <v>0</v>
      </c>
      <c r="Z376" s="258">
        <v>0</v>
      </c>
      <c r="AA376" s="258">
        <v>184.98</v>
      </c>
      <c r="AB376" s="258">
        <v>795.31</v>
      </c>
      <c r="AC376" s="258">
        <v>0</v>
      </c>
      <c r="AD376" s="258">
        <v>0</v>
      </c>
      <c r="AE376" s="258">
        <v>0</v>
      </c>
      <c r="AF376" s="257">
        <v>0</v>
      </c>
      <c r="AG376" s="258">
        <v>0</v>
      </c>
      <c r="AH376" s="257">
        <v>0</v>
      </c>
      <c r="AI376" s="258">
        <v>0</v>
      </c>
      <c r="AJ376" s="257">
        <v>0</v>
      </c>
      <c r="AK376" s="258">
        <v>0</v>
      </c>
      <c r="AL376" s="258">
        <v>0</v>
      </c>
      <c r="AM376" s="258">
        <v>0</v>
      </c>
      <c r="AN376" s="258"/>
      <c r="AO376" s="258">
        <v>0</v>
      </c>
    </row>
    <row r="377" spans="1:41" s="259" customFormat="1" ht="36" customHeight="1" x14ac:dyDescent="0.25">
      <c r="B377" s="94" t="s">
        <v>897</v>
      </c>
      <c r="C377" s="94"/>
      <c r="D377" s="124" t="s">
        <v>896</v>
      </c>
      <c r="E377" s="124" t="s">
        <v>896</v>
      </c>
      <c r="F377" s="124" t="s">
        <v>896</v>
      </c>
      <c r="G377" s="124" t="s">
        <v>896</v>
      </c>
      <c r="H377" s="124" t="s">
        <v>896</v>
      </c>
      <c r="I377" s="125">
        <f>I378</f>
        <v>375</v>
      </c>
      <c r="J377" s="125">
        <f>J378</f>
        <v>310</v>
      </c>
      <c r="K377" s="125">
        <f>K378</f>
        <v>310</v>
      </c>
      <c r="L377" s="126">
        <f>L378</f>
        <v>21</v>
      </c>
      <c r="M377" s="124" t="s">
        <v>896</v>
      </c>
      <c r="N377" s="124" t="s">
        <v>896</v>
      </c>
      <c r="O377" s="127" t="s">
        <v>896</v>
      </c>
      <c r="P377" s="128">
        <v>2005046.9200000002</v>
      </c>
      <c r="Q377" s="128">
        <f>Q378</f>
        <v>0</v>
      </c>
      <c r="R377" s="128">
        <f>R378</f>
        <v>0</v>
      </c>
      <c r="S377" s="128">
        <f>S378</f>
        <v>2005046.9200000002</v>
      </c>
      <c r="T377" s="128">
        <f t="shared" si="52"/>
        <v>5346.7917866666667</v>
      </c>
      <c r="U377" s="128">
        <f>MAX(U378)</f>
        <v>12537.873435199999</v>
      </c>
      <c r="V377" s="257">
        <f t="shared" si="54"/>
        <v>7191.0816485333326</v>
      </c>
      <c r="W377" s="257"/>
      <c r="X377" s="257"/>
      <c r="Y377" s="258"/>
      <c r="Z377" s="258"/>
      <c r="AA377" s="258"/>
      <c r="AB377" s="258"/>
      <c r="AC377" s="258"/>
      <c r="AD377" s="258"/>
      <c r="AE377" s="258"/>
      <c r="AF377" s="258"/>
      <c r="AG377" s="258"/>
      <c r="AH377" s="258"/>
      <c r="AI377" s="258"/>
      <c r="AJ377" s="258"/>
      <c r="AK377" s="258"/>
      <c r="AL377" s="258"/>
      <c r="AM377" s="258"/>
      <c r="AN377" s="258"/>
      <c r="AO377" s="258"/>
    </row>
    <row r="378" spans="1:41" s="259" customFormat="1" ht="36" customHeight="1" x14ac:dyDescent="0.25">
      <c r="A378" s="259">
        <v>1</v>
      </c>
      <c r="B378" s="135">
        <f>SUBTOTAL(103,$A$16:A378)</f>
        <v>339</v>
      </c>
      <c r="C378" s="94" t="s">
        <v>121</v>
      </c>
      <c r="D378" s="124">
        <v>1967</v>
      </c>
      <c r="E378" s="124"/>
      <c r="F378" s="129" t="s">
        <v>269</v>
      </c>
      <c r="G378" s="124">
        <v>2</v>
      </c>
      <c r="H378" s="124" t="s">
        <v>306</v>
      </c>
      <c r="I378" s="128">
        <v>375</v>
      </c>
      <c r="J378" s="128">
        <v>310</v>
      </c>
      <c r="K378" s="128">
        <v>310</v>
      </c>
      <c r="L378" s="126">
        <v>21</v>
      </c>
      <c r="M378" s="124" t="s">
        <v>267</v>
      </c>
      <c r="N378" s="124" t="s">
        <v>268</v>
      </c>
      <c r="O378" s="127" t="s">
        <v>270</v>
      </c>
      <c r="P378" s="128">
        <v>2005046.9200000002</v>
      </c>
      <c r="Q378" s="128">
        <v>0</v>
      </c>
      <c r="R378" s="128">
        <v>0</v>
      </c>
      <c r="S378" s="128">
        <f>P378-Q378-R378</f>
        <v>2005046.9200000002</v>
      </c>
      <c r="T378" s="128">
        <f t="shared" si="52"/>
        <v>5346.7917866666667</v>
      </c>
      <c r="U378" s="128">
        <v>12537.873435199999</v>
      </c>
      <c r="V378" s="257">
        <f>U378-T378</f>
        <v>7191.0816485333326</v>
      </c>
      <c r="W378" s="257">
        <f>X378+Y378+Z378+AA378+AB378+AD378+AF378+AH378+AJ378+AL378+AN378+AO378</f>
        <v>13156.01648266667</v>
      </c>
      <c r="X378" s="257">
        <v>0</v>
      </c>
      <c r="Y378" s="258">
        <v>0</v>
      </c>
      <c r="Z378" s="258">
        <v>0</v>
      </c>
      <c r="AA378" s="258">
        <v>0</v>
      </c>
      <c r="AB378" s="258">
        <v>0</v>
      </c>
      <c r="AC378" s="258">
        <v>0</v>
      </c>
      <c r="AD378" s="258">
        <v>0</v>
      </c>
      <c r="AE378" s="258">
        <v>313.10000000000002</v>
      </c>
      <c r="AF378" s="257">
        <f>6238.91*AE378/I378</f>
        <v>5209.0739226666674</v>
      </c>
      <c r="AG378" s="258">
        <v>0</v>
      </c>
      <c r="AH378" s="257">
        <v>0</v>
      </c>
      <c r="AI378" s="258">
        <v>400.6</v>
      </c>
      <c r="AJ378" s="257">
        <f>7439.1*AI378/I378</f>
        <v>7946.9425600000013</v>
      </c>
      <c r="AK378" s="258">
        <v>0</v>
      </c>
      <c r="AL378" s="258">
        <v>0</v>
      </c>
      <c r="AM378" s="258">
        <v>0</v>
      </c>
      <c r="AN378" s="258"/>
      <c r="AO378" s="258">
        <v>0</v>
      </c>
    </row>
    <row r="379" spans="1:41" s="259" customFormat="1" ht="36" customHeight="1" x14ac:dyDescent="0.25">
      <c r="B379" s="94" t="s">
        <v>839</v>
      </c>
      <c r="C379" s="94"/>
      <c r="D379" s="124" t="s">
        <v>896</v>
      </c>
      <c r="E379" s="124" t="s">
        <v>896</v>
      </c>
      <c r="F379" s="124" t="s">
        <v>896</v>
      </c>
      <c r="G379" s="124" t="s">
        <v>896</v>
      </c>
      <c r="H379" s="124" t="s">
        <v>896</v>
      </c>
      <c r="I379" s="125">
        <f>I380</f>
        <v>1156.21</v>
      </c>
      <c r="J379" s="125">
        <f>J380</f>
        <v>880.01</v>
      </c>
      <c r="K379" s="125">
        <f>K380</f>
        <v>880.01</v>
      </c>
      <c r="L379" s="126">
        <f>L380</f>
        <v>44</v>
      </c>
      <c r="M379" s="124" t="s">
        <v>896</v>
      </c>
      <c r="N379" s="124" t="s">
        <v>896</v>
      </c>
      <c r="O379" s="127" t="s">
        <v>896</v>
      </c>
      <c r="P379" s="128">
        <v>3866903.76</v>
      </c>
      <c r="Q379" s="128">
        <f>Q380</f>
        <v>0</v>
      </c>
      <c r="R379" s="128">
        <f>R380</f>
        <v>0</v>
      </c>
      <c r="S379" s="128">
        <f>S380</f>
        <v>3866903.76</v>
      </c>
      <c r="T379" s="128">
        <f t="shared" si="52"/>
        <v>3344.4648982451281</v>
      </c>
      <c r="U379" s="128">
        <f>MAX(U380)</f>
        <v>4371.9160164675968</v>
      </c>
      <c r="V379" s="257">
        <f t="shared" si="54"/>
        <v>1027.4511182224687</v>
      </c>
      <c r="W379" s="257"/>
      <c r="X379" s="257"/>
      <c r="Y379" s="258"/>
      <c r="Z379" s="258"/>
      <c r="AA379" s="258"/>
      <c r="AB379" s="258"/>
      <c r="AC379" s="258"/>
      <c r="AD379" s="258"/>
      <c r="AE379" s="258"/>
      <c r="AF379" s="258"/>
      <c r="AG379" s="258"/>
      <c r="AH379" s="258"/>
      <c r="AI379" s="258"/>
      <c r="AJ379" s="258"/>
      <c r="AK379" s="258"/>
      <c r="AL379" s="258"/>
      <c r="AM379" s="258"/>
      <c r="AN379" s="258"/>
      <c r="AO379" s="258"/>
    </row>
    <row r="380" spans="1:41" s="259" customFormat="1" ht="36" customHeight="1" x14ac:dyDescent="0.25">
      <c r="A380" s="259">
        <v>1</v>
      </c>
      <c r="B380" s="135">
        <f>SUBTOTAL(103,$A$16:A380)</f>
        <v>340</v>
      </c>
      <c r="C380" s="94" t="s">
        <v>122</v>
      </c>
      <c r="D380" s="124">
        <v>1990</v>
      </c>
      <c r="E380" s="124"/>
      <c r="F380" s="129" t="s">
        <v>269</v>
      </c>
      <c r="G380" s="124">
        <v>2</v>
      </c>
      <c r="H380" s="124" t="s">
        <v>314</v>
      </c>
      <c r="I380" s="128">
        <v>1156.21</v>
      </c>
      <c r="J380" s="128">
        <v>880.01</v>
      </c>
      <c r="K380" s="128">
        <v>880.01</v>
      </c>
      <c r="L380" s="126">
        <v>44</v>
      </c>
      <c r="M380" s="124" t="s">
        <v>267</v>
      </c>
      <c r="N380" s="124" t="s">
        <v>268</v>
      </c>
      <c r="O380" s="127" t="s">
        <v>270</v>
      </c>
      <c r="P380" s="128">
        <v>3866903.76</v>
      </c>
      <c r="Q380" s="128">
        <v>0</v>
      </c>
      <c r="R380" s="128">
        <v>0</v>
      </c>
      <c r="S380" s="128">
        <f>P380-Q380-R380</f>
        <v>3866903.76</v>
      </c>
      <c r="T380" s="128">
        <f t="shared" si="52"/>
        <v>3344.4648982451281</v>
      </c>
      <c r="U380" s="128">
        <v>4371.9160164675968</v>
      </c>
      <c r="V380" s="257">
        <f>U380-T380</f>
        <v>1027.4511182224687</v>
      </c>
      <c r="W380" s="257">
        <f>X380+Y380+Z380+AA380+AB380+AD380+AF380+AH380+AJ380+AL380+AN380+AO380</f>
        <v>4357.0547466290727</v>
      </c>
      <c r="X380" s="257">
        <v>0</v>
      </c>
      <c r="Y380" s="258">
        <v>0</v>
      </c>
      <c r="Z380" s="258">
        <v>0</v>
      </c>
      <c r="AA380" s="258">
        <v>0</v>
      </c>
      <c r="AB380" s="258">
        <v>0</v>
      </c>
      <c r="AC380" s="258">
        <v>0</v>
      </c>
      <c r="AD380" s="258">
        <v>0</v>
      </c>
      <c r="AE380" s="258">
        <v>807.46</v>
      </c>
      <c r="AF380" s="257">
        <f>6238.91*AE380/I380</f>
        <v>4357.0547466290727</v>
      </c>
      <c r="AG380" s="258">
        <v>0</v>
      </c>
      <c r="AH380" s="257">
        <v>0</v>
      </c>
      <c r="AI380" s="258">
        <v>0</v>
      </c>
      <c r="AJ380" s="257">
        <v>0</v>
      </c>
      <c r="AK380" s="258">
        <v>0</v>
      </c>
      <c r="AL380" s="258">
        <v>0</v>
      </c>
      <c r="AM380" s="258">
        <v>0</v>
      </c>
      <c r="AN380" s="258"/>
      <c r="AO380" s="258">
        <v>0</v>
      </c>
    </row>
    <row r="381" spans="1:41" s="259" customFormat="1" ht="36" customHeight="1" x14ac:dyDescent="0.25">
      <c r="B381" s="94" t="s">
        <v>840</v>
      </c>
      <c r="C381" s="261"/>
      <c r="D381" s="124" t="s">
        <v>896</v>
      </c>
      <c r="E381" s="124" t="s">
        <v>896</v>
      </c>
      <c r="F381" s="124" t="s">
        <v>896</v>
      </c>
      <c r="G381" s="124" t="s">
        <v>896</v>
      </c>
      <c r="H381" s="124" t="s">
        <v>896</v>
      </c>
      <c r="I381" s="125">
        <f>SUM(I382:I385)</f>
        <v>2624.2</v>
      </c>
      <c r="J381" s="125">
        <f>SUM(J382:J385)</f>
        <v>2293.7000000000003</v>
      </c>
      <c r="K381" s="125">
        <f>SUM(K382:K385)</f>
        <v>2293.7000000000003</v>
      </c>
      <c r="L381" s="126">
        <f>SUM(L382:L385)</f>
        <v>125</v>
      </c>
      <c r="M381" s="124" t="s">
        <v>896</v>
      </c>
      <c r="N381" s="124" t="s">
        <v>896</v>
      </c>
      <c r="O381" s="127" t="s">
        <v>896</v>
      </c>
      <c r="P381" s="125">
        <v>4286820.72</v>
      </c>
      <c r="Q381" s="125">
        <f>SUM(Q382:Q385)</f>
        <v>0</v>
      </c>
      <c r="R381" s="125">
        <f>SUM(R382:R385)</f>
        <v>0</v>
      </c>
      <c r="S381" s="125">
        <f>SUM(S382:S385)</f>
        <v>4286820.72</v>
      </c>
      <c r="T381" s="128">
        <f t="shared" si="52"/>
        <v>1633.572410639433</v>
      </c>
      <c r="U381" s="128">
        <f>MAX(U382:U385)</f>
        <v>9712.3472287707482</v>
      </c>
      <c r="V381" s="257">
        <f t="shared" si="54"/>
        <v>8078.7748181313154</v>
      </c>
      <c r="W381" s="257"/>
      <c r="X381" s="257"/>
      <c r="Y381" s="258"/>
      <c r="Z381" s="258"/>
      <c r="AA381" s="258"/>
      <c r="AB381" s="258"/>
      <c r="AC381" s="258"/>
      <c r="AD381" s="258"/>
      <c r="AE381" s="258"/>
      <c r="AF381" s="258"/>
      <c r="AG381" s="258"/>
      <c r="AH381" s="258"/>
      <c r="AI381" s="258"/>
      <c r="AJ381" s="258"/>
      <c r="AK381" s="258"/>
      <c r="AL381" s="258"/>
      <c r="AM381" s="258"/>
      <c r="AN381" s="258"/>
      <c r="AO381" s="258"/>
    </row>
    <row r="382" spans="1:41" s="259" customFormat="1" ht="36" customHeight="1" x14ac:dyDescent="0.25">
      <c r="A382" s="259">
        <v>1</v>
      </c>
      <c r="B382" s="135">
        <f>SUBTOTAL(103,$A$16:A382)</f>
        <v>341</v>
      </c>
      <c r="C382" s="94" t="s">
        <v>171</v>
      </c>
      <c r="D382" s="124">
        <v>1957</v>
      </c>
      <c r="E382" s="124"/>
      <c r="F382" s="129" t="s">
        <v>269</v>
      </c>
      <c r="G382" s="124">
        <v>2</v>
      </c>
      <c r="H382" s="124" t="s">
        <v>305</v>
      </c>
      <c r="I382" s="128">
        <v>765.1</v>
      </c>
      <c r="J382" s="128">
        <v>686.7</v>
      </c>
      <c r="K382" s="128">
        <v>686.7</v>
      </c>
      <c r="L382" s="126">
        <v>31</v>
      </c>
      <c r="M382" s="124" t="s">
        <v>267</v>
      </c>
      <c r="N382" s="124" t="s">
        <v>339</v>
      </c>
      <c r="O382" s="127" t="s">
        <v>1005</v>
      </c>
      <c r="P382" s="128">
        <v>2321700.09</v>
      </c>
      <c r="Q382" s="128">
        <v>0</v>
      </c>
      <c r="R382" s="128">
        <v>0</v>
      </c>
      <c r="S382" s="128">
        <f>P382-Q382-R382</f>
        <v>2321700.09</v>
      </c>
      <c r="T382" s="128">
        <f t="shared" si="52"/>
        <v>3034.5054110573778</v>
      </c>
      <c r="U382" s="128">
        <v>5549.9763129002731</v>
      </c>
      <c r="V382" s="257">
        <f t="shared" si="54"/>
        <v>2515.4709018428953</v>
      </c>
      <c r="W382" s="257">
        <f t="shared" ref="W382:W383" si="67">X382+Y382+Z382+AA382+AB382+AD382+AF382+AH382+AJ382+AL382+AN382+AO382</f>
        <v>5531.1105123513262</v>
      </c>
      <c r="X382" s="257">
        <v>0</v>
      </c>
      <c r="Y382" s="258">
        <v>0</v>
      </c>
      <c r="Z382" s="258">
        <v>0</v>
      </c>
      <c r="AA382" s="258">
        <v>0</v>
      </c>
      <c r="AB382" s="258">
        <v>0</v>
      </c>
      <c r="AC382" s="258">
        <v>0</v>
      </c>
      <c r="AD382" s="258">
        <v>0</v>
      </c>
      <c r="AE382" s="258">
        <v>678.3</v>
      </c>
      <c r="AF382" s="257">
        <f>6238.91*AE382/I382</f>
        <v>5531.1105123513262</v>
      </c>
      <c r="AG382" s="258">
        <v>0</v>
      </c>
      <c r="AH382" s="257">
        <v>0</v>
      </c>
      <c r="AI382" s="258">
        <v>0</v>
      </c>
      <c r="AJ382" s="257">
        <v>0</v>
      </c>
      <c r="AK382" s="258">
        <v>0</v>
      </c>
      <c r="AL382" s="258">
        <v>0</v>
      </c>
      <c r="AM382" s="258">
        <v>0</v>
      </c>
      <c r="AN382" s="258"/>
      <c r="AO382" s="258">
        <v>0</v>
      </c>
    </row>
    <row r="383" spans="1:41" s="259" customFormat="1" ht="36" customHeight="1" x14ac:dyDescent="0.25">
      <c r="A383" s="259">
        <v>1</v>
      </c>
      <c r="B383" s="135">
        <f>SUBTOTAL(103,$A$16:A383)</f>
        <v>342</v>
      </c>
      <c r="C383" s="94" t="s">
        <v>172</v>
      </c>
      <c r="D383" s="124">
        <v>1957</v>
      </c>
      <c r="E383" s="124"/>
      <c r="F383" s="129" t="s">
        <v>269</v>
      </c>
      <c r="G383" s="124">
        <v>2</v>
      </c>
      <c r="H383" s="124" t="s">
        <v>305</v>
      </c>
      <c r="I383" s="128">
        <v>415.7</v>
      </c>
      <c r="J383" s="128">
        <v>368.1</v>
      </c>
      <c r="K383" s="128">
        <v>368.1</v>
      </c>
      <c r="L383" s="126">
        <v>26</v>
      </c>
      <c r="M383" s="124" t="s">
        <v>267</v>
      </c>
      <c r="N383" s="124" t="s">
        <v>339</v>
      </c>
      <c r="O383" s="127" t="s">
        <v>816</v>
      </c>
      <c r="P383" s="128">
        <v>1812453.5</v>
      </c>
      <c r="Q383" s="128">
        <v>0</v>
      </c>
      <c r="R383" s="128">
        <v>0</v>
      </c>
      <c r="S383" s="128">
        <f>P383-Q383-R383</f>
        <v>1812453.5</v>
      </c>
      <c r="T383" s="128">
        <f t="shared" si="52"/>
        <v>4360.0036083714222</v>
      </c>
      <c r="U383" s="128">
        <v>9712.3472287707482</v>
      </c>
      <c r="V383" s="257">
        <f t="shared" si="54"/>
        <v>5352.343620399326</v>
      </c>
      <c r="W383" s="257">
        <f t="shared" si="67"/>
        <v>10179.952913158528</v>
      </c>
      <c r="X383" s="257">
        <v>0</v>
      </c>
      <c r="Y383" s="258">
        <v>0</v>
      </c>
      <c r="Z383" s="258">
        <v>0</v>
      </c>
      <c r="AA383" s="258">
        <v>0</v>
      </c>
      <c r="AB383" s="258">
        <v>0</v>
      </c>
      <c r="AC383" s="258">
        <v>0</v>
      </c>
      <c r="AD383" s="258">
        <v>0</v>
      </c>
      <c r="AE383" s="258">
        <v>0</v>
      </c>
      <c r="AF383" s="257">
        <v>0</v>
      </c>
      <c r="AG383" s="258">
        <v>0</v>
      </c>
      <c r="AH383" s="257">
        <v>0</v>
      </c>
      <c r="AI383" s="258">
        <v>568.86</v>
      </c>
      <c r="AJ383" s="257">
        <f>7439.1*AI383/I383</f>
        <v>10179.952913158528</v>
      </c>
      <c r="AK383" s="258">
        <v>0</v>
      </c>
      <c r="AL383" s="258">
        <v>0</v>
      </c>
      <c r="AM383" s="258">
        <v>0</v>
      </c>
      <c r="AN383" s="258"/>
      <c r="AO383" s="258">
        <v>0</v>
      </c>
    </row>
    <row r="384" spans="1:41" s="259" customFormat="1" ht="36" customHeight="1" x14ac:dyDescent="0.25">
      <c r="A384" s="259">
        <v>1</v>
      </c>
      <c r="B384" s="135">
        <f>SUBTOTAL(103,$A$16:A384)</f>
        <v>343</v>
      </c>
      <c r="C384" s="94" t="s">
        <v>170</v>
      </c>
      <c r="D384" s="124">
        <v>1983</v>
      </c>
      <c r="E384" s="124"/>
      <c r="F384" s="129" t="s">
        <v>269</v>
      </c>
      <c r="G384" s="124">
        <v>2</v>
      </c>
      <c r="H384" s="124" t="s">
        <v>314</v>
      </c>
      <c r="I384" s="128">
        <v>1044.4000000000001</v>
      </c>
      <c r="J384" s="128">
        <v>943.9</v>
      </c>
      <c r="K384" s="128">
        <v>943.9</v>
      </c>
      <c r="L384" s="126">
        <v>47</v>
      </c>
      <c r="M384" s="124" t="s">
        <v>267</v>
      </c>
      <c r="N384" s="124" t="s">
        <v>339</v>
      </c>
      <c r="O384" s="127" t="s">
        <v>816</v>
      </c>
      <c r="P384" s="128">
        <v>104027.61</v>
      </c>
      <c r="Q384" s="128">
        <v>0</v>
      </c>
      <c r="R384" s="128">
        <v>0</v>
      </c>
      <c r="S384" s="128">
        <f>P384-Q384-R384</f>
        <v>104027.61</v>
      </c>
      <c r="T384" s="128">
        <f t="shared" si="52"/>
        <v>99.605141708157788</v>
      </c>
      <c r="U384" s="128">
        <v>99.605141708157788</v>
      </c>
      <c r="V384" s="257">
        <f t="shared" si="54"/>
        <v>0</v>
      </c>
      <c r="W384" s="257">
        <f t="shared" ref="W384:W385" si="68">T384</f>
        <v>99.605141708157788</v>
      </c>
      <c r="X384" s="257">
        <v>0</v>
      </c>
      <c r="Y384" s="258">
        <v>0</v>
      </c>
      <c r="Z384" s="258">
        <v>0</v>
      </c>
      <c r="AA384" s="258">
        <v>0</v>
      </c>
      <c r="AB384" s="258">
        <v>0</v>
      </c>
      <c r="AC384" s="258">
        <v>0</v>
      </c>
      <c r="AD384" s="258">
        <v>0</v>
      </c>
      <c r="AE384" s="258">
        <v>0</v>
      </c>
      <c r="AF384" s="257">
        <v>0</v>
      </c>
      <c r="AG384" s="258">
        <v>0</v>
      </c>
      <c r="AH384" s="257">
        <v>0</v>
      </c>
      <c r="AI384" s="258">
        <v>0</v>
      </c>
      <c r="AJ384" s="257">
        <v>0</v>
      </c>
      <c r="AK384" s="258">
        <v>0</v>
      </c>
      <c r="AL384" s="258">
        <v>0</v>
      </c>
      <c r="AM384" s="258">
        <v>690</v>
      </c>
      <c r="AN384" s="258">
        <f>6984.52*AM384/I384</f>
        <v>4614.4377633090771</v>
      </c>
      <c r="AO384" s="258">
        <v>0</v>
      </c>
    </row>
    <row r="385" spans="1:41" s="259" customFormat="1" ht="36" customHeight="1" x14ac:dyDescent="0.25">
      <c r="A385" s="259">
        <v>1</v>
      </c>
      <c r="B385" s="135">
        <f>SUBTOTAL(103,$A$16:A385)</f>
        <v>344</v>
      </c>
      <c r="C385" s="94" t="s">
        <v>1583</v>
      </c>
      <c r="D385" s="124">
        <v>1967</v>
      </c>
      <c r="E385" s="124"/>
      <c r="F385" s="129" t="s">
        <v>1585</v>
      </c>
      <c r="G385" s="124">
        <v>2</v>
      </c>
      <c r="H385" s="124" t="s">
        <v>306</v>
      </c>
      <c r="I385" s="128">
        <v>399</v>
      </c>
      <c r="J385" s="128">
        <v>295</v>
      </c>
      <c r="K385" s="128">
        <v>295</v>
      </c>
      <c r="L385" s="126">
        <v>21</v>
      </c>
      <c r="M385" s="124" t="s">
        <v>267</v>
      </c>
      <c r="N385" s="124" t="s">
        <v>339</v>
      </c>
      <c r="O385" s="127" t="s">
        <v>816</v>
      </c>
      <c r="P385" s="128">
        <v>48639.519999999997</v>
      </c>
      <c r="Q385" s="128">
        <v>0</v>
      </c>
      <c r="R385" s="128">
        <v>0</v>
      </c>
      <c r="S385" s="128">
        <f>P385-R385-Q385</f>
        <v>48639.519999999997</v>
      </c>
      <c r="T385" s="128">
        <f t="shared" si="52"/>
        <v>121.9035588972431</v>
      </c>
      <c r="U385" s="128">
        <v>121.9035588972431</v>
      </c>
      <c r="V385" s="257">
        <f t="shared" si="54"/>
        <v>0</v>
      </c>
      <c r="W385" s="257">
        <f t="shared" si="68"/>
        <v>121.9035588972431</v>
      </c>
      <c r="X385" s="257">
        <v>0</v>
      </c>
      <c r="Y385" s="258">
        <v>0</v>
      </c>
      <c r="Z385" s="258">
        <v>0</v>
      </c>
      <c r="AA385" s="258">
        <v>0</v>
      </c>
      <c r="AB385" s="258">
        <v>0</v>
      </c>
      <c r="AC385" s="258">
        <v>0</v>
      </c>
      <c r="AD385" s="258">
        <v>0</v>
      </c>
      <c r="AE385" s="258">
        <v>172</v>
      </c>
      <c r="AF385" s="257">
        <f>6436.53*AE385/I385</f>
        <v>2774.6445112781953</v>
      </c>
      <c r="AG385" s="258">
        <v>0</v>
      </c>
      <c r="AH385" s="257">
        <v>0</v>
      </c>
      <c r="AI385" s="258">
        <v>0</v>
      </c>
      <c r="AJ385" s="257">
        <v>0</v>
      </c>
      <c r="AK385" s="258">
        <v>0</v>
      </c>
      <c r="AL385" s="258">
        <v>0</v>
      </c>
      <c r="AM385" s="258">
        <v>0</v>
      </c>
      <c r="AN385" s="258"/>
      <c r="AO385" s="258">
        <v>0</v>
      </c>
    </row>
    <row r="386" spans="1:41" s="259" customFormat="1" ht="36" customHeight="1" x14ac:dyDescent="0.25">
      <c r="B386" s="94" t="s">
        <v>841</v>
      </c>
      <c r="C386" s="94"/>
      <c r="D386" s="124" t="s">
        <v>896</v>
      </c>
      <c r="E386" s="124" t="s">
        <v>896</v>
      </c>
      <c r="F386" s="124" t="s">
        <v>896</v>
      </c>
      <c r="G386" s="124" t="s">
        <v>896</v>
      </c>
      <c r="H386" s="124" t="s">
        <v>896</v>
      </c>
      <c r="I386" s="125">
        <f>SUM(I387:I388)</f>
        <v>1157</v>
      </c>
      <c r="J386" s="125">
        <f>SUM(J387:J388)</f>
        <v>1036</v>
      </c>
      <c r="K386" s="125">
        <f>SUM(K387:K388)</f>
        <v>1036</v>
      </c>
      <c r="L386" s="126">
        <f>SUM(L387:L388)</f>
        <v>40</v>
      </c>
      <c r="M386" s="124" t="s">
        <v>896</v>
      </c>
      <c r="N386" s="124" t="s">
        <v>896</v>
      </c>
      <c r="O386" s="127" t="s">
        <v>896</v>
      </c>
      <c r="P386" s="128">
        <v>3635408.5599999996</v>
      </c>
      <c r="Q386" s="128">
        <f t="shared" ref="Q386:R386" si="69">SUM(Q387:Q388)</f>
        <v>0</v>
      </c>
      <c r="R386" s="128">
        <f t="shared" si="69"/>
        <v>0</v>
      </c>
      <c r="S386" s="128">
        <f>SUM(S387:S388)</f>
        <v>3635408.5599999996</v>
      </c>
      <c r="T386" s="128">
        <f t="shared" si="52"/>
        <v>3142.0990146931717</v>
      </c>
      <c r="U386" s="128">
        <f>MAX(U387:U388)</f>
        <v>5511.1637578947366</v>
      </c>
      <c r="V386" s="257">
        <f t="shared" si="54"/>
        <v>2369.0647432015649</v>
      </c>
      <c r="W386" s="257"/>
      <c r="X386" s="257"/>
      <c r="Y386" s="258"/>
      <c r="Z386" s="258"/>
      <c r="AA386" s="258"/>
      <c r="AB386" s="258"/>
      <c r="AC386" s="258"/>
      <c r="AD386" s="258"/>
      <c r="AE386" s="258"/>
      <c r="AF386" s="258"/>
      <c r="AG386" s="258"/>
      <c r="AH386" s="258"/>
      <c r="AI386" s="258"/>
      <c r="AJ386" s="258"/>
      <c r="AK386" s="258"/>
      <c r="AL386" s="258"/>
      <c r="AM386" s="258"/>
      <c r="AN386" s="258"/>
      <c r="AO386" s="258"/>
    </row>
    <row r="387" spans="1:41" s="259" customFormat="1" ht="36" customHeight="1" x14ac:dyDescent="0.25">
      <c r="A387" s="259">
        <v>1</v>
      </c>
      <c r="B387" s="135">
        <f>SUBTOTAL(103,$A$16:A387)</f>
        <v>345</v>
      </c>
      <c r="C387" s="94" t="s">
        <v>169</v>
      </c>
      <c r="D387" s="124">
        <v>1956</v>
      </c>
      <c r="E387" s="124"/>
      <c r="F387" s="129" t="s">
        <v>269</v>
      </c>
      <c r="G387" s="124">
        <v>2</v>
      </c>
      <c r="H387" s="124" t="s">
        <v>305</v>
      </c>
      <c r="I387" s="128">
        <v>456</v>
      </c>
      <c r="J387" s="128">
        <v>399</v>
      </c>
      <c r="K387" s="128">
        <v>399</v>
      </c>
      <c r="L387" s="126">
        <v>14</v>
      </c>
      <c r="M387" s="124" t="s">
        <v>267</v>
      </c>
      <c r="N387" s="124" t="s">
        <v>339</v>
      </c>
      <c r="O387" s="127" t="s">
        <v>1006</v>
      </c>
      <c r="P387" s="128">
        <v>1330564.6199999999</v>
      </c>
      <c r="Q387" s="128">
        <v>0</v>
      </c>
      <c r="R387" s="128">
        <v>0</v>
      </c>
      <c r="S387" s="128">
        <f>P387-Q387-R387</f>
        <v>1330564.6199999999</v>
      </c>
      <c r="T387" s="128">
        <f t="shared" si="52"/>
        <v>2917.9048684210525</v>
      </c>
      <c r="U387" s="128">
        <v>5511.1637578947366</v>
      </c>
      <c r="V387" s="257">
        <f t="shared" si="54"/>
        <v>2593.2588894736841</v>
      </c>
      <c r="W387" s="257">
        <f t="shared" ref="W387:W388" si="70">X387+Y387+Z387+AA387+AB387+AD387+AF387+AH387+AJ387+AL387+AN387+AO387</f>
        <v>5648.129004824561</v>
      </c>
      <c r="X387" s="257">
        <v>0</v>
      </c>
      <c r="Y387" s="258">
        <v>0</v>
      </c>
      <c r="Z387" s="258">
        <v>0</v>
      </c>
      <c r="AA387" s="258">
        <v>0</v>
      </c>
      <c r="AB387" s="258">
        <v>0</v>
      </c>
      <c r="AC387" s="258">
        <v>0</v>
      </c>
      <c r="AD387" s="258">
        <v>0</v>
      </c>
      <c r="AE387" s="258">
        <v>412.82</v>
      </c>
      <c r="AF387" s="257">
        <f>6238.91*AE387/I387</f>
        <v>5648.129004824561</v>
      </c>
      <c r="AG387" s="258">
        <v>0</v>
      </c>
      <c r="AH387" s="257">
        <v>0</v>
      </c>
      <c r="AI387" s="258">
        <v>0</v>
      </c>
      <c r="AJ387" s="257">
        <v>0</v>
      </c>
      <c r="AK387" s="258">
        <v>0</v>
      </c>
      <c r="AL387" s="258">
        <v>0</v>
      </c>
      <c r="AM387" s="258">
        <v>0</v>
      </c>
      <c r="AN387" s="258"/>
      <c r="AO387" s="258">
        <v>0</v>
      </c>
    </row>
    <row r="388" spans="1:41" s="259" customFormat="1" ht="36" customHeight="1" x14ac:dyDescent="0.25">
      <c r="A388" s="259">
        <v>1</v>
      </c>
      <c r="B388" s="135">
        <f>SUBTOTAL(103,$A$16:A388)</f>
        <v>346</v>
      </c>
      <c r="C388" s="94" t="s">
        <v>1236</v>
      </c>
      <c r="D388" s="124">
        <v>1960</v>
      </c>
      <c r="E388" s="124"/>
      <c r="F388" s="129" t="s">
        <v>269</v>
      </c>
      <c r="G388" s="124">
        <v>2</v>
      </c>
      <c r="H388" s="124" t="s">
        <v>305</v>
      </c>
      <c r="I388" s="128">
        <v>701</v>
      </c>
      <c r="J388" s="128">
        <v>637</v>
      </c>
      <c r="K388" s="128">
        <v>637</v>
      </c>
      <c r="L388" s="126">
        <v>26</v>
      </c>
      <c r="M388" s="124" t="s">
        <v>267</v>
      </c>
      <c r="N388" s="124" t="s">
        <v>271</v>
      </c>
      <c r="O388" s="127" t="s">
        <v>1006</v>
      </c>
      <c r="P388" s="128">
        <v>2304843.94</v>
      </c>
      <c r="Q388" s="128">
        <v>0</v>
      </c>
      <c r="R388" s="128">
        <v>0</v>
      </c>
      <c r="S388" s="128">
        <f>P388-Q388-R388</f>
        <v>2304843.94</v>
      </c>
      <c r="T388" s="128">
        <f t="shared" si="52"/>
        <v>3287.9371469329531</v>
      </c>
      <c r="U388" s="128">
        <v>4183.21</v>
      </c>
      <c r="V388" s="257">
        <f t="shared" si="54"/>
        <v>895.27285306704698</v>
      </c>
      <c r="W388" s="257">
        <f t="shared" si="70"/>
        <v>4156.5200000000004</v>
      </c>
      <c r="X388" s="257">
        <v>101.55</v>
      </c>
      <c r="Y388" s="258">
        <v>0</v>
      </c>
      <c r="Z388" s="258">
        <v>3259.66</v>
      </c>
      <c r="AA388" s="258">
        <v>0</v>
      </c>
      <c r="AB388" s="258">
        <v>795.31</v>
      </c>
      <c r="AC388" s="258">
        <v>0</v>
      </c>
      <c r="AD388" s="258">
        <v>0</v>
      </c>
      <c r="AE388" s="258">
        <v>0</v>
      </c>
      <c r="AF388" s="257">
        <v>0</v>
      </c>
      <c r="AG388" s="258">
        <v>0</v>
      </c>
      <c r="AH388" s="257">
        <v>0</v>
      </c>
      <c r="AI388" s="258">
        <v>0</v>
      </c>
      <c r="AJ388" s="257">
        <v>0</v>
      </c>
      <c r="AK388" s="258">
        <v>0</v>
      </c>
      <c r="AL388" s="258">
        <v>0</v>
      </c>
      <c r="AM388" s="258">
        <v>0</v>
      </c>
      <c r="AN388" s="258"/>
      <c r="AO388" s="258">
        <v>0</v>
      </c>
    </row>
    <row r="389" spans="1:41" s="259" customFormat="1" ht="36" customHeight="1" x14ac:dyDescent="0.25">
      <c r="B389" s="94" t="s">
        <v>843</v>
      </c>
      <c r="C389" s="94"/>
      <c r="D389" s="124" t="s">
        <v>896</v>
      </c>
      <c r="E389" s="124" t="s">
        <v>896</v>
      </c>
      <c r="F389" s="124" t="s">
        <v>896</v>
      </c>
      <c r="G389" s="124" t="s">
        <v>896</v>
      </c>
      <c r="H389" s="124" t="s">
        <v>896</v>
      </c>
      <c r="I389" s="125">
        <f>I390</f>
        <v>407.9</v>
      </c>
      <c r="J389" s="125">
        <f>J390</f>
        <v>352.3</v>
      </c>
      <c r="K389" s="125">
        <f>K390</f>
        <v>352.3</v>
      </c>
      <c r="L389" s="126">
        <f>L390</f>
        <v>21</v>
      </c>
      <c r="M389" s="124" t="s">
        <v>896</v>
      </c>
      <c r="N389" s="124" t="s">
        <v>896</v>
      </c>
      <c r="O389" s="127" t="s">
        <v>896</v>
      </c>
      <c r="P389" s="128">
        <v>43566.44</v>
      </c>
      <c r="Q389" s="128">
        <f>Q390</f>
        <v>0</v>
      </c>
      <c r="R389" s="128">
        <f>R390</f>
        <v>0</v>
      </c>
      <c r="S389" s="128">
        <f>S390</f>
        <v>43566.44</v>
      </c>
      <c r="T389" s="128">
        <f t="shared" si="52"/>
        <v>106.80666830105419</v>
      </c>
      <c r="U389" s="128">
        <f>MAX(U390)</f>
        <v>106.80666830105419</v>
      </c>
      <c r="V389" s="257">
        <f t="shared" si="54"/>
        <v>0</v>
      </c>
      <c r="W389" s="257"/>
      <c r="X389" s="257"/>
      <c r="Y389" s="258"/>
      <c r="Z389" s="258"/>
      <c r="AA389" s="258"/>
      <c r="AB389" s="258"/>
      <c r="AC389" s="258"/>
      <c r="AD389" s="258"/>
      <c r="AE389" s="258"/>
      <c r="AF389" s="258"/>
      <c r="AG389" s="258"/>
      <c r="AH389" s="258"/>
      <c r="AI389" s="258"/>
      <c r="AJ389" s="258"/>
      <c r="AK389" s="258"/>
      <c r="AL389" s="258"/>
      <c r="AM389" s="258"/>
      <c r="AN389" s="258"/>
      <c r="AO389" s="258"/>
    </row>
    <row r="390" spans="1:41" s="259" customFormat="1" ht="36" customHeight="1" x14ac:dyDescent="0.25">
      <c r="A390" s="259">
        <v>1</v>
      </c>
      <c r="B390" s="135">
        <f>SUBTOTAL(103,$A$16:A390)</f>
        <v>347</v>
      </c>
      <c r="C390" s="94" t="s">
        <v>168</v>
      </c>
      <c r="D390" s="124">
        <v>1954</v>
      </c>
      <c r="E390" s="124"/>
      <c r="F390" s="129" t="s">
        <v>269</v>
      </c>
      <c r="G390" s="124">
        <v>2</v>
      </c>
      <c r="H390" s="124" t="s">
        <v>306</v>
      </c>
      <c r="I390" s="128">
        <v>407.9</v>
      </c>
      <c r="J390" s="128">
        <v>352.3</v>
      </c>
      <c r="K390" s="128">
        <v>352.3</v>
      </c>
      <c r="L390" s="126">
        <v>21</v>
      </c>
      <c r="M390" s="124" t="s">
        <v>267</v>
      </c>
      <c r="N390" s="124" t="s">
        <v>268</v>
      </c>
      <c r="O390" s="127" t="s">
        <v>270</v>
      </c>
      <c r="P390" s="128">
        <v>43566.44</v>
      </c>
      <c r="Q390" s="128">
        <v>0</v>
      </c>
      <c r="R390" s="128">
        <v>0</v>
      </c>
      <c r="S390" s="128">
        <f>P390-Q390-R390</f>
        <v>43566.44</v>
      </c>
      <c r="T390" s="128">
        <f t="shared" si="52"/>
        <v>106.80666830105419</v>
      </c>
      <c r="U390" s="128">
        <v>106.80666830105419</v>
      </c>
      <c r="V390" s="257">
        <f>U390-T390</f>
        <v>0</v>
      </c>
      <c r="W390" s="257">
        <f>X390+Y390+Z390+AA390+AB390+AD390+AF390+AH390+AJ390+AL390+AN390+AO390</f>
        <v>5141.3268139249822</v>
      </c>
      <c r="X390" s="257">
        <v>0</v>
      </c>
      <c r="Y390" s="258">
        <v>0</v>
      </c>
      <c r="Z390" s="258">
        <v>0</v>
      </c>
      <c r="AA390" s="258">
        <v>0</v>
      </c>
      <c r="AB390" s="258">
        <v>0</v>
      </c>
      <c r="AC390" s="258">
        <v>0</v>
      </c>
      <c r="AD390" s="258">
        <v>0</v>
      </c>
      <c r="AE390" s="258">
        <v>336.14</v>
      </c>
      <c r="AF390" s="257">
        <f>6238.91*AE390/I390</f>
        <v>5141.3268139249822</v>
      </c>
      <c r="AG390" s="258">
        <v>0</v>
      </c>
      <c r="AH390" s="257">
        <v>0</v>
      </c>
      <c r="AI390" s="258">
        <v>0</v>
      </c>
      <c r="AJ390" s="257">
        <v>0</v>
      </c>
      <c r="AK390" s="258">
        <v>0</v>
      </c>
      <c r="AL390" s="258">
        <v>0</v>
      </c>
      <c r="AM390" s="258">
        <v>0</v>
      </c>
      <c r="AN390" s="258"/>
      <c r="AO390" s="258">
        <v>0</v>
      </c>
    </row>
    <row r="391" spans="1:41" s="259" customFormat="1" ht="36" customHeight="1" x14ac:dyDescent="0.25">
      <c r="B391" s="94" t="s">
        <v>842</v>
      </c>
      <c r="C391" s="94"/>
      <c r="D391" s="124" t="s">
        <v>896</v>
      </c>
      <c r="E391" s="124" t="s">
        <v>896</v>
      </c>
      <c r="F391" s="124" t="s">
        <v>896</v>
      </c>
      <c r="G391" s="124" t="s">
        <v>896</v>
      </c>
      <c r="H391" s="124" t="s">
        <v>896</v>
      </c>
      <c r="I391" s="125">
        <f>SUM(I392:I395)</f>
        <v>2253.2999999999997</v>
      </c>
      <c r="J391" s="125">
        <f>SUM(J392:J395)</f>
        <v>1874.1</v>
      </c>
      <c r="K391" s="125">
        <f>SUM(K392:K395)</f>
        <v>1874.1</v>
      </c>
      <c r="L391" s="126">
        <f>SUM(L392:L395)</f>
        <v>108</v>
      </c>
      <c r="M391" s="124" t="s">
        <v>896</v>
      </c>
      <c r="N391" s="124" t="s">
        <v>896</v>
      </c>
      <c r="O391" s="127" t="s">
        <v>896</v>
      </c>
      <c r="P391" s="125">
        <v>4166442.5</v>
      </c>
      <c r="Q391" s="125">
        <f>SUM(Q392:Q395)</f>
        <v>0</v>
      </c>
      <c r="R391" s="125">
        <f>SUM(R392:R395)</f>
        <v>0</v>
      </c>
      <c r="S391" s="125">
        <f>SUM(S392:S395)</f>
        <v>4166442.5</v>
      </c>
      <c r="T391" s="128">
        <f t="shared" si="52"/>
        <v>1849.0402964540897</v>
      </c>
      <c r="U391" s="128">
        <f>MAX(U392:U395)</f>
        <v>6169.8696682464451</v>
      </c>
      <c r="V391" s="257">
        <f t="shared" si="54"/>
        <v>4320.8293717923552</v>
      </c>
      <c r="W391" s="257"/>
      <c r="X391" s="257"/>
      <c r="Y391" s="258"/>
      <c r="Z391" s="258"/>
      <c r="AA391" s="258"/>
      <c r="AB391" s="258"/>
      <c r="AC391" s="258"/>
      <c r="AD391" s="258"/>
      <c r="AE391" s="258"/>
      <c r="AF391" s="258"/>
      <c r="AG391" s="258"/>
      <c r="AH391" s="258"/>
      <c r="AI391" s="258"/>
      <c r="AJ391" s="258"/>
      <c r="AK391" s="258"/>
      <c r="AL391" s="258"/>
      <c r="AM391" s="258"/>
      <c r="AN391" s="258"/>
      <c r="AO391" s="258"/>
    </row>
    <row r="392" spans="1:41" s="259" customFormat="1" ht="36" customHeight="1" x14ac:dyDescent="0.25">
      <c r="A392" s="259">
        <v>1</v>
      </c>
      <c r="B392" s="135">
        <f>SUBTOTAL(103,$A$16:A392)</f>
        <v>348</v>
      </c>
      <c r="C392" s="94" t="s">
        <v>182</v>
      </c>
      <c r="D392" s="124">
        <v>1955</v>
      </c>
      <c r="E392" s="124"/>
      <c r="F392" s="129" t="s">
        <v>269</v>
      </c>
      <c r="G392" s="124">
        <v>2</v>
      </c>
      <c r="H392" s="124" t="s">
        <v>306</v>
      </c>
      <c r="I392" s="128">
        <v>545.6</v>
      </c>
      <c r="J392" s="128">
        <v>501.6</v>
      </c>
      <c r="K392" s="128">
        <v>501.6</v>
      </c>
      <c r="L392" s="126">
        <v>27</v>
      </c>
      <c r="M392" s="124" t="s">
        <v>267</v>
      </c>
      <c r="N392" s="124" t="s">
        <v>268</v>
      </c>
      <c r="O392" s="127" t="s">
        <v>270</v>
      </c>
      <c r="P392" s="128">
        <v>71741.72</v>
      </c>
      <c r="Q392" s="128">
        <v>0</v>
      </c>
      <c r="R392" s="128">
        <v>0</v>
      </c>
      <c r="S392" s="128">
        <f>P392-Q392-R392</f>
        <v>71741.72</v>
      </c>
      <c r="T392" s="128">
        <f t="shared" si="52"/>
        <v>131.49142228739004</v>
      </c>
      <c r="U392" s="128">
        <v>131.49142228739004</v>
      </c>
      <c r="V392" s="257">
        <f t="shared" si="54"/>
        <v>0</v>
      </c>
      <c r="W392" s="257">
        <f t="shared" ref="W392:W394" si="71">X392+Y392+Z392+AA392+AB392+AD392+AF392+AH392+AJ392+AL392+AN392+AO392</f>
        <v>5497.5167155425215</v>
      </c>
      <c r="X392" s="257">
        <v>0</v>
      </c>
      <c r="Y392" s="258">
        <v>0</v>
      </c>
      <c r="Z392" s="258">
        <v>0</v>
      </c>
      <c r="AA392" s="258">
        <v>0</v>
      </c>
      <c r="AB392" s="258">
        <v>0</v>
      </c>
      <c r="AC392" s="258">
        <v>0</v>
      </c>
      <c r="AD392" s="258">
        <v>0</v>
      </c>
      <c r="AE392" s="258">
        <v>0</v>
      </c>
      <c r="AF392" s="257">
        <v>0</v>
      </c>
      <c r="AG392" s="258">
        <v>0</v>
      </c>
      <c r="AH392" s="257">
        <v>0</v>
      </c>
      <c r="AI392" s="258">
        <v>403.2</v>
      </c>
      <c r="AJ392" s="257">
        <f>7439.1*AI392/I392</f>
        <v>5497.5167155425215</v>
      </c>
      <c r="AK392" s="258">
        <v>0</v>
      </c>
      <c r="AL392" s="258">
        <v>0</v>
      </c>
      <c r="AM392" s="258">
        <v>0</v>
      </c>
      <c r="AN392" s="258"/>
      <c r="AO392" s="258">
        <v>0</v>
      </c>
    </row>
    <row r="393" spans="1:41" s="259" customFormat="1" ht="36" customHeight="1" x14ac:dyDescent="0.25">
      <c r="A393" s="259">
        <v>1</v>
      </c>
      <c r="B393" s="135">
        <f>SUBTOTAL(103,$A$16:A393)</f>
        <v>349</v>
      </c>
      <c r="C393" s="94" t="s">
        <v>1234</v>
      </c>
      <c r="D393" s="124">
        <v>1965</v>
      </c>
      <c r="E393" s="124"/>
      <c r="F393" s="129" t="s">
        <v>269</v>
      </c>
      <c r="G393" s="124">
        <v>2</v>
      </c>
      <c r="H393" s="124" t="s">
        <v>305</v>
      </c>
      <c r="I393" s="128">
        <v>527.5</v>
      </c>
      <c r="J393" s="128">
        <v>390.5</v>
      </c>
      <c r="K393" s="128">
        <v>390.5</v>
      </c>
      <c r="L393" s="126">
        <v>21</v>
      </c>
      <c r="M393" s="124" t="s">
        <v>267</v>
      </c>
      <c r="N393" s="124" t="s">
        <v>271</v>
      </c>
      <c r="O393" s="127" t="s">
        <v>1338</v>
      </c>
      <c r="P393" s="128">
        <v>1831950.75</v>
      </c>
      <c r="Q393" s="128">
        <v>0</v>
      </c>
      <c r="R393" s="128">
        <v>0</v>
      </c>
      <c r="S393" s="128">
        <f>P393-Q393-R393</f>
        <v>1831950.75</v>
      </c>
      <c r="T393" s="128">
        <f t="shared" si="52"/>
        <v>3472.8924170616115</v>
      </c>
      <c r="U393" s="128">
        <v>6169.8696682464451</v>
      </c>
      <c r="V393" s="257">
        <f t="shared" si="54"/>
        <v>2696.9772511848337</v>
      </c>
      <c r="W393" s="257">
        <f t="shared" si="71"/>
        <v>6169.8696682464451</v>
      </c>
      <c r="X393" s="257">
        <v>0</v>
      </c>
      <c r="Y393" s="258">
        <v>0</v>
      </c>
      <c r="Z393" s="258">
        <v>0</v>
      </c>
      <c r="AA393" s="258">
        <v>0</v>
      </c>
      <c r="AB393" s="258">
        <v>0</v>
      </c>
      <c r="AC393" s="258">
        <v>0</v>
      </c>
      <c r="AD393" s="258">
        <v>0</v>
      </c>
      <c r="AE393" s="258">
        <v>0</v>
      </c>
      <c r="AF393" s="257">
        <v>0</v>
      </c>
      <c r="AG393" s="258">
        <v>0</v>
      </c>
      <c r="AH393" s="257">
        <v>0</v>
      </c>
      <c r="AI393" s="258">
        <v>437.5</v>
      </c>
      <c r="AJ393" s="257">
        <f>7439.1*AI393/I393</f>
        <v>6169.8696682464451</v>
      </c>
      <c r="AK393" s="258">
        <v>0</v>
      </c>
      <c r="AL393" s="258">
        <v>0</v>
      </c>
      <c r="AM393" s="258">
        <v>0</v>
      </c>
      <c r="AN393" s="258"/>
      <c r="AO393" s="258">
        <v>0</v>
      </c>
    </row>
    <row r="394" spans="1:41" s="259" customFormat="1" ht="36" customHeight="1" x14ac:dyDescent="0.25">
      <c r="A394" s="259">
        <v>1</v>
      </c>
      <c r="B394" s="135">
        <f>SUBTOTAL(103,$A$16:A394)</f>
        <v>350</v>
      </c>
      <c r="C394" s="94" t="s">
        <v>1235</v>
      </c>
      <c r="D394" s="124">
        <v>1963</v>
      </c>
      <c r="E394" s="124"/>
      <c r="F394" s="129" t="s">
        <v>269</v>
      </c>
      <c r="G394" s="124">
        <v>2</v>
      </c>
      <c r="H394" s="124" t="s">
        <v>305</v>
      </c>
      <c r="I394" s="128">
        <v>663.1</v>
      </c>
      <c r="J394" s="128">
        <v>609.9</v>
      </c>
      <c r="K394" s="128">
        <v>609.9</v>
      </c>
      <c r="L394" s="126">
        <v>42</v>
      </c>
      <c r="M394" s="124" t="s">
        <v>267</v>
      </c>
      <c r="N394" s="124" t="s">
        <v>271</v>
      </c>
      <c r="O394" s="127" t="s">
        <v>1338</v>
      </c>
      <c r="P394" s="128">
        <v>2207932.36</v>
      </c>
      <c r="Q394" s="128">
        <v>0</v>
      </c>
      <c r="R394" s="128">
        <v>0</v>
      </c>
      <c r="S394" s="128">
        <f>P394-Q394-R394</f>
        <v>2207932.36</v>
      </c>
      <c r="T394" s="128">
        <f t="shared" si="52"/>
        <v>3329.7125018850847</v>
      </c>
      <c r="U394" s="128">
        <v>5123.1408617101479</v>
      </c>
      <c r="V394" s="257">
        <f t="shared" si="54"/>
        <v>1793.4283598250631</v>
      </c>
      <c r="W394" s="257">
        <f t="shared" si="71"/>
        <v>5105.7259849193179</v>
      </c>
      <c r="X394" s="257">
        <v>0</v>
      </c>
      <c r="Y394" s="258">
        <v>0</v>
      </c>
      <c r="Z394" s="258">
        <v>0</v>
      </c>
      <c r="AA394" s="258">
        <v>0</v>
      </c>
      <c r="AB394" s="258">
        <v>0</v>
      </c>
      <c r="AC394" s="258">
        <v>0</v>
      </c>
      <c r="AD394" s="258">
        <v>0</v>
      </c>
      <c r="AE394" s="258">
        <v>542.66</v>
      </c>
      <c r="AF394" s="257">
        <f>6238.91*AE394/I394</f>
        <v>5105.7259849193179</v>
      </c>
      <c r="AG394" s="258">
        <v>0</v>
      </c>
      <c r="AH394" s="257">
        <v>0</v>
      </c>
      <c r="AI394" s="258">
        <v>0</v>
      </c>
      <c r="AJ394" s="257">
        <v>0</v>
      </c>
      <c r="AK394" s="258">
        <v>0</v>
      </c>
      <c r="AL394" s="258">
        <v>0</v>
      </c>
      <c r="AM394" s="258">
        <v>0</v>
      </c>
      <c r="AN394" s="258"/>
      <c r="AO394" s="258">
        <v>0</v>
      </c>
    </row>
    <row r="395" spans="1:41" s="259" customFormat="1" ht="36" customHeight="1" x14ac:dyDescent="0.25">
      <c r="A395" s="259">
        <v>1</v>
      </c>
      <c r="B395" s="135">
        <f>SUBTOTAL(103,$A$16:A395)</f>
        <v>351</v>
      </c>
      <c r="C395" s="94" t="s">
        <v>1582</v>
      </c>
      <c r="D395" s="124">
        <v>1976</v>
      </c>
      <c r="E395" s="124"/>
      <c r="F395" s="129" t="s">
        <v>1585</v>
      </c>
      <c r="G395" s="124">
        <v>2</v>
      </c>
      <c r="H395" s="124" t="s">
        <v>306</v>
      </c>
      <c r="I395" s="128">
        <v>517.1</v>
      </c>
      <c r="J395" s="128">
        <v>372.1</v>
      </c>
      <c r="K395" s="128">
        <v>372.1</v>
      </c>
      <c r="L395" s="126">
        <v>18</v>
      </c>
      <c r="M395" s="124" t="s">
        <v>267</v>
      </c>
      <c r="N395" s="124" t="s">
        <v>268</v>
      </c>
      <c r="O395" s="127" t="s">
        <v>270</v>
      </c>
      <c r="P395" s="128">
        <v>54817.67</v>
      </c>
      <c r="Q395" s="128">
        <v>0</v>
      </c>
      <c r="R395" s="128">
        <v>0</v>
      </c>
      <c r="S395" s="128">
        <f>P395-R395-Q395</f>
        <v>54817.67</v>
      </c>
      <c r="T395" s="128">
        <f t="shared" si="52"/>
        <v>106.00980467994584</v>
      </c>
      <c r="U395" s="128">
        <v>106.00980467994584</v>
      </c>
      <c r="V395" s="257">
        <f t="shared" si="54"/>
        <v>0</v>
      </c>
      <c r="W395" s="257">
        <f>T395</f>
        <v>106.00980467994584</v>
      </c>
      <c r="X395" s="257">
        <v>0</v>
      </c>
      <c r="Y395" s="258">
        <v>0</v>
      </c>
      <c r="Z395" s="258">
        <v>0</v>
      </c>
      <c r="AA395" s="258">
        <v>0</v>
      </c>
      <c r="AB395" s="258">
        <v>0</v>
      </c>
      <c r="AC395" s="258">
        <v>0</v>
      </c>
      <c r="AD395" s="258">
        <v>0</v>
      </c>
      <c r="AE395" s="258">
        <v>0</v>
      </c>
      <c r="AF395" s="257">
        <v>0</v>
      </c>
      <c r="AG395" s="258">
        <v>0</v>
      </c>
      <c r="AH395" s="257">
        <v>0</v>
      </c>
      <c r="AI395" s="258">
        <v>0</v>
      </c>
      <c r="AJ395" s="257">
        <v>0</v>
      </c>
      <c r="AK395" s="258">
        <v>0</v>
      </c>
      <c r="AL395" s="258">
        <v>0</v>
      </c>
      <c r="AM395" s="258">
        <v>211.2</v>
      </c>
      <c r="AN395" s="258">
        <f>6984.52*AM395/I395</f>
        <v>2852.6989441113906</v>
      </c>
      <c r="AO395" s="258">
        <v>0</v>
      </c>
    </row>
    <row r="396" spans="1:41" s="259" customFormat="1" ht="36" customHeight="1" x14ac:dyDescent="0.25">
      <c r="B396" s="94" t="s">
        <v>877</v>
      </c>
      <c r="C396" s="94"/>
      <c r="D396" s="124" t="s">
        <v>896</v>
      </c>
      <c r="E396" s="124" t="s">
        <v>896</v>
      </c>
      <c r="F396" s="124" t="s">
        <v>896</v>
      </c>
      <c r="G396" s="124" t="s">
        <v>896</v>
      </c>
      <c r="H396" s="124" t="s">
        <v>896</v>
      </c>
      <c r="I396" s="125">
        <f>I397</f>
        <v>829.4</v>
      </c>
      <c r="J396" s="125">
        <f>J397</f>
        <v>758.4</v>
      </c>
      <c r="K396" s="125">
        <f>K397</f>
        <v>758.4</v>
      </c>
      <c r="L396" s="126">
        <f>L397</f>
        <v>42</v>
      </c>
      <c r="M396" s="124" t="s">
        <v>896</v>
      </c>
      <c r="N396" s="124" t="s">
        <v>896</v>
      </c>
      <c r="O396" s="127" t="s">
        <v>896</v>
      </c>
      <c r="P396" s="128">
        <v>2786770.47</v>
      </c>
      <c r="Q396" s="128">
        <f>Q397</f>
        <v>0</v>
      </c>
      <c r="R396" s="128">
        <f>R397</f>
        <v>0</v>
      </c>
      <c r="S396" s="128">
        <f>S397</f>
        <v>2786770.47</v>
      </c>
      <c r="T396" s="128">
        <f t="shared" si="52"/>
        <v>3359.9836870026529</v>
      </c>
      <c r="U396" s="128">
        <f>MAX(U397)</f>
        <v>7340.5278888353032</v>
      </c>
      <c r="V396" s="257">
        <f t="shared" si="54"/>
        <v>3980.5442018326503</v>
      </c>
      <c r="W396" s="257"/>
      <c r="X396" s="257"/>
      <c r="Y396" s="258"/>
      <c r="Z396" s="258"/>
      <c r="AA396" s="258"/>
      <c r="AB396" s="258"/>
      <c r="AC396" s="258"/>
      <c r="AD396" s="258"/>
      <c r="AE396" s="258"/>
      <c r="AF396" s="258"/>
      <c r="AG396" s="258"/>
      <c r="AH396" s="258"/>
      <c r="AI396" s="258"/>
      <c r="AJ396" s="258"/>
      <c r="AK396" s="258"/>
      <c r="AL396" s="258"/>
      <c r="AM396" s="258"/>
      <c r="AN396" s="258"/>
      <c r="AO396" s="258"/>
    </row>
    <row r="397" spans="1:41" s="259" customFormat="1" ht="36" customHeight="1" x14ac:dyDescent="0.25">
      <c r="A397" s="259">
        <v>1</v>
      </c>
      <c r="B397" s="135">
        <f>SUBTOTAL(103,$A$16:A397)</f>
        <v>352</v>
      </c>
      <c r="C397" s="94" t="s">
        <v>1237</v>
      </c>
      <c r="D397" s="124">
        <v>1972</v>
      </c>
      <c r="E397" s="124">
        <v>2010</v>
      </c>
      <c r="F397" s="129" t="s">
        <v>269</v>
      </c>
      <c r="G397" s="124">
        <v>2</v>
      </c>
      <c r="H397" s="124" t="s">
        <v>305</v>
      </c>
      <c r="I397" s="128">
        <v>829.4</v>
      </c>
      <c r="J397" s="128">
        <v>758.4</v>
      </c>
      <c r="K397" s="128">
        <v>758.4</v>
      </c>
      <c r="L397" s="126">
        <v>42</v>
      </c>
      <c r="M397" s="124" t="s">
        <v>267</v>
      </c>
      <c r="N397" s="124" t="s">
        <v>271</v>
      </c>
      <c r="O397" s="127" t="s">
        <v>816</v>
      </c>
      <c r="P397" s="128">
        <v>2786770.47</v>
      </c>
      <c r="Q397" s="128">
        <v>0</v>
      </c>
      <c r="R397" s="128">
        <v>0</v>
      </c>
      <c r="S397" s="128">
        <f>P397-Q397-R397</f>
        <v>2786770.47</v>
      </c>
      <c r="T397" s="128">
        <f t="shared" ref="T397:T460" si="72">P397/I397</f>
        <v>3359.9836870026529</v>
      </c>
      <c r="U397" s="128">
        <v>7340.5278888353032</v>
      </c>
      <c r="V397" s="257">
        <f>U397-T397</f>
        <v>3980.5442018326503</v>
      </c>
      <c r="W397" s="257">
        <f>X397+Y397+Z397+AA397+AB397+AD397+AF397+AH397+AJ397+AL397+AN397+AO397</f>
        <v>6301.439710634193</v>
      </c>
      <c r="X397" s="257">
        <v>0</v>
      </c>
      <c r="Y397" s="258">
        <v>0</v>
      </c>
      <c r="Z397" s="258">
        <v>0</v>
      </c>
      <c r="AA397" s="258">
        <v>0</v>
      </c>
      <c r="AB397" s="258">
        <v>0</v>
      </c>
      <c r="AC397" s="258">
        <v>0</v>
      </c>
      <c r="AD397" s="258">
        <v>0</v>
      </c>
      <c r="AE397" s="258">
        <v>0</v>
      </c>
      <c r="AF397" s="257">
        <v>0</v>
      </c>
      <c r="AG397" s="258">
        <v>0</v>
      </c>
      <c r="AH397" s="257">
        <v>0</v>
      </c>
      <c r="AI397" s="258">
        <v>702.56</v>
      </c>
      <c r="AJ397" s="257">
        <f>7439.1*AI397/I397</f>
        <v>6301.439710634193</v>
      </c>
      <c r="AK397" s="258">
        <v>0</v>
      </c>
      <c r="AL397" s="258">
        <v>0</v>
      </c>
      <c r="AM397" s="258">
        <v>0</v>
      </c>
      <c r="AN397" s="258"/>
      <c r="AO397" s="258">
        <v>0</v>
      </c>
    </row>
    <row r="398" spans="1:41" s="259" customFormat="1" ht="36" customHeight="1" x14ac:dyDescent="0.25">
      <c r="B398" s="94" t="s">
        <v>844</v>
      </c>
      <c r="C398" s="261"/>
      <c r="D398" s="124" t="s">
        <v>896</v>
      </c>
      <c r="E398" s="124" t="s">
        <v>896</v>
      </c>
      <c r="F398" s="124" t="s">
        <v>896</v>
      </c>
      <c r="G398" s="124" t="s">
        <v>896</v>
      </c>
      <c r="H398" s="124" t="s">
        <v>896</v>
      </c>
      <c r="I398" s="125">
        <f>SUM(I399:I405)</f>
        <v>10312.24</v>
      </c>
      <c r="J398" s="125">
        <f>SUM(J399:J405)</f>
        <v>9429.44</v>
      </c>
      <c r="K398" s="125">
        <f>SUM(K399:K405)</f>
        <v>8532.14</v>
      </c>
      <c r="L398" s="126">
        <f>SUM(L399:L405)</f>
        <v>425</v>
      </c>
      <c r="M398" s="124" t="s">
        <v>896</v>
      </c>
      <c r="N398" s="124" t="s">
        <v>896</v>
      </c>
      <c r="O398" s="127" t="s">
        <v>896</v>
      </c>
      <c r="P398" s="128">
        <v>8509415.7999999989</v>
      </c>
      <c r="Q398" s="128">
        <f>SUM(Q399:Q405)</f>
        <v>0</v>
      </c>
      <c r="R398" s="128">
        <f>SUM(R399:R405)</f>
        <v>0</v>
      </c>
      <c r="S398" s="128">
        <f>SUM(S399:S405)</f>
        <v>8509415.7999999989</v>
      </c>
      <c r="T398" s="128">
        <f t="shared" si="72"/>
        <v>825.17627595944225</v>
      </c>
      <c r="U398" s="128">
        <f>MAX(U399:U405)</f>
        <v>4615.0256546355267</v>
      </c>
      <c r="V398" s="257">
        <f t="shared" si="54"/>
        <v>3789.8493786760846</v>
      </c>
      <c r="W398" s="257"/>
      <c r="X398" s="257"/>
      <c r="Y398" s="258"/>
      <c r="Z398" s="258"/>
      <c r="AA398" s="258"/>
      <c r="AB398" s="258"/>
      <c r="AC398" s="258"/>
      <c r="AD398" s="258"/>
      <c r="AE398" s="258"/>
      <c r="AF398" s="258"/>
      <c r="AG398" s="258"/>
      <c r="AH398" s="258"/>
      <c r="AI398" s="258"/>
      <c r="AJ398" s="258"/>
      <c r="AK398" s="258"/>
      <c r="AL398" s="258"/>
      <c r="AM398" s="258"/>
      <c r="AN398" s="258"/>
      <c r="AO398" s="258"/>
    </row>
    <row r="399" spans="1:41" s="259" customFormat="1" ht="36" customHeight="1" x14ac:dyDescent="0.25">
      <c r="A399" s="259">
        <v>1</v>
      </c>
      <c r="B399" s="135">
        <f>SUBTOTAL(103,$A$16:A399)</f>
        <v>353</v>
      </c>
      <c r="C399" s="94" t="s">
        <v>75</v>
      </c>
      <c r="D399" s="124">
        <v>1950</v>
      </c>
      <c r="E399" s="124"/>
      <c r="F399" s="129" t="s">
        <v>269</v>
      </c>
      <c r="G399" s="124">
        <v>3</v>
      </c>
      <c r="H399" s="124" t="s">
        <v>305</v>
      </c>
      <c r="I399" s="128">
        <v>847.8</v>
      </c>
      <c r="J399" s="128">
        <v>766.9</v>
      </c>
      <c r="K399" s="128">
        <v>663.2</v>
      </c>
      <c r="L399" s="126">
        <v>20</v>
      </c>
      <c r="M399" s="124" t="s">
        <v>267</v>
      </c>
      <c r="N399" s="124" t="s">
        <v>271</v>
      </c>
      <c r="O399" s="127" t="s">
        <v>278</v>
      </c>
      <c r="P399" s="128">
        <v>2519278.3999999994</v>
      </c>
      <c r="Q399" s="128">
        <v>0</v>
      </c>
      <c r="R399" s="128">
        <v>0</v>
      </c>
      <c r="S399" s="128">
        <f t="shared" ref="S399:S405" si="73">P399-Q399-R399</f>
        <v>2519278.3999999994</v>
      </c>
      <c r="T399" s="128">
        <f t="shared" si="72"/>
        <v>2971.548006605331</v>
      </c>
      <c r="U399" s="128">
        <v>4615.0256546355267</v>
      </c>
      <c r="V399" s="257">
        <f t="shared" ref="V399:V405" si="74">U399-T399</f>
        <v>1643.4776480301957</v>
      </c>
      <c r="W399" s="257">
        <f t="shared" ref="W399:W405" si="75">X399+Y399+Z399+AA399+AB399+AD399+AF399+AH399+AJ399+AL399+AN399+AO399</f>
        <v>4599.33799245105</v>
      </c>
      <c r="X399" s="257">
        <v>0</v>
      </c>
      <c r="Y399" s="258">
        <v>0</v>
      </c>
      <c r="Z399" s="258">
        <v>0</v>
      </c>
      <c r="AA399" s="258">
        <v>0</v>
      </c>
      <c r="AB399" s="258">
        <v>0</v>
      </c>
      <c r="AC399" s="258">
        <v>0</v>
      </c>
      <c r="AD399" s="258">
        <v>0</v>
      </c>
      <c r="AE399" s="258">
        <v>625</v>
      </c>
      <c r="AF399" s="257">
        <f t="shared" ref="AF399:AF405" si="76">6238.91*AE399/I399</f>
        <v>4599.33799245105</v>
      </c>
      <c r="AG399" s="258">
        <v>0</v>
      </c>
      <c r="AH399" s="257">
        <v>0</v>
      </c>
      <c r="AI399" s="258">
        <v>0</v>
      </c>
      <c r="AJ399" s="257">
        <v>0</v>
      </c>
      <c r="AK399" s="258">
        <v>0</v>
      </c>
      <c r="AL399" s="258">
        <v>0</v>
      </c>
      <c r="AM399" s="258">
        <v>0</v>
      </c>
      <c r="AN399" s="258"/>
      <c r="AO399" s="258">
        <v>0</v>
      </c>
    </row>
    <row r="400" spans="1:41" s="259" customFormat="1" ht="36" customHeight="1" x14ac:dyDescent="0.25">
      <c r="A400" s="259">
        <v>1</v>
      </c>
      <c r="B400" s="135">
        <f>SUBTOTAL(103,$A$16:A400)</f>
        <v>354</v>
      </c>
      <c r="C400" s="94" t="s">
        <v>74</v>
      </c>
      <c r="D400" s="124">
        <v>1963</v>
      </c>
      <c r="E400" s="124"/>
      <c r="F400" s="129" t="s">
        <v>269</v>
      </c>
      <c r="G400" s="124">
        <v>4</v>
      </c>
      <c r="H400" s="124" t="s">
        <v>305</v>
      </c>
      <c r="I400" s="128">
        <v>1600.4</v>
      </c>
      <c r="J400" s="128">
        <v>1253</v>
      </c>
      <c r="K400" s="128">
        <v>1210.5999999999999</v>
      </c>
      <c r="L400" s="126">
        <v>54</v>
      </c>
      <c r="M400" s="124" t="s">
        <v>267</v>
      </c>
      <c r="N400" s="124" t="s">
        <v>271</v>
      </c>
      <c r="O400" s="127" t="s">
        <v>279</v>
      </c>
      <c r="P400" s="128">
        <v>2316768.9099999997</v>
      </c>
      <c r="Q400" s="128">
        <v>0</v>
      </c>
      <c r="R400" s="128">
        <v>0</v>
      </c>
      <c r="S400" s="128">
        <f t="shared" si="73"/>
        <v>2316768.9099999997</v>
      </c>
      <c r="T400" s="128">
        <f t="shared" si="72"/>
        <v>1447.6186640839787</v>
      </c>
      <c r="U400" s="128">
        <v>1925.7007854286428</v>
      </c>
      <c r="V400" s="257">
        <f t="shared" si="74"/>
        <v>478.08212134466407</v>
      </c>
      <c r="W400" s="257">
        <f t="shared" si="75"/>
        <v>1964.7654586353412</v>
      </c>
      <c r="X400" s="257">
        <v>0</v>
      </c>
      <c r="Y400" s="258">
        <v>0</v>
      </c>
      <c r="Z400" s="258">
        <v>0</v>
      </c>
      <c r="AA400" s="258">
        <v>0</v>
      </c>
      <c r="AB400" s="258">
        <v>0</v>
      </c>
      <c r="AC400" s="258">
        <v>0</v>
      </c>
      <c r="AD400" s="258">
        <v>0</v>
      </c>
      <c r="AE400" s="258">
        <v>504</v>
      </c>
      <c r="AF400" s="257">
        <f t="shared" si="76"/>
        <v>1964.7654586353412</v>
      </c>
      <c r="AG400" s="258">
        <v>0</v>
      </c>
      <c r="AH400" s="257">
        <v>0</v>
      </c>
      <c r="AI400" s="258">
        <v>0</v>
      </c>
      <c r="AJ400" s="257">
        <v>0</v>
      </c>
      <c r="AK400" s="258">
        <v>0</v>
      </c>
      <c r="AL400" s="258">
        <v>0</v>
      </c>
      <c r="AM400" s="258">
        <v>0</v>
      </c>
      <c r="AN400" s="258"/>
      <c r="AO400" s="258">
        <v>0</v>
      </c>
    </row>
    <row r="401" spans="1:41" s="259" customFormat="1" ht="36" customHeight="1" x14ac:dyDescent="0.25">
      <c r="A401" s="259">
        <v>1</v>
      </c>
      <c r="B401" s="135">
        <f>SUBTOTAL(103,$A$16:A401)</f>
        <v>355</v>
      </c>
      <c r="C401" s="94" t="s">
        <v>76</v>
      </c>
      <c r="D401" s="124">
        <v>1948</v>
      </c>
      <c r="E401" s="124"/>
      <c r="F401" s="129" t="s">
        <v>269</v>
      </c>
      <c r="G401" s="124">
        <v>4</v>
      </c>
      <c r="H401" s="124" t="s">
        <v>314</v>
      </c>
      <c r="I401" s="128">
        <v>1954.5</v>
      </c>
      <c r="J401" s="128">
        <v>1781</v>
      </c>
      <c r="K401" s="128">
        <v>1514.3</v>
      </c>
      <c r="L401" s="126">
        <v>58</v>
      </c>
      <c r="M401" s="124" t="s">
        <v>267</v>
      </c>
      <c r="N401" s="124" t="s">
        <v>271</v>
      </c>
      <c r="O401" s="127" t="s">
        <v>280</v>
      </c>
      <c r="P401" s="128">
        <v>132502.74</v>
      </c>
      <c r="Q401" s="128">
        <v>0</v>
      </c>
      <c r="R401" s="128">
        <v>0</v>
      </c>
      <c r="S401" s="128">
        <f t="shared" si="73"/>
        <v>132502.74</v>
      </c>
      <c r="T401" s="128">
        <f t="shared" si="72"/>
        <v>67.793676132003071</v>
      </c>
      <c r="U401" s="128">
        <v>67.793676132003071</v>
      </c>
      <c r="V401" s="257">
        <f t="shared" ref="V401:V402" si="77">U401-T401</f>
        <v>0</v>
      </c>
      <c r="W401" s="257">
        <f t="shared" ref="W401:W402" si="78">X401+Y401+Z401+AA401+AB401+AD401+AF401+AH401+AJ401+AL401+AN401+AO401</f>
        <v>3045.23926323868</v>
      </c>
      <c r="X401" s="257">
        <v>0</v>
      </c>
      <c r="Y401" s="258">
        <v>0</v>
      </c>
      <c r="Z401" s="258">
        <v>0</v>
      </c>
      <c r="AA401" s="258">
        <v>0</v>
      </c>
      <c r="AB401" s="258">
        <v>0</v>
      </c>
      <c r="AC401" s="258">
        <v>0</v>
      </c>
      <c r="AD401" s="258">
        <v>0</v>
      </c>
      <c r="AE401" s="258">
        <v>954</v>
      </c>
      <c r="AF401" s="257">
        <f t="shared" si="76"/>
        <v>3045.23926323868</v>
      </c>
      <c r="AG401" s="258">
        <v>0</v>
      </c>
      <c r="AH401" s="257">
        <v>0</v>
      </c>
      <c r="AI401" s="258">
        <v>0</v>
      </c>
      <c r="AJ401" s="257">
        <v>0</v>
      </c>
      <c r="AK401" s="258">
        <v>0</v>
      </c>
      <c r="AL401" s="258">
        <v>0</v>
      </c>
      <c r="AM401" s="258">
        <v>0</v>
      </c>
      <c r="AN401" s="258"/>
      <c r="AO401" s="258">
        <v>0</v>
      </c>
    </row>
    <row r="402" spans="1:41" s="259" customFormat="1" ht="36" customHeight="1" x14ac:dyDescent="0.25">
      <c r="A402" s="259">
        <v>1</v>
      </c>
      <c r="B402" s="135">
        <f>SUBTOTAL(103,$A$16:A402)</f>
        <v>356</v>
      </c>
      <c r="C402" s="94" t="s">
        <v>1238</v>
      </c>
      <c r="D402" s="124">
        <v>1974</v>
      </c>
      <c r="E402" s="124"/>
      <c r="F402" s="129" t="s">
        <v>269</v>
      </c>
      <c r="G402" s="124">
        <v>5</v>
      </c>
      <c r="H402" s="124" t="s">
        <v>305</v>
      </c>
      <c r="I402" s="128">
        <v>3906.04</v>
      </c>
      <c r="J402" s="128">
        <v>3790.94</v>
      </c>
      <c r="K402" s="128">
        <v>3406.44</v>
      </c>
      <c r="L402" s="126">
        <v>200</v>
      </c>
      <c r="M402" s="124" t="s">
        <v>267</v>
      </c>
      <c r="N402" s="124" t="s">
        <v>271</v>
      </c>
      <c r="O402" s="127" t="s">
        <v>1337</v>
      </c>
      <c r="P402" s="128">
        <v>3299872.7399999998</v>
      </c>
      <c r="Q402" s="128">
        <v>0</v>
      </c>
      <c r="R402" s="128">
        <v>0</v>
      </c>
      <c r="S402" s="128">
        <f t="shared" si="73"/>
        <v>3299872.7399999998</v>
      </c>
      <c r="T402" s="128">
        <f t="shared" si="72"/>
        <v>844.81283857820188</v>
      </c>
      <c r="U402" s="128">
        <v>1562.9479698108569</v>
      </c>
      <c r="V402" s="257">
        <f t="shared" si="77"/>
        <v>718.135131232655</v>
      </c>
      <c r="W402" s="257">
        <f t="shared" si="78"/>
        <v>1557.6351066553339</v>
      </c>
      <c r="X402" s="257">
        <v>0</v>
      </c>
      <c r="Y402" s="258">
        <v>0</v>
      </c>
      <c r="Z402" s="258">
        <v>0</v>
      </c>
      <c r="AA402" s="258">
        <v>0</v>
      </c>
      <c r="AB402" s="258">
        <v>0</v>
      </c>
      <c r="AC402" s="258">
        <v>0</v>
      </c>
      <c r="AD402" s="258">
        <v>0</v>
      </c>
      <c r="AE402" s="258">
        <v>975.2</v>
      </c>
      <c r="AF402" s="257">
        <f t="shared" si="76"/>
        <v>1557.6351066553339</v>
      </c>
      <c r="AG402" s="258">
        <v>0</v>
      </c>
      <c r="AH402" s="257">
        <v>0</v>
      </c>
      <c r="AI402" s="258">
        <v>0</v>
      </c>
      <c r="AJ402" s="257">
        <v>0</v>
      </c>
      <c r="AK402" s="258">
        <v>0</v>
      </c>
      <c r="AL402" s="258">
        <v>0</v>
      </c>
      <c r="AM402" s="258">
        <v>0</v>
      </c>
      <c r="AN402" s="258"/>
      <c r="AO402" s="258">
        <v>0</v>
      </c>
    </row>
    <row r="403" spans="1:41" s="259" customFormat="1" ht="36" customHeight="1" x14ac:dyDescent="0.25">
      <c r="A403" s="259">
        <v>1</v>
      </c>
      <c r="B403" s="135">
        <f>SUBTOTAL(103,$A$16:A403)</f>
        <v>357</v>
      </c>
      <c r="C403" s="94" t="s">
        <v>79</v>
      </c>
      <c r="D403" s="124">
        <v>1962</v>
      </c>
      <c r="E403" s="124"/>
      <c r="F403" s="129" t="s">
        <v>269</v>
      </c>
      <c r="G403" s="124">
        <v>2</v>
      </c>
      <c r="H403" s="124" t="s">
        <v>305</v>
      </c>
      <c r="I403" s="128">
        <v>355.8</v>
      </c>
      <c r="J403" s="128">
        <v>326.10000000000002</v>
      </c>
      <c r="K403" s="128">
        <v>326.10000000000002</v>
      </c>
      <c r="L403" s="126">
        <v>21</v>
      </c>
      <c r="M403" s="124" t="s">
        <v>267</v>
      </c>
      <c r="N403" s="124" t="s">
        <v>268</v>
      </c>
      <c r="O403" s="127" t="s">
        <v>270</v>
      </c>
      <c r="P403" s="128">
        <v>68786.83</v>
      </c>
      <c r="Q403" s="128">
        <v>0</v>
      </c>
      <c r="R403" s="128">
        <v>0</v>
      </c>
      <c r="S403" s="128">
        <f t="shared" si="73"/>
        <v>68786.83</v>
      </c>
      <c r="T403" s="128">
        <f t="shared" si="72"/>
        <v>193.33004496908376</v>
      </c>
      <c r="U403" s="128">
        <v>193.33004496908376</v>
      </c>
      <c r="V403" s="257">
        <f t="shared" si="74"/>
        <v>0</v>
      </c>
      <c r="W403" s="257">
        <f t="shared" si="75"/>
        <v>16728.274704890388</v>
      </c>
      <c r="X403" s="257">
        <v>0</v>
      </c>
      <c r="Y403" s="258">
        <v>0</v>
      </c>
      <c r="Z403" s="258">
        <v>0</v>
      </c>
      <c r="AA403" s="258">
        <v>0</v>
      </c>
      <c r="AB403" s="258">
        <v>0</v>
      </c>
      <c r="AC403" s="258">
        <v>0</v>
      </c>
      <c r="AD403" s="258">
        <v>0</v>
      </c>
      <c r="AE403" s="258">
        <v>954</v>
      </c>
      <c r="AF403" s="257">
        <f t="shared" si="76"/>
        <v>16728.274704890388</v>
      </c>
      <c r="AG403" s="258">
        <v>0</v>
      </c>
      <c r="AH403" s="257">
        <v>0</v>
      </c>
      <c r="AI403" s="258">
        <v>0</v>
      </c>
      <c r="AJ403" s="257">
        <v>0</v>
      </c>
      <c r="AK403" s="258">
        <v>0</v>
      </c>
      <c r="AL403" s="258">
        <v>0</v>
      </c>
      <c r="AM403" s="258">
        <v>0</v>
      </c>
      <c r="AN403" s="258"/>
      <c r="AO403" s="258">
        <v>0</v>
      </c>
    </row>
    <row r="404" spans="1:41" s="259" customFormat="1" ht="36" customHeight="1" x14ac:dyDescent="0.25">
      <c r="A404" s="259">
        <v>1</v>
      </c>
      <c r="B404" s="135">
        <f>SUBTOTAL(103,$A$16:A404)</f>
        <v>358</v>
      </c>
      <c r="C404" s="94" t="s">
        <v>80</v>
      </c>
      <c r="D404" s="124">
        <v>1964</v>
      </c>
      <c r="E404" s="124"/>
      <c r="F404" s="129" t="s">
        <v>269</v>
      </c>
      <c r="G404" s="124">
        <v>2</v>
      </c>
      <c r="H404" s="124" t="s">
        <v>305</v>
      </c>
      <c r="I404" s="128">
        <v>651.6</v>
      </c>
      <c r="J404" s="128">
        <v>628.9</v>
      </c>
      <c r="K404" s="128">
        <v>628.9</v>
      </c>
      <c r="L404" s="126">
        <v>42</v>
      </c>
      <c r="M404" s="124" t="s">
        <v>267</v>
      </c>
      <c r="N404" s="124" t="s">
        <v>268</v>
      </c>
      <c r="O404" s="127" t="s">
        <v>270</v>
      </c>
      <c r="P404" s="128">
        <v>68786.83</v>
      </c>
      <c r="Q404" s="128">
        <v>0</v>
      </c>
      <c r="R404" s="128">
        <v>0</v>
      </c>
      <c r="S404" s="128">
        <f t="shared" si="73"/>
        <v>68786.83</v>
      </c>
      <c r="T404" s="128">
        <f t="shared" si="72"/>
        <v>105.56603744628606</v>
      </c>
      <c r="U404" s="128">
        <v>105.56603744628606</v>
      </c>
      <c r="V404" s="257">
        <f t="shared" si="74"/>
        <v>0</v>
      </c>
      <c r="W404" s="257">
        <f t="shared" si="75"/>
        <v>9337.3005402087183</v>
      </c>
      <c r="X404" s="257">
        <v>0</v>
      </c>
      <c r="Y404" s="258">
        <v>0</v>
      </c>
      <c r="Z404" s="258">
        <v>0</v>
      </c>
      <c r="AA404" s="258">
        <v>0</v>
      </c>
      <c r="AB404" s="258">
        <v>0</v>
      </c>
      <c r="AC404" s="258">
        <v>0</v>
      </c>
      <c r="AD404" s="258">
        <v>0</v>
      </c>
      <c r="AE404" s="258">
        <v>975.2</v>
      </c>
      <c r="AF404" s="257">
        <f t="shared" si="76"/>
        <v>9337.3005402087183</v>
      </c>
      <c r="AG404" s="258">
        <v>0</v>
      </c>
      <c r="AH404" s="257">
        <v>0</v>
      </c>
      <c r="AI404" s="258">
        <v>0</v>
      </c>
      <c r="AJ404" s="257">
        <v>0</v>
      </c>
      <c r="AK404" s="258">
        <v>0</v>
      </c>
      <c r="AL404" s="258">
        <v>0</v>
      </c>
      <c r="AM404" s="258">
        <v>0</v>
      </c>
      <c r="AN404" s="258"/>
      <c r="AO404" s="258">
        <v>0</v>
      </c>
    </row>
    <row r="405" spans="1:41" s="259" customFormat="1" ht="36" customHeight="1" x14ac:dyDescent="0.25">
      <c r="A405" s="259">
        <v>1</v>
      </c>
      <c r="B405" s="135">
        <f>SUBTOTAL(103,$A$16:A405)</f>
        <v>359</v>
      </c>
      <c r="C405" s="94" t="s">
        <v>1690</v>
      </c>
      <c r="D405" s="124">
        <v>1953</v>
      </c>
      <c r="E405" s="124"/>
      <c r="F405" s="129" t="s">
        <v>269</v>
      </c>
      <c r="G405" s="124">
        <v>2</v>
      </c>
      <c r="H405" s="124" t="s">
        <v>314</v>
      </c>
      <c r="I405" s="128">
        <v>996.1</v>
      </c>
      <c r="J405" s="128">
        <v>882.6</v>
      </c>
      <c r="K405" s="128">
        <v>782.6</v>
      </c>
      <c r="L405" s="126">
        <v>30</v>
      </c>
      <c r="M405" s="124" t="s">
        <v>267</v>
      </c>
      <c r="N405" s="124" t="s">
        <v>268</v>
      </c>
      <c r="O405" s="127" t="s">
        <v>270</v>
      </c>
      <c r="P405" s="128">
        <v>103419.35</v>
      </c>
      <c r="Q405" s="128">
        <v>0</v>
      </c>
      <c r="R405" s="128">
        <v>0</v>
      </c>
      <c r="S405" s="128">
        <f t="shared" si="73"/>
        <v>103419.35</v>
      </c>
      <c r="T405" s="128">
        <f t="shared" si="72"/>
        <v>103.82426463206505</v>
      </c>
      <c r="U405" s="128">
        <v>103.82426463206505</v>
      </c>
      <c r="V405" s="257">
        <f t="shared" si="74"/>
        <v>0</v>
      </c>
      <c r="W405" s="257">
        <f t="shared" si="75"/>
        <v>3758.0022086135928</v>
      </c>
      <c r="X405" s="257">
        <v>0</v>
      </c>
      <c r="Y405" s="258">
        <v>0</v>
      </c>
      <c r="Z405" s="258">
        <v>0</v>
      </c>
      <c r="AA405" s="258">
        <v>0</v>
      </c>
      <c r="AB405" s="258">
        <v>0</v>
      </c>
      <c r="AC405" s="258">
        <v>0</v>
      </c>
      <c r="AD405" s="258">
        <v>0</v>
      </c>
      <c r="AE405" s="258">
        <v>600</v>
      </c>
      <c r="AF405" s="257">
        <f t="shared" si="76"/>
        <v>3758.0022086135928</v>
      </c>
      <c r="AG405" s="258">
        <v>0</v>
      </c>
      <c r="AH405" s="257">
        <v>0</v>
      </c>
      <c r="AI405" s="258">
        <v>0</v>
      </c>
      <c r="AJ405" s="257">
        <v>0</v>
      </c>
      <c r="AK405" s="258">
        <v>0</v>
      </c>
      <c r="AL405" s="258">
        <v>0</v>
      </c>
      <c r="AM405" s="258">
        <v>0</v>
      </c>
      <c r="AN405" s="258"/>
      <c r="AO405" s="258">
        <v>0</v>
      </c>
    </row>
    <row r="406" spans="1:41" s="259" customFormat="1" ht="36" customHeight="1" x14ac:dyDescent="0.25">
      <c r="B406" s="94" t="s">
        <v>845</v>
      </c>
      <c r="C406" s="94"/>
      <c r="D406" s="124" t="s">
        <v>896</v>
      </c>
      <c r="E406" s="124" t="s">
        <v>896</v>
      </c>
      <c r="F406" s="124" t="s">
        <v>896</v>
      </c>
      <c r="G406" s="124" t="s">
        <v>896</v>
      </c>
      <c r="H406" s="124" t="s">
        <v>896</v>
      </c>
      <c r="I406" s="125">
        <f>I407</f>
        <v>613</v>
      </c>
      <c r="J406" s="125">
        <f>J407</f>
        <v>386</v>
      </c>
      <c r="K406" s="125">
        <f>K407</f>
        <v>386</v>
      </c>
      <c r="L406" s="126">
        <f>L407</f>
        <v>32</v>
      </c>
      <c r="M406" s="124" t="s">
        <v>896</v>
      </c>
      <c r="N406" s="124" t="s">
        <v>896</v>
      </c>
      <c r="O406" s="127" t="s">
        <v>896</v>
      </c>
      <c r="P406" s="128">
        <v>2358530.46</v>
      </c>
      <c r="Q406" s="128">
        <f>Q407</f>
        <v>0</v>
      </c>
      <c r="R406" s="128">
        <f>R407</f>
        <v>0</v>
      </c>
      <c r="S406" s="128">
        <f>S407</f>
        <v>2358530.46</v>
      </c>
      <c r="T406" s="128">
        <f t="shared" si="72"/>
        <v>3847.521141924959</v>
      </c>
      <c r="U406" s="128">
        <f>MAX(U407)</f>
        <v>5517.2392292006525</v>
      </c>
      <c r="V406" s="257">
        <f t="shared" ref="V406:V465" si="79">U406-T406</f>
        <v>1669.7180872756935</v>
      </c>
      <c r="W406" s="257"/>
      <c r="X406" s="257"/>
      <c r="Y406" s="258"/>
      <c r="Z406" s="258"/>
      <c r="AA406" s="258"/>
      <c r="AB406" s="258"/>
      <c r="AC406" s="258"/>
      <c r="AD406" s="258"/>
      <c r="AE406" s="258"/>
      <c r="AF406" s="258"/>
      <c r="AG406" s="258"/>
      <c r="AH406" s="258"/>
      <c r="AI406" s="258"/>
      <c r="AJ406" s="258"/>
      <c r="AK406" s="258"/>
      <c r="AL406" s="258"/>
      <c r="AM406" s="258"/>
      <c r="AN406" s="258"/>
      <c r="AO406" s="258"/>
    </row>
    <row r="407" spans="1:41" s="259" customFormat="1" ht="36" customHeight="1" x14ac:dyDescent="0.25">
      <c r="A407" s="259">
        <v>1</v>
      </c>
      <c r="B407" s="135">
        <f>SUBTOTAL(103,$A$16:A407)</f>
        <v>360</v>
      </c>
      <c r="C407" s="94" t="s">
        <v>77</v>
      </c>
      <c r="D407" s="124">
        <v>1966</v>
      </c>
      <c r="E407" s="124"/>
      <c r="F407" s="129" t="s">
        <v>269</v>
      </c>
      <c r="G407" s="124">
        <v>2</v>
      </c>
      <c r="H407" s="124" t="s">
        <v>305</v>
      </c>
      <c r="I407" s="128">
        <v>613</v>
      </c>
      <c r="J407" s="128">
        <v>386</v>
      </c>
      <c r="K407" s="128">
        <v>386</v>
      </c>
      <c r="L407" s="126">
        <v>32</v>
      </c>
      <c r="M407" s="124" t="s">
        <v>267</v>
      </c>
      <c r="N407" s="124" t="s">
        <v>268</v>
      </c>
      <c r="O407" s="127" t="s">
        <v>270</v>
      </c>
      <c r="P407" s="128">
        <v>2358530.46</v>
      </c>
      <c r="Q407" s="128">
        <v>0</v>
      </c>
      <c r="R407" s="128">
        <v>0</v>
      </c>
      <c r="S407" s="128">
        <f>P407-Q407-R407</f>
        <v>2358530.46</v>
      </c>
      <c r="T407" s="128">
        <f t="shared" si="72"/>
        <v>3847.521141924959</v>
      </c>
      <c r="U407" s="128">
        <v>5517.2392292006525</v>
      </c>
      <c r="V407" s="257">
        <f>U407-T407</f>
        <v>1669.7180872756935</v>
      </c>
      <c r="W407" s="257">
        <f>X407+Y407+Z407+AA407+AB407+AD407+AF407+AH407+AJ407+AL407+AN407+AO407</f>
        <v>6086.2449918433931</v>
      </c>
      <c r="X407" s="257">
        <v>0</v>
      </c>
      <c r="Y407" s="258">
        <v>0</v>
      </c>
      <c r="Z407" s="258">
        <v>0</v>
      </c>
      <c r="AA407" s="258">
        <v>0</v>
      </c>
      <c r="AB407" s="258">
        <v>0</v>
      </c>
      <c r="AC407" s="258">
        <v>0</v>
      </c>
      <c r="AD407" s="258">
        <v>0</v>
      </c>
      <c r="AE407" s="258">
        <v>598</v>
      </c>
      <c r="AF407" s="257">
        <f>6238.91*AE407/I407</f>
        <v>6086.2449918433931</v>
      </c>
      <c r="AG407" s="258">
        <v>0</v>
      </c>
      <c r="AH407" s="257">
        <v>0</v>
      </c>
      <c r="AI407" s="258">
        <v>0</v>
      </c>
      <c r="AJ407" s="257">
        <v>0</v>
      </c>
      <c r="AK407" s="258">
        <v>0</v>
      </c>
      <c r="AL407" s="258">
        <v>0</v>
      </c>
      <c r="AM407" s="258">
        <v>0</v>
      </c>
      <c r="AN407" s="258"/>
      <c r="AO407" s="258">
        <v>0</v>
      </c>
    </row>
    <row r="408" spans="1:41" s="259" customFormat="1" ht="36" customHeight="1" x14ac:dyDescent="0.25">
      <c r="B408" s="94" t="s">
        <v>878</v>
      </c>
      <c r="C408" s="94"/>
      <c r="D408" s="124" t="s">
        <v>896</v>
      </c>
      <c r="E408" s="124" t="s">
        <v>896</v>
      </c>
      <c r="F408" s="124" t="s">
        <v>896</v>
      </c>
      <c r="G408" s="124" t="s">
        <v>896</v>
      </c>
      <c r="H408" s="124" t="s">
        <v>896</v>
      </c>
      <c r="I408" s="125">
        <f>SUM(I409:I411)</f>
        <v>866.6</v>
      </c>
      <c r="J408" s="125">
        <f t="shared" ref="J408:L408" si="80">SUM(J409:J411)</f>
        <v>817.90000000000009</v>
      </c>
      <c r="K408" s="125">
        <f t="shared" si="80"/>
        <v>794.40000000000009</v>
      </c>
      <c r="L408" s="126">
        <f t="shared" si="80"/>
        <v>34</v>
      </c>
      <c r="M408" s="124" t="s">
        <v>896</v>
      </c>
      <c r="N408" s="124" t="s">
        <v>896</v>
      </c>
      <c r="O408" s="127" t="s">
        <v>896</v>
      </c>
      <c r="P408" s="128">
        <v>190521.97</v>
      </c>
      <c r="Q408" s="128">
        <f t="shared" ref="Q408:S408" si="81">SUM(Q409:Q411)</f>
        <v>0</v>
      </c>
      <c r="R408" s="128">
        <f t="shared" si="81"/>
        <v>0</v>
      </c>
      <c r="S408" s="128">
        <f t="shared" si="81"/>
        <v>190521.97</v>
      </c>
      <c r="T408" s="128">
        <f t="shared" si="72"/>
        <v>219.84995384260327</v>
      </c>
      <c r="U408" s="128">
        <f>MAX(U409:U411)</f>
        <v>282.35302250803863</v>
      </c>
      <c r="V408" s="257">
        <f t="shared" si="79"/>
        <v>62.503068665435364</v>
      </c>
      <c r="W408" s="257"/>
      <c r="X408" s="257"/>
      <c r="Y408" s="258"/>
      <c r="Z408" s="258"/>
      <c r="AA408" s="258"/>
      <c r="AB408" s="258"/>
      <c r="AC408" s="258"/>
      <c r="AD408" s="258"/>
      <c r="AE408" s="258"/>
      <c r="AF408" s="258"/>
      <c r="AG408" s="258"/>
      <c r="AH408" s="258"/>
      <c r="AI408" s="258"/>
      <c r="AJ408" s="258"/>
      <c r="AK408" s="258"/>
      <c r="AL408" s="258"/>
      <c r="AM408" s="258"/>
      <c r="AN408" s="258"/>
      <c r="AO408" s="258"/>
    </row>
    <row r="409" spans="1:41" s="259" customFormat="1" ht="36" customHeight="1" x14ac:dyDescent="0.25">
      <c r="A409" s="259">
        <v>1</v>
      </c>
      <c r="B409" s="135">
        <f>SUBTOTAL(103,$A$16:A409)</f>
        <v>361</v>
      </c>
      <c r="C409" s="94" t="s">
        <v>1240</v>
      </c>
      <c r="D409" s="124">
        <v>1962</v>
      </c>
      <c r="E409" s="124"/>
      <c r="F409" s="129" t="s">
        <v>269</v>
      </c>
      <c r="G409" s="124">
        <v>2</v>
      </c>
      <c r="H409" s="124" t="s">
        <v>306</v>
      </c>
      <c r="I409" s="128">
        <v>311</v>
      </c>
      <c r="J409" s="128">
        <v>311</v>
      </c>
      <c r="K409" s="128">
        <v>287.5</v>
      </c>
      <c r="L409" s="126">
        <v>10</v>
      </c>
      <c r="M409" s="124" t="s">
        <v>267</v>
      </c>
      <c r="N409" s="124" t="s">
        <v>271</v>
      </c>
      <c r="O409" s="127" t="s">
        <v>1311</v>
      </c>
      <c r="P409" s="128">
        <v>87811.790000000008</v>
      </c>
      <c r="Q409" s="128">
        <v>0</v>
      </c>
      <c r="R409" s="128">
        <v>0</v>
      </c>
      <c r="S409" s="128">
        <f>P409-Q409-R409</f>
        <v>87811.790000000008</v>
      </c>
      <c r="T409" s="128">
        <f t="shared" si="72"/>
        <v>282.35302250803863</v>
      </c>
      <c r="U409" s="128">
        <v>282.35302250803863</v>
      </c>
      <c r="V409" s="257">
        <f>U409-T409</f>
        <v>0</v>
      </c>
      <c r="W409" s="257">
        <f>T409</f>
        <v>282.35302250803863</v>
      </c>
      <c r="X409" s="257">
        <v>0</v>
      </c>
      <c r="Y409" s="258">
        <v>0</v>
      </c>
      <c r="Z409" s="258">
        <v>0</v>
      </c>
      <c r="AA409" s="258">
        <v>184.98</v>
      </c>
      <c r="AB409" s="258">
        <v>0</v>
      </c>
      <c r="AC409" s="258">
        <v>0</v>
      </c>
      <c r="AD409" s="258">
        <v>0</v>
      </c>
      <c r="AE409" s="258">
        <v>0</v>
      </c>
      <c r="AF409" s="257">
        <v>0</v>
      </c>
      <c r="AG409" s="258">
        <v>0</v>
      </c>
      <c r="AH409" s="257">
        <v>0</v>
      </c>
      <c r="AI409" s="258">
        <v>0</v>
      </c>
      <c r="AJ409" s="257">
        <v>0</v>
      </c>
      <c r="AK409" s="258">
        <v>0</v>
      </c>
      <c r="AL409" s="258">
        <v>0</v>
      </c>
      <c r="AM409" s="258">
        <v>0</v>
      </c>
      <c r="AN409" s="258"/>
      <c r="AO409" s="258">
        <v>0</v>
      </c>
    </row>
    <row r="410" spans="1:41" s="259" customFormat="1" ht="36" customHeight="1" x14ac:dyDescent="0.25">
      <c r="A410" s="259">
        <v>1</v>
      </c>
      <c r="B410" s="135">
        <f>SUBTOTAL(103,$A$16:A410)</f>
        <v>362</v>
      </c>
      <c r="C410" s="94" t="s">
        <v>81</v>
      </c>
      <c r="D410" s="124">
        <v>1931</v>
      </c>
      <c r="E410" s="124"/>
      <c r="F410" s="129" t="s">
        <v>269</v>
      </c>
      <c r="G410" s="124">
        <v>2</v>
      </c>
      <c r="H410" s="124" t="s">
        <v>306</v>
      </c>
      <c r="I410" s="128">
        <v>345.1</v>
      </c>
      <c r="J410" s="128">
        <v>319.60000000000002</v>
      </c>
      <c r="K410" s="128">
        <v>319.60000000000002</v>
      </c>
      <c r="L410" s="126">
        <v>9</v>
      </c>
      <c r="M410" s="124" t="s">
        <v>267</v>
      </c>
      <c r="N410" s="124" t="s">
        <v>268</v>
      </c>
      <c r="O410" s="127" t="s">
        <v>270</v>
      </c>
      <c r="P410" s="128">
        <v>56687.56</v>
      </c>
      <c r="Q410" s="128">
        <v>0</v>
      </c>
      <c r="R410" s="128">
        <v>0</v>
      </c>
      <c r="S410" s="128">
        <f>P410-Q410-R410</f>
        <v>56687.56</v>
      </c>
      <c r="T410" s="128">
        <f t="shared" si="72"/>
        <v>164.26415531729933</v>
      </c>
      <c r="U410" s="128">
        <v>164.26415531729933</v>
      </c>
      <c r="V410" s="257">
        <f>U410-T410</f>
        <v>0</v>
      </c>
      <c r="W410" s="257">
        <f>T410</f>
        <v>164.26415531729933</v>
      </c>
      <c r="X410" s="257">
        <v>0</v>
      </c>
      <c r="Y410" s="258">
        <v>0</v>
      </c>
      <c r="Z410" s="258">
        <v>0</v>
      </c>
      <c r="AA410" s="258">
        <v>184.98</v>
      </c>
      <c r="AB410" s="258">
        <v>0</v>
      </c>
      <c r="AC410" s="258">
        <v>0</v>
      </c>
      <c r="AD410" s="258">
        <v>0</v>
      </c>
      <c r="AE410" s="258">
        <v>0</v>
      </c>
      <c r="AF410" s="257">
        <v>0</v>
      </c>
      <c r="AG410" s="258">
        <v>0</v>
      </c>
      <c r="AH410" s="257">
        <v>0</v>
      </c>
      <c r="AI410" s="258">
        <v>0</v>
      </c>
      <c r="AJ410" s="257">
        <v>0</v>
      </c>
      <c r="AK410" s="258">
        <v>0</v>
      </c>
      <c r="AL410" s="258">
        <v>0</v>
      </c>
      <c r="AM410" s="258">
        <v>0</v>
      </c>
      <c r="AN410" s="258"/>
      <c r="AO410" s="258">
        <v>0</v>
      </c>
    </row>
    <row r="411" spans="1:41" s="259" customFormat="1" ht="36" customHeight="1" x14ac:dyDescent="0.25">
      <c r="A411" s="259">
        <v>1</v>
      </c>
      <c r="B411" s="135">
        <f>SUBTOTAL(103,$A$16:A411)</f>
        <v>363</v>
      </c>
      <c r="C411" s="94" t="s">
        <v>82</v>
      </c>
      <c r="D411" s="124">
        <v>1965</v>
      </c>
      <c r="E411" s="124"/>
      <c r="F411" s="129" t="s">
        <v>269</v>
      </c>
      <c r="G411" s="124">
        <v>2</v>
      </c>
      <c r="H411" s="124" t="s">
        <v>306</v>
      </c>
      <c r="I411" s="128">
        <v>210.5</v>
      </c>
      <c r="J411" s="128">
        <v>187.3</v>
      </c>
      <c r="K411" s="128">
        <v>187.3</v>
      </c>
      <c r="L411" s="126">
        <v>15</v>
      </c>
      <c r="M411" s="124" t="s">
        <v>267</v>
      </c>
      <c r="N411" s="124" t="s">
        <v>271</v>
      </c>
      <c r="O411" s="127" t="s">
        <v>281</v>
      </c>
      <c r="P411" s="128">
        <v>46022.62</v>
      </c>
      <c r="Q411" s="128">
        <v>0</v>
      </c>
      <c r="R411" s="128">
        <v>0</v>
      </c>
      <c r="S411" s="128">
        <f>P411-Q411-R411</f>
        <v>46022.62</v>
      </c>
      <c r="T411" s="128">
        <f t="shared" si="72"/>
        <v>218.63477434679336</v>
      </c>
      <c r="U411" s="128">
        <v>218.63477434679336</v>
      </c>
      <c r="V411" s="257">
        <f>U411-T411</f>
        <v>0</v>
      </c>
      <c r="W411" s="257">
        <f>T411</f>
        <v>218.63477434679336</v>
      </c>
      <c r="X411" s="257">
        <v>0</v>
      </c>
      <c r="Y411" s="258">
        <v>0</v>
      </c>
      <c r="Z411" s="258">
        <v>0</v>
      </c>
      <c r="AA411" s="258">
        <v>184.98</v>
      </c>
      <c r="AB411" s="258">
        <v>0</v>
      </c>
      <c r="AC411" s="258">
        <v>0</v>
      </c>
      <c r="AD411" s="258">
        <v>0</v>
      </c>
      <c r="AE411" s="258">
        <v>0</v>
      </c>
      <c r="AF411" s="257">
        <v>0</v>
      </c>
      <c r="AG411" s="258">
        <v>0</v>
      </c>
      <c r="AH411" s="257">
        <v>0</v>
      </c>
      <c r="AI411" s="258">
        <v>0</v>
      </c>
      <c r="AJ411" s="257">
        <v>0</v>
      </c>
      <c r="AK411" s="258">
        <v>0</v>
      </c>
      <c r="AL411" s="258">
        <v>0</v>
      </c>
      <c r="AM411" s="258">
        <v>0</v>
      </c>
      <c r="AN411" s="258"/>
      <c r="AO411" s="258">
        <v>0</v>
      </c>
    </row>
    <row r="412" spans="1:41" s="259" customFormat="1" ht="36" customHeight="1" x14ac:dyDescent="0.25">
      <c r="B412" s="94" t="s">
        <v>846</v>
      </c>
      <c r="C412" s="261"/>
      <c r="D412" s="124" t="s">
        <v>896</v>
      </c>
      <c r="E412" s="124" t="s">
        <v>896</v>
      </c>
      <c r="F412" s="124" t="s">
        <v>896</v>
      </c>
      <c r="G412" s="124" t="s">
        <v>896</v>
      </c>
      <c r="H412" s="124" t="s">
        <v>896</v>
      </c>
      <c r="I412" s="125">
        <f>SUM(I413:I415)</f>
        <v>3663.2799999999997</v>
      </c>
      <c r="J412" s="125">
        <f>SUM(J413:J415)</f>
        <v>2787.65</v>
      </c>
      <c r="K412" s="125">
        <f>SUM(K413:K415)</f>
        <v>2473.65</v>
      </c>
      <c r="L412" s="126">
        <f>SUM(L413:L415)</f>
        <v>115</v>
      </c>
      <c r="M412" s="124" t="s">
        <v>896</v>
      </c>
      <c r="N412" s="124" t="s">
        <v>896</v>
      </c>
      <c r="O412" s="127" t="s">
        <v>896</v>
      </c>
      <c r="P412" s="125">
        <v>8700170.3300000001</v>
      </c>
      <c r="Q412" s="125">
        <f>SUM(Q413:Q415)</f>
        <v>0</v>
      </c>
      <c r="R412" s="125">
        <f>SUM(R413:R415)</f>
        <v>0</v>
      </c>
      <c r="S412" s="125">
        <f>SUM(S413:S415)</f>
        <v>8700170.3300000001</v>
      </c>
      <c r="T412" s="128">
        <f t="shared" si="72"/>
        <v>2374.9673325544322</v>
      </c>
      <c r="U412" s="128">
        <f>MAX(U413:U415)</f>
        <v>5533.5324280342193</v>
      </c>
      <c r="V412" s="257">
        <f t="shared" si="79"/>
        <v>3158.565095479787</v>
      </c>
      <c r="W412" s="257"/>
      <c r="X412" s="257"/>
      <c r="Y412" s="258"/>
      <c r="Z412" s="258"/>
      <c r="AA412" s="258"/>
      <c r="AB412" s="258"/>
      <c r="AC412" s="258"/>
      <c r="AD412" s="258"/>
      <c r="AE412" s="258"/>
      <c r="AF412" s="258"/>
      <c r="AG412" s="258"/>
      <c r="AH412" s="258"/>
      <c r="AI412" s="258"/>
      <c r="AJ412" s="258"/>
      <c r="AK412" s="258"/>
      <c r="AL412" s="258"/>
      <c r="AM412" s="258"/>
      <c r="AN412" s="258"/>
      <c r="AO412" s="258"/>
    </row>
    <row r="413" spans="1:41" s="259" customFormat="1" ht="36" customHeight="1" x14ac:dyDescent="0.25">
      <c r="A413" s="259">
        <v>1</v>
      </c>
      <c r="B413" s="135">
        <f>SUBTOTAL(103,$A$16:A413)</f>
        <v>364</v>
      </c>
      <c r="C413" s="94" t="s">
        <v>107</v>
      </c>
      <c r="D413" s="124">
        <v>1961</v>
      </c>
      <c r="E413" s="124"/>
      <c r="F413" s="129" t="s">
        <v>269</v>
      </c>
      <c r="G413" s="124">
        <v>3</v>
      </c>
      <c r="H413" s="124" t="s">
        <v>305</v>
      </c>
      <c r="I413" s="128">
        <v>1048.3800000000001</v>
      </c>
      <c r="J413" s="128">
        <v>975.35</v>
      </c>
      <c r="K413" s="128">
        <v>975.35</v>
      </c>
      <c r="L413" s="126">
        <v>49</v>
      </c>
      <c r="M413" s="124" t="s">
        <v>267</v>
      </c>
      <c r="N413" s="124" t="s">
        <v>271</v>
      </c>
      <c r="O413" s="127" t="s">
        <v>1087</v>
      </c>
      <c r="P413" s="128">
        <v>1877560.0999999999</v>
      </c>
      <c r="Q413" s="128">
        <v>0</v>
      </c>
      <c r="R413" s="128">
        <v>0</v>
      </c>
      <c r="S413" s="128">
        <f>P413-Q413-R413</f>
        <v>1877560.0999999999</v>
      </c>
      <c r="T413" s="128">
        <f t="shared" si="72"/>
        <v>1790.9156031210055</v>
      </c>
      <c r="U413" s="128">
        <v>3280.213446174097</v>
      </c>
      <c r="V413" s="257">
        <f t="shared" si="79"/>
        <v>1489.2978430530916</v>
      </c>
      <c r="W413" s="257">
        <f t="shared" ref="W413:W414" si="82">X413+Y413+Z413+AA413+AB413+AD413+AF413+AH413+AJ413+AL413+AN413+AO413</f>
        <v>3269.0631548675096</v>
      </c>
      <c r="X413" s="257">
        <v>0</v>
      </c>
      <c r="Y413" s="258">
        <v>0</v>
      </c>
      <c r="Z413" s="258">
        <v>0</v>
      </c>
      <c r="AA413" s="258">
        <v>0</v>
      </c>
      <c r="AB413" s="258">
        <v>0</v>
      </c>
      <c r="AC413" s="258">
        <v>0</v>
      </c>
      <c r="AD413" s="258">
        <v>0</v>
      </c>
      <c r="AE413" s="258">
        <v>549.33000000000004</v>
      </c>
      <c r="AF413" s="257">
        <f>6238.91*AE413/I413</f>
        <v>3269.0631548675096</v>
      </c>
      <c r="AG413" s="258">
        <v>0</v>
      </c>
      <c r="AH413" s="257">
        <v>0</v>
      </c>
      <c r="AI413" s="258">
        <v>0</v>
      </c>
      <c r="AJ413" s="257">
        <v>0</v>
      </c>
      <c r="AK413" s="258">
        <v>0</v>
      </c>
      <c r="AL413" s="258">
        <v>0</v>
      </c>
      <c r="AM413" s="258">
        <v>0</v>
      </c>
      <c r="AN413" s="258"/>
      <c r="AO413" s="258">
        <v>0</v>
      </c>
    </row>
    <row r="414" spans="1:41" s="259" customFormat="1" ht="36" customHeight="1" x14ac:dyDescent="0.25">
      <c r="A414" s="259">
        <v>1</v>
      </c>
      <c r="B414" s="135">
        <f>SUBTOTAL(103,$A$16:A414)</f>
        <v>365</v>
      </c>
      <c r="C414" s="94" t="s">
        <v>109</v>
      </c>
      <c r="D414" s="124">
        <v>1977</v>
      </c>
      <c r="E414" s="124"/>
      <c r="F414" s="129" t="s">
        <v>269</v>
      </c>
      <c r="G414" s="124">
        <v>2</v>
      </c>
      <c r="H414" s="124" t="s">
        <v>314</v>
      </c>
      <c r="I414" s="128">
        <v>1063.7</v>
      </c>
      <c r="J414" s="128">
        <v>938.3</v>
      </c>
      <c r="K414" s="128">
        <v>938.3</v>
      </c>
      <c r="L414" s="126">
        <v>34</v>
      </c>
      <c r="M414" s="124" t="s">
        <v>267</v>
      </c>
      <c r="N414" s="124" t="s">
        <v>268</v>
      </c>
      <c r="O414" s="127" t="s">
        <v>270</v>
      </c>
      <c r="P414" s="128">
        <v>3555061.2899999996</v>
      </c>
      <c r="Q414" s="128">
        <v>0</v>
      </c>
      <c r="R414" s="128">
        <v>0</v>
      </c>
      <c r="S414" s="128">
        <f>P414-Q414-R414</f>
        <v>3555061.2899999996</v>
      </c>
      <c r="T414" s="128">
        <f t="shared" si="72"/>
        <v>3342.1653567735257</v>
      </c>
      <c r="U414" s="128">
        <v>5533.5324280342193</v>
      </c>
      <c r="V414" s="257">
        <f t="shared" si="79"/>
        <v>2191.3670712606936</v>
      </c>
      <c r="W414" s="257">
        <f t="shared" si="82"/>
        <v>5514.7225244899873</v>
      </c>
      <c r="X414" s="257">
        <v>0</v>
      </c>
      <c r="Y414" s="258">
        <v>0</v>
      </c>
      <c r="Z414" s="258">
        <v>0</v>
      </c>
      <c r="AA414" s="258">
        <v>0</v>
      </c>
      <c r="AB414" s="258">
        <v>0</v>
      </c>
      <c r="AC414" s="258">
        <v>0</v>
      </c>
      <c r="AD414" s="258">
        <v>0</v>
      </c>
      <c r="AE414" s="258">
        <v>940.23</v>
      </c>
      <c r="AF414" s="257">
        <f>6238.91*AE414/I414</f>
        <v>5514.7225244899873</v>
      </c>
      <c r="AG414" s="258">
        <v>0</v>
      </c>
      <c r="AH414" s="257">
        <v>0</v>
      </c>
      <c r="AI414" s="258">
        <v>0</v>
      </c>
      <c r="AJ414" s="257">
        <v>0</v>
      </c>
      <c r="AK414" s="258">
        <v>0</v>
      </c>
      <c r="AL414" s="258">
        <v>0</v>
      </c>
      <c r="AM414" s="258">
        <v>0</v>
      </c>
      <c r="AN414" s="258"/>
      <c r="AO414" s="258">
        <v>0</v>
      </c>
    </row>
    <row r="415" spans="1:41" s="259" customFormat="1" ht="36" customHeight="1" x14ac:dyDescent="0.25">
      <c r="A415" s="259">
        <v>1</v>
      </c>
      <c r="B415" s="135">
        <f>SUBTOTAL(103,$A$16:A415)</f>
        <v>366</v>
      </c>
      <c r="C415" s="94" t="s">
        <v>1241</v>
      </c>
      <c r="D415" s="124">
        <v>1934</v>
      </c>
      <c r="E415" s="124"/>
      <c r="F415" s="129" t="s">
        <v>269</v>
      </c>
      <c r="G415" s="124">
        <v>2</v>
      </c>
      <c r="H415" s="124" t="s">
        <v>314</v>
      </c>
      <c r="I415" s="128">
        <v>1551.2</v>
      </c>
      <c r="J415" s="128">
        <v>874</v>
      </c>
      <c r="K415" s="128">
        <v>560</v>
      </c>
      <c r="L415" s="126">
        <v>32</v>
      </c>
      <c r="M415" s="124" t="s">
        <v>267</v>
      </c>
      <c r="N415" s="124" t="s">
        <v>268</v>
      </c>
      <c r="O415" s="127" t="s">
        <v>270</v>
      </c>
      <c r="P415" s="128">
        <v>3267548.94</v>
      </c>
      <c r="Q415" s="128">
        <v>0</v>
      </c>
      <c r="R415" s="128">
        <v>0</v>
      </c>
      <c r="S415" s="128">
        <f>P415-Q415-R415</f>
        <v>3267548.94</v>
      </c>
      <c r="T415" s="128">
        <f t="shared" si="72"/>
        <v>2106.465278494069</v>
      </c>
      <c r="U415" s="128">
        <v>3258.4305092831351</v>
      </c>
      <c r="V415" s="257">
        <f t="shared" si="79"/>
        <v>1151.965230789066</v>
      </c>
      <c r="W415" s="257">
        <f>T415</f>
        <v>2106.465278494069</v>
      </c>
      <c r="X415" s="257">
        <v>0</v>
      </c>
      <c r="Y415" s="258">
        <v>0</v>
      </c>
      <c r="Z415" s="258">
        <v>0</v>
      </c>
      <c r="AA415" s="258">
        <v>0</v>
      </c>
      <c r="AB415" s="258">
        <v>0</v>
      </c>
      <c r="AC415" s="258">
        <v>0</v>
      </c>
      <c r="AD415" s="258">
        <v>0</v>
      </c>
      <c r="AE415" s="258">
        <v>0</v>
      </c>
      <c r="AF415" s="257">
        <v>0</v>
      </c>
      <c r="AG415" s="258">
        <v>0</v>
      </c>
      <c r="AH415" s="257">
        <v>0</v>
      </c>
      <c r="AI415" s="258">
        <v>0</v>
      </c>
      <c r="AJ415" s="257">
        <v>0</v>
      </c>
      <c r="AK415" s="258">
        <v>0</v>
      </c>
      <c r="AL415" s="258">
        <v>0</v>
      </c>
      <c r="AM415" s="258">
        <v>763.84</v>
      </c>
      <c r="AN415" s="258">
        <f>6984.52*AM415/I415</f>
        <v>3439.3087653429607</v>
      </c>
      <c r="AO415" s="258">
        <v>0</v>
      </c>
    </row>
    <row r="416" spans="1:41" s="259" customFormat="1" ht="36" customHeight="1" x14ac:dyDescent="0.25">
      <c r="B416" s="94" t="s">
        <v>847</v>
      </c>
      <c r="C416" s="261"/>
      <c r="D416" s="124" t="s">
        <v>896</v>
      </c>
      <c r="E416" s="124" t="s">
        <v>896</v>
      </c>
      <c r="F416" s="124" t="s">
        <v>896</v>
      </c>
      <c r="G416" s="124" t="s">
        <v>896</v>
      </c>
      <c r="H416" s="124" t="s">
        <v>896</v>
      </c>
      <c r="I416" s="125">
        <f>I417</f>
        <v>2767.4</v>
      </c>
      <c r="J416" s="125">
        <f>J417</f>
        <v>2688.9</v>
      </c>
      <c r="K416" s="125">
        <f>K417</f>
        <v>2688.9</v>
      </c>
      <c r="L416" s="126">
        <f>L417</f>
        <v>31</v>
      </c>
      <c r="M416" s="124" t="s">
        <v>896</v>
      </c>
      <c r="N416" s="124" t="s">
        <v>896</v>
      </c>
      <c r="O416" s="127" t="s">
        <v>896</v>
      </c>
      <c r="P416" s="128">
        <v>4281723.32</v>
      </c>
      <c r="Q416" s="128">
        <f>Q417</f>
        <v>0</v>
      </c>
      <c r="R416" s="128">
        <f>R417</f>
        <v>2908349.77</v>
      </c>
      <c r="S416" s="128">
        <f>S417</f>
        <v>1373373.5500000003</v>
      </c>
      <c r="T416" s="128">
        <f t="shared" si="72"/>
        <v>1547.2007371540074</v>
      </c>
      <c r="U416" s="128">
        <f>MAX(U417)</f>
        <v>2184.6420801112954</v>
      </c>
      <c r="V416" s="257">
        <f t="shared" si="79"/>
        <v>637.44134295728804</v>
      </c>
      <c r="W416" s="257"/>
      <c r="X416" s="257"/>
      <c r="Y416" s="258"/>
      <c r="Z416" s="258"/>
      <c r="AA416" s="258"/>
      <c r="AB416" s="258"/>
      <c r="AC416" s="258"/>
      <c r="AD416" s="258"/>
      <c r="AE416" s="258"/>
      <c r="AF416" s="258"/>
      <c r="AG416" s="258"/>
      <c r="AH416" s="258"/>
      <c r="AI416" s="258"/>
      <c r="AJ416" s="258"/>
      <c r="AK416" s="258"/>
      <c r="AL416" s="258"/>
      <c r="AM416" s="258"/>
      <c r="AN416" s="258"/>
      <c r="AO416" s="258"/>
    </row>
    <row r="417" spans="1:41" s="259" customFormat="1" ht="36" customHeight="1" x14ac:dyDescent="0.25">
      <c r="A417" s="259">
        <v>1</v>
      </c>
      <c r="B417" s="135">
        <f>SUBTOTAL(103,$A$16:A417)</f>
        <v>367</v>
      </c>
      <c r="C417" s="94" t="s">
        <v>40</v>
      </c>
      <c r="D417" s="124">
        <v>1979</v>
      </c>
      <c r="E417" s="124"/>
      <c r="F417" s="129" t="s">
        <v>269</v>
      </c>
      <c r="G417" s="124">
        <v>5</v>
      </c>
      <c r="H417" s="124" t="s">
        <v>310</v>
      </c>
      <c r="I417" s="128">
        <v>2767.4</v>
      </c>
      <c r="J417" s="128">
        <v>2688.9</v>
      </c>
      <c r="K417" s="128">
        <v>2688.9</v>
      </c>
      <c r="L417" s="126">
        <v>31</v>
      </c>
      <c r="M417" s="124" t="s">
        <v>267</v>
      </c>
      <c r="N417" s="124" t="s">
        <v>268</v>
      </c>
      <c r="O417" s="127" t="s">
        <v>270</v>
      </c>
      <c r="P417" s="128">
        <v>4281723.32</v>
      </c>
      <c r="Q417" s="128">
        <v>0</v>
      </c>
      <c r="R417" s="128">
        <v>2908349.77</v>
      </c>
      <c r="S417" s="128">
        <f>P417-R417</f>
        <v>1373373.5500000003</v>
      </c>
      <c r="T417" s="128">
        <f t="shared" si="72"/>
        <v>1547.2007371540074</v>
      </c>
      <c r="U417" s="128">
        <v>2184.6420801112954</v>
      </c>
      <c r="V417" s="257">
        <f>U417-T417</f>
        <v>637.44134295728804</v>
      </c>
      <c r="W417" s="257">
        <f>X417+Y417+Z417+AA417+AB417+AD417+AF417+AH417+AJ417+AL417+AN417+AO417</f>
        <v>2502.4174676591742</v>
      </c>
      <c r="X417" s="257">
        <v>0</v>
      </c>
      <c r="Y417" s="258">
        <v>0</v>
      </c>
      <c r="Z417" s="258">
        <v>0</v>
      </c>
      <c r="AA417" s="258">
        <v>0</v>
      </c>
      <c r="AB417" s="258">
        <v>0</v>
      </c>
      <c r="AC417" s="258">
        <v>0</v>
      </c>
      <c r="AD417" s="258">
        <v>0</v>
      </c>
      <c r="AE417" s="258">
        <v>1110</v>
      </c>
      <c r="AF417" s="257">
        <f>6238.91*AE417/I417</f>
        <v>2502.4174676591742</v>
      </c>
      <c r="AG417" s="258">
        <v>0</v>
      </c>
      <c r="AH417" s="257">
        <v>0</v>
      </c>
      <c r="AI417" s="258">
        <v>0</v>
      </c>
      <c r="AJ417" s="257">
        <v>0</v>
      </c>
      <c r="AK417" s="258">
        <v>0</v>
      </c>
      <c r="AL417" s="258">
        <v>0</v>
      </c>
      <c r="AM417" s="258">
        <v>0</v>
      </c>
      <c r="AN417" s="258"/>
      <c r="AO417" s="258">
        <v>0</v>
      </c>
    </row>
    <row r="418" spans="1:41" s="259" customFormat="1" ht="36" customHeight="1" x14ac:dyDescent="0.25">
      <c r="B418" s="94" t="s">
        <v>848</v>
      </c>
      <c r="C418" s="94"/>
      <c r="D418" s="124" t="s">
        <v>896</v>
      </c>
      <c r="E418" s="124" t="s">
        <v>896</v>
      </c>
      <c r="F418" s="124" t="s">
        <v>896</v>
      </c>
      <c r="G418" s="124" t="s">
        <v>896</v>
      </c>
      <c r="H418" s="124" t="s">
        <v>896</v>
      </c>
      <c r="I418" s="125">
        <f>SUM(I419:I421)</f>
        <v>15666.63</v>
      </c>
      <c r="J418" s="125">
        <f>SUM(J419:J421)</f>
        <v>12577.22</v>
      </c>
      <c r="K418" s="125">
        <f>SUM(K419:K421)</f>
        <v>12577.22</v>
      </c>
      <c r="L418" s="126">
        <f>SUM(L419:L421)</f>
        <v>545</v>
      </c>
      <c r="M418" s="124" t="s">
        <v>896</v>
      </c>
      <c r="N418" s="124" t="s">
        <v>896</v>
      </c>
      <c r="O418" s="127" t="s">
        <v>896</v>
      </c>
      <c r="P418" s="125">
        <v>2517552.7799999993</v>
      </c>
      <c r="Q418" s="125">
        <f>SUM(Q419:Q421)</f>
        <v>0</v>
      </c>
      <c r="R418" s="125">
        <f>SUM(R419:R421)</f>
        <v>0</v>
      </c>
      <c r="S418" s="125">
        <f>SUM(S419:S421)</f>
        <v>2517552.7799999993</v>
      </c>
      <c r="T418" s="128">
        <f t="shared" si="72"/>
        <v>160.69523439310174</v>
      </c>
      <c r="U418" s="128">
        <f>MAX(U419:U421)</f>
        <v>3721.67</v>
      </c>
      <c r="V418" s="257">
        <f t="shared" si="79"/>
        <v>3560.9747656068985</v>
      </c>
      <c r="W418" s="257"/>
      <c r="X418" s="257"/>
      <c r="Y418" s="258"/>
      <c r="Z418" s="258"/>
      <c r="AA418" s="258"/>
      <c r="AB418" s="258"/>
      <c r="AC418" s="258"/>
      <c r="AD418" s="258"/>
      <c r="AE418" s="258"/>
      <c r="AF418" s="258"/>
      <c r="AG418" s="258"/>
      <c r="AH418" s="258"/>
      <c r="AI418" s="258"/>
      <c r="AJ418" s="258"/>
      <c r="AK418" s="258"/>
      <c r="AL418" s="258"/>
      <c r="AM418" s="258"/>
      <c r="AN418" s="258"/>
      <c r="AO418" s="258"/>
    </row>
    <row r="419" spans="1:41" s="259" customFormat="1" ht="36" customHeight="1" x14ac:dyDescent="0.25">
      <c r="A419" s="259">
        <v>1</v>
      </c>
      <c r="B419" s="135">
        <f>SUBTOTAL(103,$A$16:A419)</f>
        <v>368</v>
      </c>
      <c r="C419" s="94" t="s">
        <v>63</v>
      </c>
      <c r="D419" s="124">
        <v>1976</v>
      </c>
      <c r="E419" s="124"/>
      <c r="F419" s="129" t="s">
        <v>269</v>
      </c>
      <c r="G419" s="124">
        <v>5</v>
      </c>
      <c r="H419" s="124" t="s">
        <v>373</v>
      </c>
      <c r="I419" s="128">
        <v>4783.1499999999996</v>
      </c>
      <c r="J419" s="128">
        <v>4417.7</v>
      </c>
      <c r="K419" s="128">
        <v>4417.7</v>
      </c>
      <c r="L419" s="126">
        <v>190</v>
      </c>
      <c r="M419" s="124" t="s">
        <v>267</v>
      </c>
      <c r="N419" s="124" t="s">
        <v>271</v>
      </c>
      <c r="O419" s="127" t="s">
        <v>272</v>
      </c>
      <c r="P419" s="128">
        <v>158769.03</v>
      </c>
      <c r="Q419" s="128">
        <v>0</v>
      </c>
      <c r="R419" s="128">
        <v>0</v>
      </c>
      <c r="S419" s="128">
        <f>P419-Q419-R419</f>
        <v>158769.03</v>
      </c>
      <c r="T419" s="128">
        <f t="shared" si="72"/>
        <v>33.193403928373563</v>
      </c>
      <c r="U419" s="128">
        <v>33.193403928373563</v>
      </c>
      <c r="V419" s="257">
        <f t="shared" si="79"/>
        <v>0</v>
      </c>
      <c r="W419" s="257">
        <f t="shared" ref="W419:W421" si="83">X419+Y419+Z419+AA419+AB419+AD419+AF419+AH419+AJ419+AL419+AN419+AO419</f>
        <v>1852.1794633243783</v>
      </c>
      <c r="X419" s="257">
        <v>0</v>
      </c>
      <c r="Y419" s="258">
        <v>0</v>
      </c>
      <c r="Z419" s="258">
        <v>0</v>
      </c>
      <c r="AA419" s="258">
        <v>0</v>
      </c>
      <c r="AB419" s="258">
        <v>0</v>
      </c>
      <c r="AC419" s="258">
        <v>0</v>
      </c>
      <c r="AD419" s="258">
        <v>0</v>
      </c>
      <c r="AE419" s="258">
        <v>1420</v>
      </c>
      <c r="AF419" s="257">
        <f>6238.91*AE419/I419</f>
        <v>1852.1794633243783</v>
      </c>
      <c r="AG419" s="258">
        <v>0</v>
      </c>
      <c r="AH419" s="257">
        <v>0</v>
      </c>
      <c r="AI419" s="258">
        <v>0</v>
      </c>
      <c r="AJ419" s="257">
        <v>0</v>
      </c>
      <c r="AK419" s="258">
        <v>0</v>
      </c>
      <c r="AL419" s="258">
        <v>0</v>
      </c>
      <c r="AM419" s="258">
        <v>0</v>
      </c>
      <c r="AN419" s="258"/>
      <c r="AO419" s="258">
        <v>0</v>
      </c>
    </row>
    <row r="420" spans="1:41" s="259" customFormat="1" ht="36" customHeight="1" x14ac:dyDescent="0.25">
      <c r="A420" s="259">
        <v>1</v>
      </c>
      <c r="B420" s="135">
        <f>SUBTOTAL(103,$A$16:A420)</f>
        <v>369</v>
      </c>
      <c r="C420" s="94" t="s">
        <v>1256</v>
      </c>
      <c r="D420" s="124">
        <v>1969</v>
      </c>
      <c r="E420" s="124"/>
      <c r="F420" s="129" t="s">
        <v>269</v>
      </c>
      <c r="G420" s="124">
        <v>5</v>
      </c>
      <c r="H420" s="124" t="s">
        <v>305</v>
      </c>
      <c r="I420" s="128">
        <v>3712.73</v>
      </c>
      <c r="J420" s="128">
        <v>3066.62</v>
      </c>
      <c r="K420" s="128">
        <v>3066.62</v>
      </c>
      <c r="L420" s="126">
        <v>137</v>
      </c>
      <c r="M420" s="124" t="s">
        <v>267</v>
      </c>
      <c r="N420" s="124" t="s">
        <v>271</v>
      </c>
      <c r="O420" s="127" t="s">
        <v>1307</v>
      </c>
      <c r="P420" s="128">
        <v>2234561.9299999997</v>
      </c>
      <c r="Q420" s="128">
        <v>0</v>
      </c>
      <c r="R420" s="128">
        <v>0</v>
      </c>
      <c r="S420" s="128">
        <f>P420-Q420-R420</f>
        <v>2234561.9299999997</v>
      </c>
      <c r="T420" s="128">
        <f t="shared" si="72"/>
        <v>601.86491611294105</v>
      </c>
      <c r="U420" s="128">
        <v>3721.67</v>
      </c>
      <c r="V420" s="257">
        <f t="shared" si="79"/>
        <v>3119.805083887059</v>
      </c>
      <c r="W420" s="257">
        <f t="shared" si="83"/>
        <v>3791.6299999999997</v>
      </c>
      <c r="X420" s="257">
        <v>101.55</v>
      </c>
      <c r="Y420" s="258">
        <v>245.44</v>
      </c>
      <c r="Z420" s="258">
        <v>3259.66</v>
      </c>
      <c r="AA420" s="258">
        <v>184.98</v>
      </c>
      <c r="AB420" s="258">
        <v>0</v>
      </c>
      <c r="AC420" s="258">
        <v>0</v>
      </c>
      <c r="AD420" s="258">
        <v>0</v>
      </c>
      <c r="AE420" s="258">
        <v>0</v>
      </c>
      <c r="AF420" s="257">
        <v>0</v>
      </c>
      <c r="AG420" s="258">
        <v>0</v>
      </c>
      <c r="AH420" s="257">
        <v>0</v>
      </c>
      <c r="AI420" s="258">
        <v>0</v>
      </c>
      <c r="AJ420" s="257">
        <v>0</v>
      </c>
      <c r="AK420" s="258">
        <v>0</v>
      </c>
      <c r="AL420" s="258">
        <v>0</v>
      </c>
      <c r="AM420" s="258">
        <v>0</v>
      </c>
      <c r="AN420" s="258"/>
      <c r="AO420" s="258">
        <v>0</v>
      </c>
    </row>
    <row r="421" spans="1:41" s="259" customFormat="1" ht="36" customHeight="1" x14ac:dyDescent="0.25">
      <c r="A421" s="259">
        <v>1</v>
      </c>
      <c r="B421" s="135">
        <f>SUBTOTAL(103,$A$16:A421)</f>
        <v>370</v>
      </c>
      <c r="C421" s="94" t="s">
        <v>52</v>
      </c>
      <c r="D421" s="124">
        <v>1981</v>
      </c>
      <c r="E421" s="124"/>
      <c r="F421" s="129" t="s">
        <v>269</v>
      </c>
      <c r="G421" s="124">
        <v>5</v>
      </c>
      <c r="H421" s="124" t="s">
        <v>2293</v>
      </c>
      <c r="I421" s="128">
        <v>7170.75</v>
      </c>
      <c r="J421" s="128">
        <v>5092.8999999999996</v>
      </c>
      <c r="K421" s="128">
        <v>5092.8999999999996</v>
      </c>
      <c r="L421" s="126">
        <v>218</v>
      </c>
      <c r="M421" s="124" t="s">
        <v>267</v>
      </c>
      <c r="N421" s="124" t="s">
        <v>271</v>
      </c>
      <c r="O421" s="127" t="s">
        <v>272</v>
      </c>
      <c r="P421" s="128">
        <v>124221.82</v>
      </c>
      <c r="Q421" s="128">
        <v>0</v>
      </c>
      <c r="R421" s="128">
        <v>0</v>
      </c>
      <c r="S421" s="128">
        <f>P421-R421-Q421</f>
        <v>124221.82</v>
      </c>
      <c r="T421" s="128">
        <f t="shared" si="72"/>
        <v>17.323406896070843</v>
      </c>
      <c r="U421" s="128">
        <v>17.323406896070843</v>
      </c>
      <c r="V421" s="257">
        <f t="shared" si="79"/>
        <v>0</v>
      </c>
      <c r="W421" s="257">
        <f t="shared" si="83"/>
        <v>1184.137853083708</v>
      </c>
      <c r="X421" s="257">
        <v>0</v>
      </c>
      <c r="Y421" s="258">
        <v>0</v>
      </c>
      <c r="Z421" s="258">
        <v>0</v>
      </c>
      <c r="AA421" s="258">
        <v>0</v>
      </c>
      <c r="AB421" s="258">
        <v>0</v>
      </c>
      <c r="AC421" s="258">
        <v>0</v>
      </c>
      <c r="AD421" s="258">
        <v>0</v>
      </c>
      <c r="AE421" s="258">
        <v>1361</v>
      </c>
      <c r="AF421" s="257">
        <f>6238.91*AE421/I421</f>
        <v>1184.137853083708</v>
      </c>
      <c r="AG421" s="258">
        <v>0</v>
      </c>
      <c r="AH421" s="257">
        <v>0</v>
      </c>
      <c r="AI421" s="258">
        <v>0</v>
      </c>
      <c r="AJ421" s="257">
        <v>0</v>
      </c>
      <c r="AK421" s="258">
        <v>0</v>
      </c>
      <c r="AL421" s="258">
        <v>0</v>
      </c>
      <c r="AM421" s="258">
        <v>0</v>
      </c>
      <c r="AN421" s="258"/>
      <c r="AO421" s="258">
        <v>0</v>
      </c>
    </row>
    <row r="422" spans="1:41" s="259" customFormat="1" ht="36" customHeight="1" x14ac:dyDescent="0.25">
      <c r="B422" s="94" t="s">
        <v>849</v>
      </c>
      <c r="C422" s="94"/>
      <c r="D422" s="124" t="s">
        <v>896</v>
      </c>
      <c r="E422" s="124" t="s">
        <v>896</v>
      </c>
      <c r="F422" s="124" t="s">
        <v>896</v>
      </c>
      <c r="G422" s="124" t="s">
        <v>896</v>
      </c>
      <c r="H422" s="124" t="s">
        <v>896</v>
      </c>
      <c r="I422" s="125">
        <f>SUM(I423:I428)</f>
        <v>14224.350000000002</v>
      </c>
      <c r="J422" s="125">
        <f>SUM(J423:J428)</f>
        <v>11894.25</v>
      </c>
      <c r="K422" s="125">
        <f>SUM(K423:K428)</f>
        <v>11435.45</v>
      </c>
      <c r="L422" s="126">
        <f>SUM(L423:L428)</f>
        <v>742</v>
      </c>
      <c r="M422" s="124" t="s">
        <v>896</v>
      </c>
      <c r="N422" s="124" t="s">
        <v>896</v>
      </c>
      <c r="O422" s="127" t="s">
        <v>896</v>
      </c>
      <c r="P422" s="125">
        <v>19738892.760000002</v>
      </c>
      <c r="Q422" s="125">
        <f>SUM(Q423:Q428)</f>
        <v>0</v>
      </c>
      <c r="R422" s="125">
        <f>SUM(R423:R428)</f>
        <v>0</v>
      </c>
      <c r="S422" s="125">
        <f>SUM(S423:S428)</f>
        <v>19738892.760000002</v>
      </c>
      <c r="T422" s="128">
        <f t="shared" si="72"/>
        <v>1387.68328675827</v>
      </c>
      <c r="U422" s="128">
        <f>MAX(U423:U428)</f>
        <v>6123.0721713300127</v>
      </c>
      <c r="V422" s="257">
        <f t="shared" si="79"/>
        <v>4735.3888845717429</v>
      </c>
      <c r="W422" s="257"/>
      <c r="X422" s="257"/>
      <c r="Y422" s="258"/>
      <c r="Z422" s="258"/>
      <c r="AA422" s="258"/>
      <c r="AB422" s="258"/>
      <c r="AC422" s="258"/>
      <c r="AD422" s="258"/>
      <c r="AE422" s="258"/>
      <c r="AF422" s="258"/>
      <c r="AG422" s="258"/>
      <c r="AH422" s="258"/>
      <c r="AI422" s="258"/>
      <c r="AJ422" s="258"/>
      <c r="AK422" s="258"/>
      <c r="AL422" s="258"/>
      <c r="AM422" s="258"/>
      <c r="AN422" s="258"/>
      <c r="AO422" s="258"/>
    </row>
    <row r="423" spans="1:41" s="259" customFormat="1" ht="36" customHeight="1" x14ac:dyDescent="0.25">
      <c r="A423" s="259">
        <v>1</v>
      </c>
      <c r="B423" s="135">
        <f>SUBTOTAL(103,$A$16:A423)</f>
        <v>371</v>
      </c>
      <c r="C423" s="94" t="s">
        <v>47</v>
      </c>
      <c r="D423" s="124">
        <v>1964</v>
      </c>
      <c r="E423" s="124"/>
      <c r="F423" s="129" t="s">
        <v>269</v>
      </c>
      <c r="G423" s="124">
        <v>3</v>
      </c>
      <c r="H423" s="124" t="s">
        <v>305</v>
      </c>
      <c r="I423" s="128">
        <v>961.6</v>
      </c>
      <c r="J423" s="128">
        <v>723.4</v>
      </c>
      <c r="K423" s="128">
        <v>723.4</v>
      </c>
      <c r="L423" s="126">
        <v>25</v>
      </c>
      <c r="M423" s="124" t="s">
        <v>267</v>
      </c>
      <c r="N423" s="124" t="s">
        <v>271</v>
      </c>
      <c r="O423" s="127" t="s">
        <v>273</v>
      </c>
      <c r="P423" s="128">
        <v>106790.64</v>
      </c>
      <c r="Q423" s="128">
        <v>0</v>
      </c>
      <c r="R423" s="128">
        <v>0</v>
      </c>
      <c r="S423" s="128">
        <f t="shared" ref="S423:S428" si="84">P423-Q423-R423</f>
        <v>106790.64</v>
      </c>
      <c r="T423" s="128">
        <f t="shared" si="72"/>
        <v>111.05515806988352</v>
      </c>
      <c r="U423" s="128">
        <v>111.05515806988352</v>
      </c>
      <c r="V423" s="257">
        <f t="shared" si="79"/>
        <v>0</v>
      </c>
      <c r="W423" s="257">
        <f t="shared" ref="W423:W428" si="85">X423+Y423+Z423+AA423+AB423+AD423+AF423+AH423+AJ423+AL423+AN423+AO423</f>
        <v>4066.0616649334447</v>
      </c>
      <c r="X423" s="257">
        <v>0</v>
      </c>
      <c r="Y423" s="258">
        <v>0</v>
      </c>
      <c r="Z423" s="258">
        <v>0</v>
      </c>
      <c r="AA423" s="258">
        <v>0</v>
      </c>
      <c r="AB423" s="258">
        <v>0</v>
      </c>
      <c r="AC423" s="258">
        <v>0</v>
      </c>
      <c r="AD423" s="258">
        <v>0</v>
      </c>
      <c r="AE423" s="258">
        <v>626.70000000000005</v>
      </c>
      <c r="AF423" s="257">
        <f>6238.91*AE423/I423</f>
        <v>4066.0616649334447</v>
      </c>
      <c r="AG423" s="258">
        <v>0</v>
      </c>
      <c r="AH423" s="257">
        <v>0</v>
      </c>
      <c r="AI423" s="258">
        <v>0</v>
      </c>
      <c r="AJ423" s="257">
        <v>0</v>
      </c>
      <c r="AK423" s="258">
        <v>0</v>
      </c>
      <c r="AL423" s="258">
        <v>0</v>
      </c>
      <c r="AM423" s="258">
        <v>0</v>
      </c>
      <c r="AN423" s="258"/>
      <c r="AO423" s="258">
        <v>0</v>
      </c>
    </row>
    <row r="424" spans="1:41" s="259" customFormat="1" ht="36" customHeight="1" x14ac:dyDescent="0.25">
      <c r="A424" s="259">
        <v>1</v>
      </c>
      <c r="B424" s="135">
        <f>SUBTOTAL(103,$A$16:A424)</f>
        <v>372</v>
      </c>
      <c r="C424" s="94" t="s">
        <v>802</v>
      </c>
      <c r="D424" s="124">
        <v>1989</v>
      </c>
      <c r="E424" s="124"/>
      <c r="F424" s="129" t="s">
        <v>269</v>
      </c>
      <c r="G424" s="124">
        <v>4</v>
      </c>
      <c r="H424" s="124" t="s">
        <v>306</v>
      </c>
      <c r="I424" s="128">
        <v>1871.3</v>
      </c>
      <c r="J424" s="128">
        <v>779.1</v>
      </c>
      <c r="K424" s="128">
        <v>779.1</v>
      </c>
      <c r="L424" s="126">
        <v>88</v>
      </c>
      <c r="M424" s="124" t="s">
        <v>267</v>
      </c>
      <c r="N424" s="124" t="s">
        <v>268</v>
      </c>
      <c r="O424" s="127" t="s">
        <v>270</v>
      </c>
      <c r="P424" s="128">
        <v>2608899.37</v>
      </c>
      <c r="Q424" s="128">
        <v>0</v>
      </c>
      <c r="R424" s="128">
        <v>0</v>
      </c>
      <c r="S424" s="128">
        <f t="shared" si="84"/>
        <v>2608899.37</v>
      </c>
      <c r="T424" s="128">
        <f t="shared" si="72"/>
        <v>1394.1641479185594</v>
      </c>
      <c r="U424" s="128">
        <v>2070.7837385774596</v>
      </c>
      <c r="V424" s="257">
        <f t="shared" si="79"/>
        <v>676.61959065890028</v>
      </c>
      <c r="W424" s="257">
        <f t="shared" si="85"/>
        <v>2147.0945545877198</v>
      </c>
      <c r="X424" s="257">
        <v>0</v>
      </c>
      <c r="Y424" s="258">
        <v>0</v>
      </c>
      <c r="Z424" s="258">
        <v>0</v>
      </c>
      <c r="AA424" s="258">
        <v>0</v>
      </c>
      <c r="AB424" s="258">
        <v>0</v>
      </c>
      <c r="AC424" s="258">
        <v>0</v>
      </c>
      <c r="AD424" s="258">
        <v>0</v>
      </c>
      <c r="AE424" s="258">
        <v>644</v>
      </c>
      <c r="AF424" s="257">
        <f>6238.91*AE424/I424</f>
        <v>2147.0945545877198</v>
      </c>
      <c r="AG424" s="258">
        <v>0</v>
      </c>
      <c r="AH424" s="257">
        <v>0</v>
      </c>
      <c r="AI424" s="258">
        <v>0</v>
      </c>
      <c r="AJ424" s="257">
        <v>0</v>
      </c>
      <c r="AK424" s="258">
        <v>0</v>
      </c>
      <c r="AL424" s="258">
        <v>0</v>
      </c>
      <c r="AM424" s="258">
        <v>0</v>
      </c>
      <c r="AN424" s="258"/>
      <c r="AO424" s="258">
        <v>0</v>
      </c>
    </row>
    <row r="425" spans="1:41" s="259" customFormat="1" ht="36" customHeight="1" x14ac:dyDescent="0.25">
      <c r="A425" s="259">
        <v>1</v>
      </c>
      <c r="B425" s="135">
        <f>SUBTOTAL(103,$A$16:A425)</f>
        <v>373</v>
      </c>
      <c r="C425" s="94" t="s">
        <v>1244</v>
      </c>
      <c r="D425" s="124">
        <v>1977</v>
      </c>
      <c r="E425" s="124"/>
      <c r="F425" s="129" t="s">
        <v>269</v>
      </c>
      <c r="G425" s="124">
        <v>5</v>
      </c>
      <c r="H425" s="124" t="s">
        <v>310</v>
      </c>
      <c r="I425" s="128">
        <v>3134.05</v>
      </c>
      <c r="J425" s="128">
        <v>3134.05</v>
      </c>
      <c r="K425" s="128">
        <v>3134.05</v>
      </c>
      <c r="L425" s="126">
        <v>182</v>
      </c>
      <c r="M425" s="124" t="s">
        <v>267</v>
      </c>
      <c r="N425" s="124" t="s">
        <v>271</v>
      </c>
      <c r="O425" s="127" t="s">
        <v>1309</v>
      </c>
      <c r="P425" s="128">
        <v>5055398.59</v>
      </c>
      <c r="Q425" s="128">
        <v>0</v>
      </c>
      <c r="R425" s="128">
        <v>0</v>
      </c>
      <c r="S425" s="128">
        <f t="shared" si="84"/>
        <v>5055398.59</v>
      </c>
      <c r="T425" s="128">
        <f t="shared" si="72"/>
        <v>1613.056138223704</v>
      </c>
      <c r="U425" s="128">
        <v>3721.67</v>
      </c>
      <c r="V425" s="257">
        <f t="shared" si="79"/>
        <v>2108.6138617762963</v>
      </c>
      <c r="W425" s="257">
        <f t="shared" si="85"/>
        <v>3791.6299999999997</v>
      </c>
      <c r="X425" s="257">
        <v>101.55</v>
      </c>
      <c r="Y425" s="258">
        <v>245.44</v>
      </c>
      <c r="Z425" s="258">
        <v>3259.66</v>
      </c>
      <c r="AA425" s="258">
        <v>184.98</v>
      </c>
      <c r="AB425" s="258">
        <v>0</v>
      </c>
      <c r="AC425" s="258">
        <v>0</v>
      </c>
      <c r="AD425" s="258">
        <v>0</v>
      </c>
      <c r="AE425" s="258">
        <v>0</v>
      </c>
      <c r="AF425" s="257">
        <v>0</v>
      </c>
      <c r="AG425" s="258">
        <v>0</v>
      </c>
      <c r="AH425" s="257">
        <v>0</v>
      </c>
      <c r="AI425" s="258">
        <v>0</v>
      </c>
      <c r="AJ425" s="257">
        <v>0</v>
      </c>
      <c r="AK425" s="258">
        <v>0</v>
      </c>
      <c r="AL425" s="258">
        <v>0</v>
      </c>
      <c r="AM425" s="258">
        <v>0</v>
      </c>
      <c r="AN425" s="258"/>
      <c r="AO425" s="258">
        <v>0</v>
      </c>
    </row>
    <row r="426" spans="1:41" s="259" customFormat="1" ht="36" customHeight="1" x14ac:dyDescent="0.25">
      <c r="A426" s="259">
        <v>1</v>
      </c>
      <c r="B426" s="135">
        <f>SUBTOTAL(103,$A$16:A426)</f>
        <v>374</v>
      </c>
      <c r="C426" s="94" t="s">
        <v>1245</v>
      </c>
      <c r="D426" s="124">
        <v>1992</v>
      </c>
      <c r="E426" s="124"/>
      <c r="F426" s="129" t="s">
        <v>269</v>
      </c>
      <c r="G426" s="124">
        <v>5</v>
      </c>
      <c r="H426" s="124" t="s">
        <v>353</v>
      </c>
      <c r="I426" s="128">
        <v>3322.7</v>
      </c>
      <c r="J426" s="128">
        <v>3322.7</v>
      </c>
      <c r="K426" s="128">
        <v>3322.7</v>
      </c>
      <c r="L426" s="126">
        <v>157</v>
      </c>
      <c r="M426" s="124" t="s">
        <v>267</v>
      </c>
      <c r="N426" s="124" t="s">
        <v>271</v>
      </c>
      <c r="O426" s="127" t="s">
        <v>1309</v>
      </c>
      <c r="P426" s="128">
        <v>5685725.29</v>
      </c>
      <c r="Q426" s="128">
        <v>0</v>
      </c>
      <c r="R426" s="128">
        <v>0</v>
      </c>
      <c r="S426" s="128">
        <f t="shared" si="84"/>
        <v>5685725.29</v>
      </c>
      <c r="T426" s="128">
        <f t="shared" si="72"/>
        <v>1711.1762392030578</v>
      </c>
      <c r="U426" s="128">
        <v>3721.67</v>
      </c>
      <c r="V426" s="257">
        <f t="shared" si="79"/>
        <v>2010.4937607969423</v>
      </c>
      <c r="W426" s="257">
        <f t="shared" si="85"/>
        <v>3259.66</v>
      </c>
      <c r="X426" s="257">
        <v>0</v>
      </c>
      <c r="Y426" s="258">
        <v>0</v>
      </c>
      <c r="Z426" s="258">
        <v>3259.66</v>
      </c>
      <c r="AA426" s="258">
        <v>0</v>
      </c>
      <c r="AB426" s="258">
        <v>0</v>
      </c>
      <c r="AC426" s="258">
        <v>0</v>
      </c>
      <c r="AD426" s="258">
        <v>0</v>
      </c>
      <c r="AE426" s="258">
        <v>0</v>
      </c>
      <c r="AF426" s="257">
        <v>0</v>
      </c>
      <c r="AG426" s="258">
        <v>0</v>
      </c>
      <c r="AH426" s="257">
        <v>0</v>
      </c>
      <c r="AI426" s="258">
        <v>0</v>
      </c>
      <c r="AJ426" s="257">
        <v>0</v>
      </c>
      <c r="AK426" s="258">
        <v>0</v>
      </c>
      <c r="AL426" s="258">
        <v>0</v>
      </c>
      <c r="AM426" s="258">
        <v>0</v>
      </c>
      <c r="AN426" s="258"/>
      <c r="AO426" s="258">
        <v>0</v>
      </c>
    </row>
    <row r="427" spans="1:41" s="259" customFormat="1" ht="36" customHeight="1" x14ac:dyDescent="0.25">
      <c r="A427" s="259">
        <v>1</v>
      </c>
      <c r="B427" s="135">
        <f>SUBTOTAL(103,$A$16:A427)</f>
        <v>375</v>
      </c>
      <c r="C427" s="94" t="s">
        <v>1246</v>
      </c>
      <c r="D427" s="124">
        <v>1970</v>
      </c>
      <c r="E427" s="124"/>
      <c r="F427" s="129" t="s">
        <v>269</v>
      </c>
      <c r="G427" s="124">
        <v>5</v>
      </c>
      <c r="H427" s="124" t="s">
        <v>314</v>
      </c>
      <c r="I427" s="128">
        <v>3891.1</v>
      </c>
      <c r="J427" s="128">
        <v>2891.4</v>
      </c>
      <c r="K427" s="128">
        <v>2505.5</v>
      </c>
      <c r="L427" s="126">
        <v>253</v>
      </c>
      <c r="M427" s="124" t="s">
        <v>267</v>
      </c>
      <c r="N427" s="124" t="s">
        <v>271</v>
      </c>
      <c r="O427" s="127" t="s">
        <v>1309</v>
      </c>
      <c r="P427" s="128">
        <v>2648193.62</v>
      </c>
      <c r="Q427" s="128">
        <v>0</v>
      </c>
      <c r="R427" s="128">
        <v>0</v>
      </c>
      <c r="S427" s="128">
        <f t="shared" si="84"/>
        <v>2648193.62</v>
      </c>
      <c r="T427" s="128">
        <f t="shared" si="72"/>
        <v>680.57711701061396</v>
      </c>
      <c r="U427" s="128">
        <v>3259.66</v>
      </c>
      <c r="V427" s="257">
        <f t="shared" si="79"/>
        <v>2579.0828829893858</v>
      </c>
      <c r="W427" s="257">
        <f t="shared" si="85"/>
        <v>4586.9399999999996</v>
      </c>
      <c r="X427" s="257">
        <v>101.55</v>
      </c>
      <c r="Y427" s="258">
        <v>245.44</v>
      </c>
      <c r="Z427" s="258">
        <v>3259.66</v>
      </c>
      <c r="AA427" s="258">
        <v>184.98</v>
      </c>
      <c r="AB427" s="258">
        <v>795.31</v>
      </c>
      <c r="AC427" s="258">
        <v>0</v>
      </c>
      <c r="AD427" s="258">
        <v>0</v>
      </c>
      <c r="AE427" s="258">
        <v>0</v>
      </c>
      <c r="AF427" s="257">
        <v>0</v>
      </c>
      <c r="AG427" s="258">
        <v>0</v>
      </c>
      <c r="AH427" s="257">
        <v>0</v>
      </c>
      <c r="AI427" s="258">
        <v>0</v>
      </c>
      <c r="AJ427" s="257">
        <v>0</v>
      </c>
      <c r="AK427" s="258">
        <v>0</v>
      </c>
      <c r="AL427" s="258">
        <v>0</v>
      </c>
      <c r="AM427" s="258">
        <v>0</v>
      </c>
      <c r="AN427" s="258"/>
      <c r="AO427" s="258">
        <v>0</v>
      </c>
    </row>
    <row r="428" spans="1:41" s="259" customFormat="1" ht="36" customHeight="1" x14ac:dyDescent="0.25">
      <c r="A428" s="259">
        <v>1</v>
      </c>
      <c r="B428" s="135">
        <f>SUBTOTAL(103,$A$16:A428)</f>
        <v>376</v>
      </c>
      <c r="C428" s="94" t="s">
        <v>1248</v>
      </c>
      <c r="D428" s="124">
        <v>1964</v>
      </c>
      <c r="E428" s="124"/>
      <c r="F428" s="129" t="s">
        <v>269</v>
      </c>
      <c r="G428" s="124">
        <v>3</v>
      </c>
      <c r="H428" s="124" t="s">
        <v>305</v>
      </c>
      <c r="I428" s="128">
        <v>1043.5999999999999</v>
      </c>
      <c r="J428" s="128">
        <v>1043.5999999999999</v>
      </c>
      <c r="K428" s="128">
        <v>970.7</v>
      </c>
      <c r="L428" s="126">
        <v>37</v>
      </c>
      <c r="M428" s="124" t="s">
        <v>267</v>
      </c>
      <c r="N428" s="124" t="s">
        <v>271</v>
      </c>
      <c r="O428" s="127" t="s">
        <v>273</v>
      </c>
      <c r="P428" s="128">
        <v>3633885.25</v>
      </c>
      <c r="Q428" s="128">
        <v>0</v>
      </c>
      <c r="R428" s="128">
        <v>0</v>
      </c>
      <c r="S428" s="128">
        <f t="shared" si="84"/>
        <v>3633885.25</v>
      </c>
      <c r="T428" s="128">
        <f t="shared" si="72"/>
        <v>3482.0671234189349</v>
      </c>
      <c r="U428" s="128">
        <v>6123.0721713300127</v>
      </c>
      <c r="V428" s="257">
        <f t="shared" si="79"/>
        <v>2641.0050479110778</v>
      </c>
      <c r="W428" s="257">
        <f t="shared" si="85"/>
        <v>6123.0721713300127</v>
      </c>
      <c r="X428" s="257">
        <v>0</v>
      </c>
      <c r="Y428" s="258">
        <v>0</v>
      </c>
      <c r="Z428" s="258">
        <v>0</v>
      </c>
      <c r="AA428" s="258">
        <v>0</v>
      </c>
      <c r="AB428" s="258">
        <v>0</v>
      </c>
      <c r="AC428" s="258">
        <v>0</v>
      </c>
      <c r="AD428" s="258">
        <v>0</v>
      </c>
      <c r="AE428" s="258">
        <v>0</v>
      </c>
      <c r="AF428" s="257">
        <v>0</v>
      </c>
      <c r="AG428" s="258">
        <v>0</v>
      </c>
      <c r="AH428" s="257">
        <v>0</v>
      </c>
      <c r="AI428" s="258">
        <v>858.98</v>
      </c>
      <c r="AJ428" s="257">
        <f>7439.1*AI428/I428</f>
        <v>6123.0721713300127</v>
      </c>
      <c r="AK428" s="258">
        <v>0</v>
      </c>
      <c r="AL428" s="258">
        <v>0</v>
      </c>
      <c r="AM428" s="258">
        <v>0</v>
      </c>
      <c r="AN428" s="258"/>
      <c r="AO428" s="258">
        <v>0</v>
      </c>
    </row>
    <row r="429" spans="1:41" s="259" customFormat="1" ht="36" customHeight="1" x14ac:dyDescent="0.25">
      <c r="B429" s="94" t="s">
        <v>850</v>
      </c>
      <c r="C429" s="94"/>
      <c r="D429" s="124" t="s">
        <v>896</v>
      </c>
      <c r="E429" s="124" t="s">
        <v>896</v>
      </c>
      <c r="F429" s="124" t="s">
        <v>896</v>
      </c>
      <c r="G429" s="124" t="s">
        <v>896</v>
      </c>
      <c r="H429" s="124" t="s">
        <v>896</v>
      </c>
      <c r="I429" s="125">
        <f>SUM(I430:I434)</f>
        <v>4806.5999999999995</v>
      </c>
      <c r="J429" s="125">
        <f>SUM(J430:J434)</f>
        <v>4646.83</v>
      </c>
      <c r="K429" s="125">
        <f>SUM(K430:K434)</f>
        <v>4528.83</v>
      </c>
      <c r="L429" s="126">
        <f>SUM(L430:L434)</f>
        <v>165</v>
      </c>
      <c r="M429" s="124" t="s">
        <v>896</v>
      </c>
      <c r="N429" s="124" t="s">
        <v>896</v>
      </c>
      <c r="O429" s="127" t="s">
        <v>896</v>
      </c>
      <c r="P429" s="128">
        <v>9403284.9900000002</v>
      </c>
      <c r="Q429" s="128">
        <f>SUM(Q430:Q434)</f>
        <v>0</v>
      </c>
      <c r="R429" s="128">
        <f>SUM(R430:R434)</f>
        <v>0</v>
      </c>
      <c r="S429" s="128">
        <f>SUM(S430:S434)</f>
        <v>9403284.9900000002</v>
      </c>
      <c r="T429" s="128">
        <f t="shared" si="72"/>
        <v>1956.3277555860693</v>
      </c>
      <c r="U429" s="128">
        <f>MAX(U430:U434)</f>
        <v>5367.5298122129516</v>
      </c>
      <c r="V429" s="257">
        <f t="shared" si="79"/>
        <v>3411.202056626882</v>
      </c>
      <c r="W429" s="257"/>
      <c r="X429" s="257"/>
      <c r="Y429" s="258"/>
      <c r="Z429" s="258"/>
      <c r="AA429" s="258"/>
      <c r="AB429" s="258"/>
      <c r="AC429" s="258"/>
      <c r="AD429" s="258"/>
      <c r="AE429" s="258"/>
      <c r="AF429" s="258"/>
      <c r="AG429" s="258"/>
      <c r="AH429" s="258"/>
      <c r="AI429" s="258"/>
      <c r="AJ429" s="258"/>
      <c r="AK429" s="258"/>
      <c r="AL429" s="258"/>
      <c r="AM429" s="258"/>
      <c r="AN429" s="258"/>
      <c r="AO429" s="258"/>
    </row>
    <row r="430" spans="1:41" s="259" customFormat="1" ht="36" customHeight="1" x14ac:dyDescent="0.25">
      <c r="A430" s="259">
        <v>1</v>
      </c>
      <c r="B430" s="135">
        <f>SUBTOTAL(103,$A$16:A430)</f>
        <v>377</v>
      </c>
      <c r="C430" s="94" t="s">
        <v>44</v>
      </c>
      <c r="D430" s="124">
        <v>1956</v>
      </c>
      <c r="E430" s="124"/>
      <c r="F430" s="129" t="s">
        <v>269</v>
      </c>
      <c r="G430" s="124">
        <v>2</v>
      </c>
      <c r="H430" s="124" t="s">
        <v>305</v>
      </c>
      <c r="I430" s="128">
        <v>735.94</v>
      </c>
      <c r="J430" s="128">
        <v>672.45</v>
      </c>
      <c r="K430" s="128">
        <v>672.45</v>
      </c>
      <c r="L430" s="126">
        <v>32</v>
      </c>
      <c r="M430" s="124" t="s">
        <v>267</v>
      </c>
      <c r="N430" s="124" t="s">
        <v>271</v>
      </c>
      <c r="O430" s="127" t="s">
        <v>274</v>
      </c>
      <c r="P430" s="128">
        <v>2250143.48</v>
      </c>
      <c r="Q430" s="128">
        <v>0</v>
      </c>
      <c r="R430" s="128">
        <v>0</v>
      </c>
      <c r="S430" s="128">
        <f>P430-Q430-R430</f>
        <v>2250143.48</v>
      </c>
      <c r="T430" s="128">
        <f t="shared" si="72"/>
        <v>3057.5094165285209</v>
      </c>
      <c r="U430" s="128">
        <v>5367.5298122129516</v>
      </c>
      <c r="V430" s="257">
        <f t="shared" si="79"/>
        <v>2310.0203956844307</v>
      </c>
      <c r="W430" s="257">
        <f t="shared" ref="W430:W434" si="86">X430+Y430+Z430+AA430+AB430+AD430+AF430+AH430+AJ430+AL430+AN430+AO430</f>
        <v>5349.2841943636704</v>
      </c>
      <c r="X430" s="257">
        <v>0</v>
      </c>
      <c r="Y430" s="258">
        <v>0</v>
      </c>
      <c r="Z430" s="258">
        <v>0</v>
      </c>
      <c r="AA430" s="258">
        <v>0</v>
      </c>
      <c r="AB430" s="258">
        <v>0</v>
      </c>
      <c r="AC430" s="258">
        <v>0</v>
      </c>
      <c r="AD430" s="258">
        <v>0</v>
      </c>
      <c r="AE430" s="258">
        <v>631</v>
      </c>
      <c r="AF430" s="257">
        <f>6238.91*AE430/I430</f>
        <v>5349.2841943636704</v>
      </c>
      <c r="AG430" s="258">
        <v>0</v>
      </c>
      <c r="AH430" s="257">
        <v>0</v>
      </c>
      <c r="AI430" s="258">
        <v>0</v>
      </c>
      <c r="AJ430" s="257">
        <v>0</v>
      </c>
      <c r="AK430" s="258">
        <v>0</v>
      </c>
      <c r="AL430" s="258">
        <v>0</v>
      </c>
      <c r="AM430" s="258">
        <v>0</v>
      </c>
      <c r="AN430" s="258"/>
      <c r="AO430" s="258">
        <v>0</v>
      </c>
    </row>
    <row r="431" spans="1:41" s="259" customFormat="1" ht="36" customHeight="1" x14ac:dyDescent="0.25">
      <c r="A431" s="259">
        <v>1</v>
      </c>
      <c r="B431" s="135">
        <f>SUBTOTAL(103,$A$16:A431)</f>
        <v>378</v>
      </c>
      <c r="C431" s="94" t="s">
        <v>43</v>
      </c>
      <c r="D431" s="124">
        <v>1963</v>
      </c>
      <c r="E431" s="124"/>
      <c r="F431" s="129" t="s">
        <v>269</v>
      </c>
      <c r="G431" s="124">
        <v>2</v>
      </c>
      <c r="H431" s="124" t="s">
        <v>305</v>
      </c>
      <c r="I431" s="128">
        <v>687.5</v>
      </c>
      <c r="J431" s="128">
        <v>639.5</v>
      </c>
      <c r="K431" s="128">
        <v>521.5</v>
      </c>
      <c r="L431" s="126">
        <v>16</v>
      </c>
      <c r="M431" s="124" t="s">
        <v>267</v>
      </c>
      <c r="N431" s="124" t="s">
        <v>271</v>
      </c>
      <c r="O431" s="127" t="s">
        <v>274</v>
      </c>
      <c r="P431" s="128">
        <v>2167263.7000000002</v>
      </c>
      <c r="Q431" s="128">
        <v>0</v>
      </c>
      <c r="R431" s="128">
        <v>0</v>
      </c>
      <c r="S431" s="128">
        <f>P431-Q431-R431</f>
        <v>2167263.7000000002</v>
      </c>
      <c r="T431" s="128">
        <f t="shared" si="72"/>
        <v>3152.3835636363638</v>
      </c>
      <c r="U431" s="128">
        <v>5052.7700814545451</v>
      </c>
      <c r="V431" s="257">
        <f t="shared" si="79"/>
        <v>1900.3865178181813</v>
      </c>
      <c r="W431" s="257">
        <f t="shared" si="86"/>
        <v>5035.5944130909093</v>
      </c>
      <c r="X431" s="257">
        <v>0</v>
      </c>
      <c r="Y431" s="258">
        <v>0</v>
      </c>
      <c r="Z431" s="258">
        <v>0</v>
      </c>
      <c r="AA431" s="258">
        <v>0</v>
      </c>
      <c r="AB431" s="258">
        <v>0</v>
      </c>
      <c r="AC431" s="258">
        <v>0</v>
      </c>
      <c r="AD431" s="258">
        <v>0</v>
      </c>
      <c r="AE431" s="258">
        <v>554.9</v>
      </c>
      <c r="AF431" s="257">
        <f>6238.91*AE431/I431</f>
        <v>5035.5944130909093</v>
      </c>
      <c r="AG431" s="258">
        <v>0</v>
      </c>
      <c r="AH431" s="257">
        <v>0</v>
      </c>
      <c r="AI431" s="258">
        <v>0</v>
      </c>
      <c r="AJ431" s="257">
        <v>0</v>
      </c>
      <c r="AK431" s="258">
        <v>0</v>
      </c>
      <c r="AL431" s="258">
        <v>0</v>
      </c>
      <c r="AM431" s="258">
        <v>0</v>
      </c>
      <c r="AN431" s="258"/>
      <c r="AO431" s="258">
        <v>0</v>
      </c>
    </row>
    <row r="432" spans="1:41" s="259" customFormat="1" ht="36" customHeight="1" x14ac:dyDescent="0.25">
      <c r="A432" s="259">
        <v>1</v>
      </c>
      <c r="B432" s="135">
        <f>SUBTOTAL(103,$A$16:A432)</f>
        <v>379</v>
      </c>
      <c r="C432" s="94" t="s">
        <v>45</v>
      </c>
      <c r="D432" s="124">
        <v>1964</v>
      </c>
      <c r="E432" s="124"/>
      <c r="F432" s="129" t="s">
        <v>269</v>
      </c>
      <c r="G432" s="124">
        <v>2</v>
      </c>
      <c r="H432" s="124" t="s">
        <v>305</v>
      </c>
      <c r="I432" s="128">
        <v>691.68</v>
      </c>
      <c r="J432" s="128">
        <v>643.4</v>
      </c>
      <c r="K432" s="128">
        <v>643.4</v>
      </c>
      <c r="L432" s="126">
        <v>10</v>
      </c>
      <c r="M432" s="124" t="s">
        <v>267</v>
      </c>
      <c r="N432" s="124" t="s">
        <v>271</v>
      </c>
      <c r="O432" s="127" t="s">
        <v>274</v>
      </c>
      <c r="P432" s="128">
        <v>2202329.54</v>
      </c>
      <c r="Q432" s="128">
        <v>0</v>
      </c>
      <c r="R432" s="128">
        <v>0</v>
      </c>
      <c r="S432" s="128">
        <f>P432-Q432-R432</f>
        <v>2202329.54</v>
      </c>
      <c r="T432" s="128">
        <f t="shared" si="72"/>
        <v>3184.0295223224616</v>
      </c>
      <c r="U432" s="128">
        <v>5086.4948820263708</v>
      </c>
      <c r="V432" s="257">
        <f t="shared" si="79"/>
        <v>1902.4653597039091</v>
      </c>
      <c r="W432" s="257">
        <f t="shared" si="86"/>
        <v>5069.2045743696508</v>
      </c>
      <c r="X432" s="257">
        <v>0</v>
      </c>
      <c r="Y432" s="258">
        <v>0</v>
      </c>
      <c r="Z432" s="258">
        <v>0</v>
      </c>
      <c r="AA432" s="258">
        <v>0</v>
      </c>
      <c r="AB432" s="258">
        <v>0</v>
      </c>
      <c r="AC432" s="258">
        <v>0</v>
      </c>
      <c r="AD432" s="258">
        <v>0</v>
      </c>
      <c r="AE432" s="258">
        <v>562</v>
      </c>
      <c r="AF432" s="257">
        <f>6238.91*AE432/I432</f>
        <v>5069.2045743696508</v>
      </c>
      <c r="AG432" s="258">
        <v>0</v>
      </c>
      <c r="AH432" s="257">
        <v>0</v>
      </c>
      <c r="AI432" s="258">
        <v>0</v>
      </c>
      <c r="AJ432" s="257">
        <v>0</v>
      </c>
      <c r="AK432" s="258">
        <v>0</v>
      </c>
      <c r="AL432" s="258">
        <v>0</v>
      </c>
      <c r="AM432" s="258">
        <v>0</v>
      </c>
      <c r="AN432" s="258"/>
      <c r="AO432" s="258">
        <v>0</v>
      </c>
    </row>
    <row r="433" spans="1:41" s="259" customFormat="1" ht="36" customHeight="1" x14ac:dyDescent="0.25">
      <c r="A433" s="259">
        <v>1</v>
      </c>
      <c r="B433" s="135">
        <f>SUBTOTAL(103,$A$16:A433)</f>
        <v>380</v>
      </c>
      <c r="C433" s="94" t="s">
        <v>1254</v>
      </c>
      <c r="D433" s="124">
        <v>1974</v>
      </c>
      <c r="E433" s="124"/>
      <c r="F433" s="129" t="s">
        <v>269</v>
      </c>
      <c r="G433" s="124">
        <v>5</v>
      </c>
      <c r="H433" s="124" t="s">
        <v>305</v>
      </c>
      <c r="I433" s="128">
        <v>2146.1799999999998</v>
      </c>
      <c r="J433" s="128">
        <v>2146.1799999999998</v>
      </c>
      <c r="K433" s="128">
        <v>2146.1799999999998</v>
      </c>
      <c r="L433" s="126">
        <v>78</v>
      </c>
      <c r="M433" s="124" t="s">
        <v>267</v>
      </c>
      <c r="N433" s="124" t="s">
        <v>271</v>
      </c>
      <c r="O433" s="127" t="s">
        <v>274</v>
      </c>
      <c r="P433" s="128">
        <v>1467262.85</v>
      </c>
      <c r="Q433" s="128">
        <v>0</v>
      </c>
      <c r="R433" s="128">
        <v>0</v>
      </c>
      <c r="S433" s="128">
        <f>P433-Q433-R433</f>
        <v>1467262.85</v>
      </c>
      <c r="T433" s="128">
        <f t="shared" si="72"/>
        <v>683.66253063582747</v>
      </c>
      <c r="U433" s="128">
        <v>4183.21</v>
      </c>
      <c r="V433" s="257">
        <f t="shared" si="79"/>
        <v>3499.5474693641727</v>
      </c>
      <c r="W433" s="257">
        <f t="shared" si="86"/>
        <v>4156.5200000000004</v>
      </c>
      <c r="X433" s="257">
        <v>101.55</v>
      </c>
      <c r="Y433" s="258">
        <v>0</v>
      </c>
      <c r="Z433" s="258">
        <v>3259.66</v>
      </c>
      <c r="AA433" s="258">
        <v>0</v>
      </c>
      <c r="AB433" s="258">
        <v>795.31</v>
      </c>
      <c r="AC433" s="258">
        <v>0</v>
      </c>
      <c r="AD433" s="258">
        <v>0</v>
      </c>
      <c r="AE433" s="258">
        <v>0</v>
      </c>
      <c r="AF433" s="257">
        <v>0</v>
      </c>
      <c r="AG433" s="258">
        <v>0</v>
      </c>
      <c r="AH433" s="257">
        <v>0</v>
      </c>
      <c r="AI433" s="258">
        <v>0</v>
      </c>
      <c r="AJ433" s="257">
        <v>0</v>
      </c>
      <c r="AK433" s="258">
        <v>0</v>
      </c>
      <c r="AL433" s="258">
        <v>0</v>
      </c>
      <c r="AM433" s="258">
        <v>0</v>
      </c>
      <c r="AN433" s="258"/>
      <c r="AO433" s="258">
        <v>0</v>
      </c>
    </row>
    <row r="434" spans="1:41" s="259" customFormat="1" ht="36" customHeight="1" x14ac:dyDescent="0.25">
      <c r="A434" s="259">
        <v>1</v>
      </c>
      <c r="B434" s="135">
        <f>SUBTOTAL(103,$A$16:A434)</f>
        <v>381</v>
      </c>
      <c r="C434" s="94" t="s">
        <v>1255</v>
      </c>
      <c r="D434" s="124">
        <v>1936</v>
      </c>
      <c r="E434" s="124"/>
      <c r="F434" s="129" t="s">
        <v>332</v>
      </c>
      <c r="G434" s="124">
        <v>2</v>
      </c>
      <c r="H434" s="124" t="s">
        <v>305</v>
      </c>
      <c r="I434" s="128">
        <v>545.29999999999995</v>
      </c>
      <c r="J434" s="128">
        <v>545.29999999999995</v>
      </c>
      <c r="K434" s="128">
        <v>545.29999999999995</v>
      </c>
      <c r="L434" s="126">
        <v>29</v>
      </c>
      <c r="M434" s="124" t="s">
        <v>267</v>
      </c>
      <c r="N434" s="124" t="s">
        <v>271</v>
      </c>
      <c r="O434" s="127" t="s">
        <v>274</v>
      </c>
      <c r="P434" s="128">
        <v>1316285.42</v>
      </c>
      <c r="Q434" s="128">
        <v>0</v>
      </c>
      <c r="R434" s="128">
        <v>0</v>
      </c>
      <c r="S434" s="128">
        <f>P434-Q434-R434</f>
        <v>1316285.42</v>
      </c>
      <c r="T434" s="128">
        <f t="shared" si="72"/>
        <v>2413.8738675958189</v>
      </c>
      <c r="U434" s="128">
        <v>5212.0415551072801</v>
      </c>
      <c r="V434" s="257">
        <f t="shared" si="79"/>
        <v>2798.1676875114613</v>
      </c>
      <c r="W434" s="257">
        <f t="shared" si="86"/>
        <v>5194.3244819365491</v>
      </c>
      <c r="X434" s="257">
        <v>0</v>
      </c>
      <c r="Y434" s="258">
        <v>0</v>
      </c>
      <c r="Z434" s="258">
        <v>0</v>
      </c>
      <c r="AA434" s="258">
        <v>0</v>
      </c>
      <c r="AB434" s="258">
        <v>0</v>
      </c>
      <c r="AC434" s="258">
        <v>0</v>
      </c>
      <c r="AD434" s="258">
        <v>0</v>
      </c>
      <c r="AE434" s="258">
        <v>454</v>
      </c>
      <c r="AF434" s="257">
        <f>6238.91*AE434/I434</f>
        <v>5194.3244819365491</v>
      </c>
      <c r="AG434" s="258">
        <v>0</v>
      </c>
      <c r="AH434" s="257">
        <v>0</v>
      </c>
      <c r="AI434" s="258">
        <v>0</v>
      </c>
      <c r="AJ434" s="257">
        <v>0</v>
      </c>
      <c r="AK434" s="258">
        <v>0</v>
      </c>
      <c r="AL434" s="258">
        <v>0</v>
      </c>
      <c r="AM434" s="258">
        <v>0</v>
      </c>
      <c r="AN434" s="258"/>
      <c r="AO434" s="258">
        <v>0</v>
      </c>
    </row>
    <row r="435" spans="1:41" s="259" customFormat="1" ht="36" customHeight="1" x14ac:dyDescent="0.25">
      <c r="B435" s="94" t="s">
        <v>851</v>
      </c>
      <c r="C435" s="94"/>
      <c r="D435" s="124" t="s">
        <v>896</v>
      </c>
      <c r="E435" s="124" t="s">
        <v>896</v>
      </c>
      <c r="F435" s="124" t="s">
        <v>896</v>
      </c>
      <c r="G435" s="124" t="s">
        <v>896</v>
      </c>
      <c r="H435" s="124" t="s">
        <v>896</v>
      </c>
      <c r="I435" s="125">
        <f>SUM(I436:I437)</f>
        <v>1322.5</v>
      </c>
      <c r="J435" s="125">
        <f>SUM(J436:J437)</f>
        <v>1216.4000000000001</v>
      </c>
      <c r="K435" s="125">
        <f>SUM(K436:K437)</f>
        <v>1216.4000000000001</v>
      </c>
      <c r="L435" s="126">
        <f>SUM(L436:L437)</f>
        <v>60</v>
      </c>
      <c r="M435" s="124" t="s">
        <v>896</v>
      </c>
      <c r="N435" s="124" t="s">
        <v>896</v>
      </c>
      <c r="O435" s="127" t="s">
        <v>896</v>
      </c>
      <c r="P435" s="125">
        <v>5174634.9800000004</v>
      </c>
      <c r="Q435" s="125">
        <f t="shared" ref="Q435:R435" si="87">SUM(Q436:Q437)</f>
        <v>0</v>
      </c>
      <c r="R435" s="125">
        <f t="shared" si="87"/>
        <v>0</v>
      </c>
      <c r="S435" s="125">
        <f>SUM(S436:S437)</f>
        <v>5174634.9800000004</v>
      </c>
      <c r="T435" s="128">
        <f t="shared" si="72"/>
        <v>3912.767470699433</v>
      </c>
      <c r="U435" s="128">
        <f>MAX(U436:U437)</f>
        <v>7241.8575650154798</v>
      </c>
      <c r="V435" s="257">
        <f t="shared" si="79"/>
        <v>3329.0900943160468</v>
      </c>
      <c r="W435" s="257"/>
      <c r="X435" s="257"/>
      <c r="Y435" s="258"/>
      <c r="Z435" s="258"/>
      <c r="AA435" s="258"/>
      <c r="AB435" s="258"/>
      <c r="AC435" s="258"/>
      <c r="AD435" s="258"/>
      <c r="AE435" s="258"/>
      <c r="AF435" s="258"/>
      <c r="AG435" s="258"/>
      <c r="AH435" s="258"/>
      <c r="AI435" s="258"/>
      <c r="AJ435" s="258"/>
      <c r="AK435" s="258"/>
      <c r="AL435" s="258"/>
      <c r="AM435" s="258"/>
      <c r="AN435" s="258"/>
      <c r="AO435" s="258"/>
    </row>
    <row r="436" spans="1:41" s="259" customFormat="1" ht="36" customHeight="1" x14ac:dyDescent="0.25">
      <c r="A436" s="259">
        <v>1</v>
      </c>
      <c r="B436" s="135">
        <f>SUBTOTAL(103,$A$16:A436)</f>
        <v>382</v>
      </c>
      <c r="C436" s="94" t="s">
        <v>42</v>
      </c>
      <c r="D436" s="124">
        <v>1960</v>
      </c>
      <c r="E436" s="124"/>
      <c r="F436" s="129" t="s">
        <v>269</v>
      </c>
      <c r="G436" s="124">
        <v>2</v>
      </c>
      <c r="H436" s="124" t="s">
        <v>305</v>
      </c>
      <c r="I436" s="128">
        <v>676.5</v>
      </c>
      <c r="J436" s="128">
        <v>628.1</v>
      </c>
      <c r="K436" s="128">
        <v>628.1</v>
      </c>
      <c r="L436" s="126">
        <v>25</v>
      </c>
      <c r="M436" s="124" t="s">
        <v>267</v>
      </c>
      <c r="N436" s="124" t="s">
        <v>271</v>
      </c>
      <c r="O436" s="127" t="s">
        <v>275</v>
      </c>
      <c r="P436" s="128">
        <v>2210436.8400000003</v>
      </c>
      <c r="Q436" s="128">
        <v>0</v>
      </c>
      <c r="R436" s="128">
        <v>0</v>
      </c>
      <c r="S436" s="128">
        <f>P436-Q436-R436</f>
        <v>2210436.8400000003</v>
      </c>
      <c r="T436" s="128">
        <f t="shared" si="72"/>
        <v>3267.4602217294905</v>
      </c>
      <c r="U436" s="128">
        <v>5506.838827937916</v>
      </c>
      <c r="V436" s="257">
        <f t="shared" si="79"/>
        <v>2239.3786062084255</v>
      </c>
      <c r="W436" s="257">
        <f t="shared" ref="W436:W437" si="88">X436+Y436+Z436+AA436+AB436+AD436+AF436+AH436+AJ436+AL436+AN436+AO436</f>
        <v>5488.1196628233556</v>
      </c>
      <c r="X436" s="257">
        <v>0</v>
      </c>
      <c r="Y436" s="258">
        <v>0</v>
      </c>
      <c r="Z436" s="258">
        <v>0</v>
      </c>
      <c r="AA436" s="258">
        <v>0</v>
      </c>
      <c r="AB436" s="258">
        <v>0</v>
      </c>
      <c r="AC436" s="258">
        <v>0</v>
      </c>
      <c r="AD436" s="258">
        <v>0</v>
      </c>
      <c r="AE436" s="258">
        <v>595.09</v>
      </c>
      <c r="AF436" s="257">
        <f>6238.91*AE436/I436</f>
        <v>5488.1196628233556</v>
      </c>
      <c r="AG436" s="258">
        <v>0</v>
      </c>
      <c r="AH436" s="257">
        <v>0</v>
      </c>
      <c r="AI436" s="258">
        <v>0</v>
      </c>
      <c r="AJ436" s="257">
        <v>0</v>
      </c>
      <c r="AK436" s="258">
        <v>0</v>
      </c>
      <c r="AL436" s="258">
        <v>0</v>
      </c>
      <c r="AM436" s="258">
        <v>0</v>
      </c>
      <c r="AN436" s="258"/>
      <c r="AO436" s="258">
        <v>0</v>
      </c>
    </row>
    <row r="437" spans="1:41" s="259" customFormat="1" ht="36" customHeight="1" x14ac:dyDescent="0.25">
      <c r="A437" s="259">
        <v>1</v>
      </c>
      <c r="B437" s="135">
        <f>SUBTOTAL(103,$A$16:A437)</f>
        <v>383</v>
      </c>
      <c r="C437" s="94" t="s">
        <v>1563</v>
      </c>
      <c r="D437" s="124">
        <v>1957</v>
      </c>
      <c r="E437" s="124"/>
      <c r="F437" s="129" t="s">
        <v>269</v>
      </c>
      <c r="G437" s="124">
        <v>2</v>
      </c>
      <c r="H437" s="124" t="s">
        <v>305</v>
      </c>
      <c r="I437" s="128">
        <v>646</v>
      </c>
      <c r="J437" s="128">
        <v>588.29999999999995</v>
      </c>
      <c r="K437" s="128">
        <v>588.29999999999995</v>
      </c>
      <c r="L437" s="126">
        <v>35</v>
      </c>
      <c r="M437" s="124" t="s">
        <v>267</v>
      </c>
      <c r="N437" s="124" t="s">
        <v>271</v>
      </c>
      <c r="O437" s="127" t="s">
        <v>275</v>
      </c>
      <c r="P437" s="128">
        <v>2964198.14</v>
      </c>
      <c r="Q437" s="128">
        <v>0</v>
      </c>
      <c r="R437" s="128">
        <v>0</v>
      </c>
      <c r="S437" s="128">
        <f>P437-R437-Q437</f>
        <v>2964198.14</v>
      </c>
      <c r="T437" s="128">
        <f t="shared" si="72"/>
        <v>4588.5420123839012</v>
      </c>
      <c r="U437" s="128">
        <v>7241.8575650154798</v>
      </c>
      <c r="V437" s="257">
        <f t="shared" si="79"/>
        <v>2653.3155526315786</v>
      </c>
      <c r="W437" s="257">
        <f t="shared" si="88"/>
        <v>7217.2406238390095</v>
      </c>
      <c r="X437" s="257">
        <v>0</v>
      </c>
      <c r="Y437" s="258">
        <v>0</v>
      </c>
      <c r="Z437" s="258">
        <v>0</v>
      </c>
      <c r="AA437" s="258">
        <v>0</v>
      </c>
      <c r="AB437" s="258">
        <v>0</v>
      </c>
      <c r="AC437" s="258">
        <v>0</v>
      </c>
      <c r="AD437" s="258">
        <v>0</v>
      </c>
      <c r="AE437" s="258">
        <v>747.3</v>
      </c>
      <c r="AF437" s="257">
        <f>6238.91*AE437/I437</f>
        <v>7217.2406238390095</v>
      </c>
      <c r="AG437" s="258">
        <v>0</v>
      </c>
      <c r="AH437" s="257">
        <v>0</v>
      </c>
      <c r="AI437" s="258">
        <v>0</v>
      </c>
      <c r="AJ437" s="257">
        <v>0</v>
      </c>
      <c r="AK437" s="258">
        <v>0</v>
      </c>
      <c r="AL437" s="258">
        <v>0</v>
      </c>
      <c r="AM437" s="258">
        <v>0</v>
      </c>
      <c r="AN437" s="258"/>
      <c r="AO437" s="258">
        <v>0</v>
      </c>
    </row>
    <row r="438" spans="1:41" s="259" customFormat="1" ht="36" customHeight="1" x14ac:dyDescent="0.25">
      <c r="B438" s="94" t="s">
        <v>852</v>
      </c>
      <c r="C438" s="94"/>
      <c r="D438" s="124" t="s">
        <v>896</v>
      </c>
      <c r="E438" s="124" t="s">
        <v>896</v>
      </c>
      <c r="F438" s="124" t="s">
        <v>896</v>
      </c>
      <c r="G438" s="124" t="s">
        <v>896</v>
      </c>
      <c r="H438" s="124" t="s">
        <v>896</v>
      </c>
      <c r="I438" s="125">
        <f>SUM(I439:I448)</f>
        <v>13058.16</v>
      </c>
      <c r="J438" s="125">
        <f>SUM(J439:J448)</f>
        <v>11210.9</v>
      </c>
      <c r="K438" s="125">
        <f>SUM(K439:K448)</f>
        <v>11135.9</v>
      </c>
      <c r="L438" s="126">
        <f>SUM(L439:L448)</f>
        <v>529</v>
      </c>
      <c r="M438" s="124" t="s">
        <v>896</v>
      </c>
      <c r="N438" s="124" t="s">
        <v>896</v>
      </c>
      <c r="O438" s="127" t="s">
        <v>896</v>
      </c>
      <c r="P438" s="128">
        <v>18039853.560000002</v>
      </c>
      <c r="Q438" s="128">
        <f>SUM(Q439:Q448)</f>
        <v>0</v>
      </c>
      <c r="R438" s="128">
        <f>SUM(R439:R448)</f>
        <v>0</v>
      </c>
      <c r="S438" s="128">
        <f>SUM(S439:S448)</f>
        <v>18039853.560000002</v>
      </c>
      <c r="T438" s="128">
        <f t="shared" si="72"/>
        <v>1381.5004227241818</v>
      </c>
      <c r="U438" s="128">
        <f>MAX(U439:U448)</f>
        <v>7866.7834264014464</v>
      </c>
      <c r="V438" s="257">
        <f t="shared" si="79"/>
        <v>6485.2830036772648</v>
      </c>
      <c r="W438" s="257"/>
      <c r="X438" s="257"/>
      <c r="Y438" s="258"/>
      <c r="Z438" s="258"/>
      <c r="AA438" s="258"/>
      <c r="AB438" s="258"/>
      <c r="AC438" s="258"/>
      <c r="AD438" s="258"/>
      <c r="AE438" s="258"/>
      <c r="AF438" s="258"/>
      <c r="AG438" s="258"/>
      <c r="AH438" s="258"/>
      <c r="AI438" s="258"/>
      <c r="AJ438" s="258"/>
      <c r="AK438" s="258"/>
      <c r="AL438" s="258"/>
      <c r="AM438" s="258"/>
      <c r="AN438" s="258"/>
      <c r="AO438" s="258"/>
    </row>
    <row r="439" spans="1:41" s="259" customFormat="1" ht="36" customHeight="1" x14ac:dyDescent="0.25">
      <c r="A439" s="259">
        <v>1</v>
      </c>
      <c r="B439" s="135">
        <f>SUBTOTAL(103,$A$16:A439)</f>
        <v>384</v>
      </c>
      <c r="C439" s="94" t="s">
        <v>50</v>
      </c>
      <c r="D439" s="124">
        <v>1941</v>
      </c>
      <c r="E439" s="124"/>
      <c r="F439" s="129" t="s">
        <v>269</v>
      </c>
      <c r="G439" s="124">
        <v>3</v>
      </c>
      <c r="H439" s="124" t="s">
        <v>314</v>
      </c>
      <c r="I439" s="128">
        <v>1207.5</v>
      </c>
      <c r="J439" s="128">
        <v>1191.18</v>
      </c>
      <c r="K439" s="128">
        <v>1191.18</v>
      </c>
      <c r="L439" s="126">
        <v>51</v>
      </c>
      <c r="M439" s="124" t="s">
        <v>267</v>
      </c>
      <c r="N439" s="124" t="s">
        <v>268</v>
      </c>
      <c r="O439" s="127" t="s">
        <v>270</v>
      </c>
      <c r="P439" s="128">
        <v>5017460.6800000006</v>
      </c>
      <c r="Q439" s="128">
        <v>0</v>
      </c>
      <c r="R439" s="128">
        <v>0</v>
      </c>
      <c r="S439" s="128">
        <f t="shared" ref="S439:S448" si="89">P439-Q439-R439</f>
        <v>5017460.6800000006</v>
      </c>
      <c r="T439" s="128">
        <f t="shared" si="72"/>
        <v>4155.2469399585925</v>
      </c>
      <c r="U439" s="128">
        <v>4496.449513043478</v>
      </c>
      <c r="V439" s="257">
        <v>341.20257308488544</v>
      </c>
      <c r="W439" s="257">
        <v>4481.1649217391296</v>
      </c>
      <c r="X439" s="257">
        <v>0</v>
      </c>
      <c r="Y439" s="258">
        <v>0</v>
      </c>
      <c r="Z439" s="258">
        <v>0</v>
      </c>
      <c r="AA439" s="258">
        <v>0</v>
      </c>
      <c r="AB439" s="258">
        <v>0</v>
      </c>
      <c r="AC439" s="258">
        <v>0</v>
      </c>
      <c r="AD439" s="258">
        <v>0</v>
      </c>
      <c r="AE439" s="258">
        <v>867.3</v>
      </c>
      <c r="AF439" s="257">
        <v>4481.1649217391296</v>
      </c>
      <c r="AG439" s="258">
        <v>0</v>
      </c>
      <c r="AH439" s="257">
        <v>0</v>
      </c>
      <c r="AI439" s="258">
        <v>0</v>
      </c>
      <c r="AJ439" s="257">
        <v>0</v>
      </c>
      <c r="AK439" s="258">
        <v>0</v>
      </c>
      <c r="AL439" s="258">
        <v>0</v>
      </c>
      <c r="AM439" s="258">
        <v>0</v>
      </c>
      <c r="AN439" s="258"/>
      <c r="AO439" s="258">
        <v>0</v>
      </c>
    </row>
    <row r="440" spans="1:41" s="259" customFormat="1" ht="36" customHeight="1" x14ac:dyDescent="0.25">
      <c r="A440" s="259">
        <v>1</v>
      </c>
      <c r="B440" s="135">
        <f>SUBTOTAL(103,$A$16:A440)</f>
        <v>385</v>
      </c>
      <c r="C440" s="94" t="s">
        <v>48</v>
      </c>
      <c r="D440" s="124">
        <v>1972</v>
      </c>
      <c r="E440" s="124"/>
      <c r="F440" s="129" t="s">
        <v>269</v>
      </c>
      <c r="G440" s="124">
        <v>2</v>
      </c>
      <c r="H440" s="124" t="s">
        <v>305</v>
      </c>
      <c r="I440" s="128">
        <v>729.8</v>
      </c>
      <c r="J440" s="128">
        <v>482.52</v>
      </c>
      <c r="K440" s="128">
        <v>482.52</v>
      </c>
      <c r="L440" s="126">
        <v>30</v>
      </c>
      <c r="M440" s="124" t="s">
        <v>267</v>
      </c>
      <c r="N440" s="124" t="s">
        <v>268</v>
      </c>
      <c r="O440" s="127" t="s">
        <v>270</v>
      </c>
      <c r="P440" s="128">
        <v>2810575.6300000004</v>
      </c>
      <c r="Q440" s="128">
        <v>0</v>
      </c>
      <c r="R440" s="128">
        <v>0</v>
      </c>
      <c r="S440" s="128">
        <f t="shared" si="89"/>
        <v>2810575.6300000004</v>
      </c>
      <c r="T440" s="128">
        <f t="shared" si="72"/>
        <v>3851.1587147163614</v>
      </c>
      <c r="U440" s="128">
        <v>5598.8298342011512</v>
      </c>
      <c r="V440" s="257">
        <f t="shared" si="79"/>
        <v>1747.6711194847899</v>
      </c>
      <c r="W440" s="257">
        <f t="shared" ref="W440:W448" si="90">X440+Y440+Z440+AA440+AB440+AD440+AF440+AH440+AJ440+AL440+AN440+AO440</f>
        <v>5579.7979679364216</v>
      </c>
      <c r="X440" s="257">
        <v>0</v>
      </c>
      <c r="Y440" s="258">
        <v>0</v>
      </c>
      <c r="Z440" s="258">
        <v>0</v>
      </c>
      <c r="AA440" s="258">
        <v>0</v>
      </c>
      <c r="AB440" s="258">
        <v>0</v>
      </c>
      <c r="AC440" s="258">
        <v>0</v>
      </c>
      <c r="AD440" s="258">
        <v>0</v>
      </c>
      <c r="AE440" s="258">
        <v>652.70000000000005</v>
      </c>
      <c r="AF440" s="257">
        <f t="shared" ref="AF440:AF444" si="91">6238.91*AE440/I440</f>
        <v>5579.7979679364216</v>
      </c>
      <c r="AG440" s="258">
        <v>0</v>
      </c>
      <c r="AH440" s="257">
        <v>0</v>
      </c>
      <c r="AI440" s="258">
        <v>0</v>
      </c>
      <c r="AJ440" s="257">
        <v>0</v>
      </c>
      <c r="AK440" s="258">
        <v>0</v>
      </c>
      <c r="AL440" s="258">
        <v>0</v>
      </c>
      <c r="AM440" s="258">
        <v>0</v>
      </c>
      <c r="AN440" s="258"/>
      <c r="AO440" s="258">
        <v>0</v>
      </c>
    </row>
    <row r="441" spans="1:41" s="259" customFormat="1" ht="36" customHeight="1" x14ac:dyDescent="0.25">
      <c r="A441" s="259">
        <v>1</v>
      </c>
      <c r="B441" s="135">
        <f>SUBTOTAL(103,$A$16:A441)</f>
        <v>386</v>
      </c>
      <c r="C441" s="94" t="s">
        <v>49</v>
      </c>
      <c r="D441" s="124">
        <v>1962</v>
      </c>
      <c r="E441" s="124"/>
      <c r="F441" s="129" t="s">
        <v>269</v>
      </c>
      <c r="G441" s="124">
        <v>4</v>
      </c>
      <c r="H441" s="124" t="s">
        <v>314</v>
      </c>
      <c r="I441" s="128">
        <v>1905.34</v>
      </c>
      <c r="J441" s="128">
        <v>1905.34</v>
      </c>
      <c r="K441" s="128">
        <v>1830.34</v>
      </c>
      <c r="L441" s="126">
        <v>101</v>
      </c>
      <c r="M441" s="124" t="s">
        <v>267</v>
      </c>
      <c r="N441" s="124" t="s">
        <v>268</v>
      </c>
      <c r="O441" s="127" t="s">
        <v>270</v>
      </c>
      <c r="P441" s="128">
        <v>131037.61</v>
      </c>
      <c r="Q441" s="128">
        <v>0</v>
      </c>
      <c r="R441" s="128">
        <v>0</v>
      </c>
      <c r="S441" s="128">
        <f t="shared" si="89"/>
        <v>131037.61</v>
      </c>
      <c r="T441" s="128">
        <f t="shared" si="72"/>
        <v>68.773872379732751</v>
      </c>
      <c r="U441" s="128">
        <f>T441</f>
        <v>68.773872379732751</v>
      </c>
      <c r="V441" s="257">
        <f t="shared" si="79"/>
        <v>0</v>
      </c>
      <c r="W441" s="257">
        <f t="shared" si="90"/>
        <v>2936.8398180902095</v>
      </c>
      <c r="X441" s="257">
        <v>0</v>
      </c>
      <c r="Y441" s="258">
        <v>0</v>
      </c>
      <c r="Z441" s="258">
        <v>0</v>
      </c>
      <c r="AA441" s="258">
        <v>0</v>
      </c>
      <c r="AB441" s="258">
        <v>0</v>
      </c>
      <c r="AC441" s="258">
        <v>0</v>
      </c>
      <c r="AD441" s="258">
        <v>0</v>
      </c>
      <c r="AE441" s="258">
        <v>896.9</v>
      </c>
      <c r="AF441" s="257">
        <f t="shared" si="91"/>
        <v>2936.8398180902095</v>
      </c>
      <c r="AG441" s="258">
        <v>0</v>
      </c>
      <c r="AH441" s="257">
        <v>0</v>
      </c>
      <c r="AI441" s="258">
        <v>0</v>
      </c>
      <c r="AJ441" s="257">
        <v>0</v>
      </c>
      <c r="AK441" s="258">
        <v>0</v>
      </c>
      <c r="AL441" s="258">
        <v>0</v>
      </c>
      <c r="AM441" s="258">
        <v>0</v>
      </c>
      <c r="AN441" s="258"/>
      <c r="AO441" s="258">
        <v>0</v>
      </c>
    </row>
    <row r="442" spans="1:41" s="259" customFormat="1" ht="36" customHeight="1" x14ac:dyDescent="0.25">
      <c r="A442" s="259">
        <v>1</v>
      </c>
      <c r="B442" s="135">
        <f>SUBTOTAL(103,$A$16:A442)</f>
        <v>387</v>
      </c>
      <c r="C442" s="94" t="s">
        <v>51</v>
      </c>
      <c r="D442" s="124">
        <v>1971</v>
      </c>
      <c r="E442" s="124"/>
      <c r="F442" s="129" t="s">
        <v>269</v>
      </c>
      <c r="G442" s="124">
        <v>2</v>
      </c>
      <c r="H442" s="124" t="s">
        <v>305</v>
      </c>
      <c r="I442" s="128">
        <v>754.85</v>
      </c>
      <c r="J442" s="128">
        <v>754.85</v>
      </c>
      <c r="K442" s="128">
        <v>754.85</v>
      </c>
      <c r="L442" s="126">
        <v>42</v>
      </c>
      <c r="M442" s="124" t="s">
        <v>267</v>
      </c>
      <c r="N442" s="124" t="s">
        <v>268</v>
      </c>
      <c r="O442" s="127" t="s">
        <v>270</v>
      </c>
      <c r="P442" s="128">
        <v>2938871.62</v>
      </c>
      <c r="Q442" s="128">
        <v>0</v>
      </c>
      <c r="R442" s="128">
        <v>0</v>
      </c>
      <c r="S442" s="128">
        <f t="shared" si="89"/>
        <v>2938871.62</v>
      </c>
      <c r="T442" s="128">
        <f t="shared" si="72"/>
        <v>3893.3186990792874</v>
      </c>
      <c r="U442" s="128">
        <v>5647.7305292442197</v>
      </c>
      <c r="V442" s="257">
        <f t="shared" si="79"/>
        <v>1754.4118301649323</v>
      </c>
      <c r="W442" s="257">
        <f t="shared" si="90"/>
        <v>5628.5324369079945</v>
      </c>
      <c r="X442" s="257">
        <v>0</v>
      </c>
      <c r="Y442" s="258">
        <v>0</v>
      </c>
      <c r="Z442" s="258">
        <v>0</v>
      </c>
      <c r="AA442" s="258">
        <v>0</v>
      </c>
      <c r="AB442" s="258">
        <v>0</v>
      </c>
      <c r="AC442" s="258">
        <v>0</v>
      </c>
      <c r="AD442" s="258">
        <v>0</v>
      </c>
      <c r="AE442" s="258">
        <v>681</v>
      </c>
      <c r="AF442" s="257">
        <f t="shared" si="91"/>
        <v>5628.5324369079945</v>
      </c>
      <c r="AG442" s="258">
        <v>0</v>
      </c>
      <c r="AH442" s="257">
        <v>0</v>
      </c>
      <c r="AI442" s="258">
        <v>0</v>
      </c>
      <c r="AJ442" s="257">
        <v>0</v>
      </c>
      <c r="AK442" s="258">
        <v>0</v>
      </c>
      <c r="AL442" s="258">
        <v>0</v>
      </c>
      <c r="AM442" s="258">
        <v>0</v>
      </c>
      <c r="AN442" s="258"/>
      <c r="AO442" s="258">
        <v>0</v>
      </c>
    </row>
    <row r="443" spans="1:41" s="259" customFormat="1" ht="36" customHeight="1" x14ac:dyDescent="0.25">
      <c r="A443" s="259">
        <v>1</v>
      </c>
      <c r="B443" s="135">
        <f>SUBTOTAL(103,$A$16:A443)</f>
        <v>388</v>
      </c>
      <c r="C443" s="94" t="s">
        <v>1249</v>
      </c>
      <c r="D443" s="124">
        <v>1978</v>
      </c>
      <c r="E443" s="124"/>
      <c r="F443" s="129" t="s">
        <v>269</v>
      </c>
      <c r="G443" s="124">
        <v>3</v>
      </c>
      <c r="H443" s="124" t="s">
        <v>314</v>
      </c>
      <c r="I443" s="128">
        <v>1326.37</v>
      </c>
      <c r="J443" s="128">
        <v>1326.37</v>
      </c>
      <c r="K443" s="128">
        <v>1326.37</v>
      </c>
      <c r="L443" s="126">
        <v>61</v>
      </c>
      <c r="M443" s="124" t="s">
        <v>267</v>
      </c>
      <c r="N443" s="124" t="s">
        <v>268</v>
      </c>
      <c r="O443" s="127" t="s">
        <v>270</v>
      </c>
      <c r="P443" s="128">
        <v>2250403.9200000004</v>
      </c>
      <c r="Q443" s="128">
        <v>0</v>
      </c>
      <c r="R443" s="128">
        <v>0</v>
      </c>
      <c r="S443" s="128">
        <f t="shared" si="89"/>
        <v>2250403.9200000004</v>
      </c>
      <c r="T443" s="128">
        <f t="shared" si="72"/>
        <v>1696.6637665206545</v>
      </c>
      <c r="U443" s="128">
        <v>3202.3786085330644</v>
      </c>
      <c r="V443" s="257">
        <f t="shared" si="79"/>
        <v>1505.7148420124099</v>
      </c>
      <c r="W443" s="257">
        <f t="shared" si="90"/>
        <v>3191.4928979093315</v>
      </c>
      <c r="X443" s="257">
        <v>0</v>
      </c>
      <c r="Y443" s="258">
        <v>0</v>
      </c>
      <c r="Z443" s="258">
        <v>0</v>
      </c>
      <c r="AA443" s="258">
        <v>0</v>
      </c>
      <c r="AB443" s="258">
        <v>0</v>
      </c>
      <c r="AC443" s="258">
        <v>0</v>
      </c>
      <c r="AD443" s="258">
        <v>0</v>
      </c>
      <c r="AE443" s="258">
        <v>678.5</v>
      </c>
      <c r="AF443" s="257">
        <f t="shared" si="91"/>
        <v>3191.4928979093315</v>
      </c>
      <c r="AG443" s="258">
        <v>0</v>
      </c>
      <c r="AH443" s="257">
        <v>0</v>
      </c>
      <c r="AI443" s="258">
        <v>0</v>
      </c>
      <c r="AJ443" s="257">
        <v>0</v>
      </c>
      <c r="AK443" s="258">
        <v>0</v>
      </c>
      <c r="AL443" s="258">
        <v>0</v>
      </c>
      <c r="AM443" s="258">
        <v>0</v>
      </c>
      <c r="AN443" s="258"/>
      <c r="AO443" s="258">
        <v>0</v>
      </c>
    </row>
    <row r="444" spans="1:41" s="259" customFormat="1" ht="36" customHeight="1" x14ac:dyDescent="0.25">
      <c r="A444" s="259">
        <v>1</v>
      </c>
      <c r="B444" s="135">
        <f>SUBTOTAL(103,$A$16:A444)</f>
        <v>389</v>
      </c>
      <c r="C444" s="94" t="s">
        <v>1250</v>
      </c>
      <c r="D444" s="124">
        <v>1983</v>
      </c>
      <c r="E444" s="124"/>
      <c r="F444" s="129" t="s">
        <v>269</v>
      </c>
      <c r="G444" s="124">
        <v>5</v>
      </c>
      <c r="H444" s="124" t="s">
        <v>373</v>
      </c>
      <c r="I444" s="128">
        <v>5165.2</v>
      </c>
      <c r="J444" s="128">
        <v>4087.35</v>
      </c>
      <c r="K444" s="128">
        <v>4087.35</v>
      </c>
      <c r="L444" s="126">
        <v>153</v>
      </c>
      <c r="M444" s="124" t="s">
        <v>267</v>
      </c>
      <c r="N444" s="124" t="s">
        <v>271</v>
      </c>
      <c r="O444" s="127" t="s">
        <v>1308</v>
      </c>
      <c r="P444" s="128">
        <v>2695968.78</v>
      </c>
      <c r="Q444" s="128">
        <v>0</v>
      </c>
      <c r="R444" s="128">
        <v>0</v>
      </c>
      <c r="S444" s="128">
        <f t="shared" si="89"/>
        <v>2695968.78</v>
      </c>
      <c r="T444" s="128">
        <f t="shared" si="72"/>
        <v>521.94857507937741</v>
      </c>
      <c r="U444" s="128">
        <v>1544.0678885812747</v>
      </c>
      <c r="V444" s="257">
        <f t="shared" si="79"/>
        <v>1022.1193135018973</v>
      </c>
      <c r="W444" s="257">
        <f t="shared" si="90"/>
        <v>1538.8192036900798</v>
      </c>
      <c r="X444" s="257">
        <v>0</v>
      </c>
      <c r="Y444" s="258">
        <v>0</v>
      </c>
      <c r="Z444" s="258">
        <v>0</v>
      </c>
      <c r="AA444" s="258">
        <v>0</v>
      </c>
      <c r="AB444" s="258">
        <v>0</v>
      </c>
      <c r="AC444" s="258">
        <v>0</v>
      </c>
      <c r="AD444" s="258">
        <v>0</v>
      </c>
      <c r="AE444" s="258">
        <v>1273.99</v>
      </c>
      <c r="AF444" s="257">
        <f t="shared" si="91"/>
        <v>1538.8192036900798</v>
      </c>
      <c r="AG444" s="258">
        <v>0</v>
      </c>
      <c r="AH444" s="257">
        <v>0</v>
      </c>
      <c r="AI444" s="258">
        <v>0</v>
      </c>
      <c r="AJ444" s="257">
        <v>0</v>
      </c>
      <c r="AK444" s="258">
        <v>0</v>
      </c>
      <c r="AL444" s="258">
        <v>0</v>
      </c>
      <c r="AM444" s="258">
        <v>0</v>
      </c>
      <c r="AN444" s="258"/>
      <c r="AO444" s="258">
        <v>0</v>
      </c>
    </row>
    <row r="445" spans="1:41" s="259" customFormat="1" ht="36" customHeight="1" x14ac:dyDescent="0.25">
      <c r="A445" s="259">
        <v>1</v>
      </c>
      <c r="B445" s="135">
        <f>SUBTOTAL(103,$A$16:A445)</f>
        <v>390</v>
      </c>
      <c r="C445" s="94" t="s">
        <v>1252</v>
      </c>
      <c r="D445" s="124">
        <v>1959</v>
      </c>
      <c r="E445" s="124"/>
      <c r="F445" s="129" t="s">
        <v>269</v>
      </c>
      <c r="G445" s="124" t="s">
        <v>305</v>
      </c>
      <c r="H445" s="124" t="s">
        <v>306</v>
      </c>
      <c r="I445" s="128">
        <v>264.3</v>
      </c>
      <c r="J445" s="128">
        <v>264.3</v>
      </c>
      <c r="K445" s="128">
        <v>264.3</v>
      </c>
      <c r="L445" s="126">
        <v>15</v>
      </c>
      <c r="M445" s="124" t="s">
        <v>267</v>
      </c>
      <c r="N445" s="124" t="s">
        <v>268</v>
      </c>
      <c r="O445" s="127" t="s">
        <v>270</v>
      </c>
      <c r="P445" s="128">
        <v>800120.67999999993</v>
      </c>
      <c r="Q445" s="128">
        <v>0</v>
      </c>
      <c r="R445" s="128">
        <v>0</v>
      </c>
      <c r="S445" s="128">
        <f t="shared" si="89"/>
        <v>800120.67999999993</v>
      </c>
      <c r="T445" s="128">
        <f t="shared" si="72"/>
        <v>3027.3200151343167</v>
      </c>
      <c r="U445" s="128">
        <v>5542.5064699205441</v>
      </c>
      <c r="V445" s="257">
        <f t="shared" si="79"/>
        <v>2515.1864547862274</v>
      </c>
      <c r="W445" s="257">
        <f t="shared" si="90"/>
        <v>85213.180607264454</v>
      </c>
      <c r="X445" s="257">
        <v>0</v>
      </c>
      <c r="Y445" s="258">
        <v>0</v>
      </c>
      <c r="Z445" s="258">
        <v>0</v>
      </c>
      <c r="AA445" s="258">
        <v>0</v>
      </c>
      <c r="AB445" s="258">
        <v>0</v>
      </c>
      <c r="AC445" s="258">
        <v>0</v>
      </c>
      <c r="AD445" s="258">
        <v>0</v>
      </c>
      <c r="AE445" s="258">
        <v>0</v>
      </c>
      <c r="AF445" s="257">
        <v>0</v>
      </c>
      <c r="AG445" s="258">
        <v>0</v>
      </c>
      <c r="AH445" s="257">
        <v>0</v>
      </c>
      <c r="AI445" s="258">
        <v>2886.45</v>
      </c>
      <c r="AJ445" s="257">
        <f>7802.61*AI445/I445</f>
        <v>85213.180607264454</v>
      </c>
      <c r="AK445" s="258">
        <v>0</v>
      </c>
      <c r="AL445" s="258">
        <v>0</v>
      </c>
      <c r="AM445" s="258">
        <v>0</v>
      </c>
      <c r="AN445" s="258"/>
      <c r="AO445" s="258">
        <v>0</v>
      </c>
    </row>
    <row r="446" spans="1:41" s="259" customFormat="1" ht="36" customHeight="1" x14ac:dyDescent="0.25">
      <c r="A446" s="259">
        <v>1</v>
      </c>
      <c r="B446" s="135">
        <f>SUBTOTAL(103,$A$16:A446)</f>
        <v>391</v>
      </c>
      <c r="C446" s="94" t="s">
        <v>1253</v>
      </c>
      <c r="D446" s="124">
        <v>1957</v>
      </c>
      <c r="E446" s="124"/>
      <c r="F446" s="129" t="s">
        <v>332</v>
      </c>
      <c r="G446" s="124">
        <v>2</v>
      </c>
      <c r="H446" s="124" t="s">
        <v>305</v>
      </c>
      <c r="I446" s="128">
        <v>276.5</v>
      </c>
      <c r="J446" s="128">
        <v>234.3</v>
      </c>
      <c r="K446" s="128">
        <v>234.3</v>
      </c>
      <c r="L446" s="126">
        <v>12</v>
      </c>
      <c r="M446" s="124" t="s">
        <v>267</v>
      </c>
      <c r="N446" s="124" t="s">
        <v>268</v>
      </c>
      <c r="O446" s="127" t="s">
        <v>270</v>
      </c>
      <c r="P446" s="128">
        <v>1220568.99</v>
      </c>
      <c r="Q446" s="128">
        <v>0</v>
      </c>
      <c r="R446" s="128">
        <v>0</v>
      </c>
      <c r="S446" s="128">
        <f t="shared" ref="S446" si="92">P446-Q446-R446</f>
        <v>1220568.99</v>
      </c>
      <c r="T446" s="128">
        <f t="shared" si="72"/>
        <v>4414.354394213382</v>
      </c>
      <c r="U446" s="128">
        <v>7866.7834264014464</v>
      </c>
      <c r="V446" s="257">
        <f t="shared" ref="V446" si="93">U446-T446</f>
        <v>3452.4290321880644</v>
      </c>
      <c r="W446" s="257">
        <f t="shared" ref="W446" si="94">X446+Y446+Z446+AA446+AB446+AD446+AF446+AH446+AJ446+AL446+AN446+AO446</f>
        <v>5279.9455334538879</v>
      </c>
      <c r="X446" s="257">
        <v>0</v>
      </c>
      <c r="Y446" s="258">
        <v>0</v>
      </c>
      <c r="Z446" s="258">
        <v>0</v>
      </c>
      <c r="AA446" s="258">
        <v>0</v>
      </c>
      <c r="AB446" s="258">
        <v>0</v>
      </c>
      <c r="AC446" s="258">
        <v>0</v>
      </c>
      <c r="AD446" s="258">
        <v>0</v>
      </c>
      <c r="AE446" s="258">
        <v>234</v>
      </c>
      <c r="AF446" s="257">
        <f>6238.91*AE446/I446</f>
        <v>5279.9455334538879</v>
      </c>
      <c r="AG446" s="258">
        <v>0</v>
      </c>
      <c r="AH446" s="257">
        <v>0</v>
      </c>
      <c r="AI446" s="258">
        <v>0</v>
      </c>
      <c r="AJ446" s="257">
        <v>0</v>
      </c>
      <c r="AK446" s="258">
        <v>0</v>
      </c>
      <c r="AL446" s="258">
        <v>0</v>
      </c>
      <c r="AM446" s="258">
        <v>0</v>
      </c>
      <c r="AN446" s="258"/>
      <c r="AO446" s="258">
        <v>0</v>
      </c>
    </row>
    <row r="447" spans="1:41" s="259" customFormat="1" ht="36" customHeight="1" x14ac:dyDescent="0.25">
      <c r="A447" s="259">
        <v>1</v>
      </c>
      <c r="B447" s="135">
        <f>SUBTOTAL(103,$A$16:A447)</f>
        <v>392</v>
      </c>
      <c r="C447" s="94" t="s">
        <v>58</v>
      </c>
      <c r="D447" s="124">
        <v>1970</v>
      </c>
      <c r="E447" s="124"/>
      <c r="F447" s="129" t="s">
        <v>269</v>
      </c>
      <c r="G447" s="124">
        <v>2</v>
      </c>
      <c r="H447" s="124" t="s">
        <v>305</v>
      </c>
      <c r="I447" s="128">
        <v>726.6</v>
      </c>
      <c r="J447" s="128">
        <v>482.19</v>
      </c>
      <c r="K447" s="128">
        <v>482.19</v>
      </c>
      <c r="L447" s="126">
        <v>33</v>
      </c>
      <c r="M447" s="124" t="s">
        <v>267</v>
      </c>
      <c r="N447" s="124" t="s">
        <v>268</v>
      </c>
      <c r="O447" s="127" t="s">
        <v>270</v>
      </c>
      <c r="P447" s="128">
        <v>87656.1</v>
      </c>
      <c r="Q447" s="128">
        <v>0</v>
      </c>
      <c r="R447" s="128">
        <v>0</v>
      </c>
      <c r="S447" s="128">
        <f t="shared" si="89"/>
        <v>87656.1</v>
      </c>
      <c r="T447" s="128">
        <f t="shared" si="72"/>
        <v>120.63872832369943</v>
      </c>
      <c r="U447" s="128">
        <v>120.63872832369943</v>
      </c>
      <c r="V447" s="257">
        <f t="shared" si="79"/>
        <v>0</v>
      </c>
      <c r="W447" s="257">
        <f t="shared" si="90"/>
        <v>2009.227828241123</v>
      </c>
      <c r="X447" s="257">
        <v>0</v>
      </c>
      <c r="Y447" s="258">
        <v>0</v>
      </c>
      <c r="Z447" s="258">
        <v>0</v>
      </c>
      <c r="AA447" s="258">
        <v>0</v>
      </c>
      <c r="AB447" s="258">
        <v>0</v>
      </c>
      <c r="AC447" s="258">
        <v>0</v>
      </c>
      <c r="AD447" s="258">
        <v>0</v>
      </c>
      <c r="AE447" s="258">
        <v>234</v>
      </c>
      <c r="AF447" s="257">
        <f>6238.91*AE447/I447</f>
        <v>2009.227828241123</v>
      </c>
      <c r="AG447" s="258">
        <v>0</v>
      </c>
      <c r="AH447" s="257">
        <v>0</v>
      </c>
      <c r="AI447" s="258">
        <v>0</v>
      </c>
      <c r="AJ447" s="257">
        <v>0</v>
      </c>
      <c r="AK447" s="258">
        <v>0</v>
      </c>
      <c r="AL447" s="258">
        <v>0</v>
      </c>
      <c r="AM447" s="258">
        <v>0</v>
      </c>
      <c r="AN447" s="258"/>
      <c r="AO447" s="258">
        <v>0</v>
      </c>
    </row>
    <row r="448" spans="1:41" s="259" customFormat="1" ht="36" customHeight="1" x14ac:dyDescent="0.25">
      <c r="A448" s="259">
        <v>1</v>
      </c>
      <c r="B448" s="135">
        <f>SUBTOTAL(103,$A$16:A448)</f>
        <v>393</v>
      </c>
      <c r="C448" s="94" t="s">
        <v>59</v>
      </c>
      <c r="D448" s="124">
        <v>1973</v>
      </c>
      <c r="E448" s="124"/>
      <c r="F448" s="129" t="s">
        <v>269</v>
      </c>
      <c r="G448" s="124">
        <v>2</v>
      </c>
      <c r="H448" s="124" t="s">
        <v>305</v>
      </c>
      <c r="I448" s="128">
        <v>701.7</v>
      </c>
      <c r="J448" s="128">
        <v>482.5</v>
      </c>
      <c r="K448" s="128">
        <v>482.5</v>
      </c>
      <c r="L448" s="126">
        <v>31</v>
      </c>
      <c r="M448" s="124" t="s">
        <v>267</v>
      </c>
      <c r="N448" s="124" t="s">
        <v>268</v>
      </c>
      <c r="O448" s="127" t="s">
        <v>270</v>
      </c>
      <c r="P448" s="128">
        <v>87189.55</v>
      </c>
      <c r="Q448" s="128">
        <v>0</v>
      </c>
      <c r="R448" s="128">
        <v>0</v>
      </c>
      <c r="S448" s="128">
        <f t="shared" si="89"/>
        <v>87189.55</v>
      </c>
      <c r="T448" s="128">
        <f t="shared" si="72"/>
        <v>124.25473849223314</v>
      </c>
      <c r="U448" s="128">
        <v>124.25473849223314</v>
      </c>
      <c r="V448" s="257">
        <f t="shared" si="79"/>
        <v>0</v>
      </c>
      <c r="W448" s="257">
        <f t="shared" si="90"/>
        <v>3089.3140495938433</v>
      </c>
      <c r="X448" s="257">
        <v>0</v>
      </c>
      <c r="Y448" s="258">
        <v>0</v>
      </c>
      <c r="Z448" s="258">
        <v>0</v>
      </c>
      <c r="AA448" s="258">
        <v>0</v>
      </c>
      <c r="AB448" s="258">
        <v>0</v>
      </c>
      <c r="AC448" s="258">
        <v>0</v>
      </c>
      <c r="AD448" s="258">
        <v>0</v>
      </c>
      <c r="AE448" s="258">
        <v>347.46</v>
      </c>
      <c r="AF448" s="257">
        <f>6238.91*AE448/I448</f>
        <v>3089.3140495938433</v>
      </c>
      <c r="AG448" s="258">
        <v>0</v>
      </c>
      <c r="AH448" s="257">
        <v>0</v>
      </c>
      <c r="AI448" s="258">
        <v>0</v>
      </c>
      <c r="AJ448" s="257">
        <v>0</v>
      </c>
      <c r="AK448" s="258">
        <v>0</v>
      </c>
      <c r="AL448" s="258">
        <v>0</v>
      </c>
      <c r="AM448" s="258">
        <v>0</v>
      </c>
      <c r="AN448" s="258"/>
      <c r="AO448" s="258">
        <v>0</v>
      </c>
    </row>
    <row r="449" spans="1:41" s="259" customFormat="1" ht="36" customHeight="1" x14ac:dyDescent="0.25">
      <c r="B449" s="94" t="s">
        <v>889</v>
      </c>
      <c r="C449" s="94"/>
      <c r="D449" s="124" t="s">
        <v>896</v>
      </c>
      <c r="E449" s="124" t="s">
        <v>896</v>
      </c>
      <c r="F449" s="124" t="s">
        <v>896</v>
      </c>
      <c r="G449" s="124" t="s">
        <v>896</v>
      </c>
      <c r="H449" s="124" t="s">
        <v>896</v>
      </c>
      <c r="I449" s="128">
        <f>I450</f>
        <v>878.6</v>
      </c>
      <c r="J449" s="128">
        <f t="shared" ref="J449:L449" si="95">J450</f>
        <v>878.6</v>
      </c>
      <c r="K449" s="128">
        <f t="shared" si="95"/>
        <v>878.6</v>
      </c>
      <c r="L449" s="133">
        <f t="shared" si="95"/>
        <v>55</v>
      </c>
      <c r="M449" s="124" t="s">
        <v>896</v>
      </c>
      <c r="N449" s="124" t="s">
        <v>896</v>
      </c>
      <c r="O449" s="127" t="s">
        <v>896</v>
      </c>
      <c r="P449" s="128">
        <v>3623254.4499999997</v>
      </c>
      <c r="Q449" s="128">
        <f>Q450</f>
        <v>0</v>
      </c>
      <c r="R449" s="128">
        <f>R450</f>
        <v>0</v>
      </c>
      <c r="S449" s="128">
        <f>S450</f>
        <v>3623254.4499999997</v>
      </c>
      <c r="T449" s="128">
        <f t="shared" si="72"/>
        <v>4123.8953448668335</v>
      </c>
      <c r="U449" s="128">
        <f>U450</f>
        <v>5965.9197439107666</v>
      </c>
      <c r="V449" s="257">
        <f t="shared" si="79"/>
        <v>1842.024399043933</v>
      </c>
      <c r="W449" s="257"/>
      <c r="X449" s="257"/>
      <c r="Y449" s="258"/>
      <c r="Z449" s="258"/>
      <c r="AA449" s="258"/>
      <c r="AB449" s="258"/>
      <c r="AC449" s="258"/>
      <c r="AD449" s="258"/>
      <c r="AE449" s="258"/>
      <c r="AF449" s="258"/>
      <c r="AG449" s="258"/>
      <c r="AH449" s="258"/>
      <c r="AI449" s="258"/>
      <c r="AJ449" s="258"/>
      <c r="AK449" s="258"/>
      <c r="AL449" s="258"/>
      <c r="AM449" s="258"/>
      <c r="AN449" s="258"/>
      <c r="AO449" s="258"/>
    </row>
    <row r="450" spans="1:41" s="259" customFormat="1" ht="36" customHeight="1" x14ac:dyDescent="0.25">
      <c r="A450" s="259">
        <v>1</v>
      </c>
      <c r="B450" s="135">
        <f>SUBTOTAL(103,$A$16:A450)</f>
        <v>394</v>
      </c>
      <c r="C450" s="94" t="s">
        <v>1562</v>
      </c>
      <c r="D450" s="124">
        <v>1979</v>
      </c>
      <c r="E450" s="124"/>
      <c r="F450" s="129" t="s">
        <v>269</v>
      </c>
      <c r="G450" s="124">
        <v>2</v>
      </c>
      <c r="H450" s="124" t="s">
        <v>314</v>
      </c>
      <c r="I450" s="128">
        <v>878.6</v>
      </c>
      <c r="J450" s="128">
        <v>878.6</v>
      </c>
      <c r="K450" s="128">
        <v>878.6</v>
      </c>
      <c r="L450" s="126">
        <v>55</v>
      </c>
      <c r="M450" s="124" t="s">
        <v>267</v>
      </c>
      <c r="N450" s="124" t="s">
        <v>268</v>
      </c>
      <c r="O450" s="127" t="s">
        <v>270</v>
      </c>
      <c r="P450" s="128">
        <v>3623254.4499999997</v>
      </c>
      <c r="Q450" s="128">
        <v>0</v>
      </c>
      <c r="R450" s="128">
        <v>0</v>
      </c>
      <c r="S450" s="128">
        <f>P450-R450-Q450</f>
        <v>3623254.4499999997</v>
      </c>
      <c r="T450" s="128">
        <f t="shared" si="72"/>
        <v>4123.8953448668335</v>
      </c>
      <c r="U450" s="128">
        <v>5965.9197439107666</v>
      </c>
      <c r="V450" s="257">
        <f>U450-T450</f>
        <v>1842.024399043933</v>
      </c>
      <c r="W450" s="257">
        <f>X450+Y450+Z450+AA450+AB450+AD450+AF450+AH450+AJ450+AL450+AN450+AO450</f>
        <v>5945.6400443887997</v>
      </c>
      <c r="X450" s="257">
        <v>0</v>
      </c>
      <c r="Y450" s="258">
        <v>0</v>
      </c>
      <c r="Z450" s="258">
        <v>0</v>
      </c>
      <c r="AA450" s="258">
        <v>0</v>
      </c>
      <c r="AB450" s="258">
        <v>0</v>
      </c>
      <c r="AC450" s="258">
        <v>0</v>
      </c>
      <c r="AD450" s="258">
        <v>0</v>
      </c>
      <c r="AE450" s="258">
        <v>837.3</v>
      </c>
      <c r="AF450" s="257">
        <f>6238.91*AE450/I450</f>
        <v>5945.6400443887997</v>
      </c>
      <c r="AG450" s="258">
        <v>0</v>
      </c>
      <c r="AH450" s="257">
        <v>0</v>
      </c>
      <c r="AI450" s="258">
        <v>0</v>
      </c>
      <c r="AJ450" s="257">
        <v>0</v>
      </c>
      <c r="AK450" s="258">
        <v>0</v>
      </c>
      <c r="AL450" s="258">
        <v>0</v>
      </c>
      <c r="AM450" s="258">
        <v>0</v>
      </c>
      <c r="AN450" s="258"/>
      <c r="AO450" s="258">
        <v>0</v>
      </c>
    </row>
    <row r="451" spans="1:41" s="259" customFormat="1" ht="36" customHeight="1" x14ac:dyDescent="0.25">
      <c r="B451" s="94" t="s">
        <v>853</v>
      </c>
      <c r="C451" s="261"/>
      <c r="D451" s="124" t="s">
        <v>757</v>
      </c>
      <c r="E451" s="124" t="s">
        <v>757</v>
      </c>
      <c r="F451" s="124" t="s">
        <v>757</v>
      </c>
      <c r="G451" s="124" t="s">
        <v>757</v>
      </c>
      <c r="H451" s="124" t="s">
        <v>757</v>
      </c>
      <c r="I451" s="128">
        <f>I452</f>
        <v>940.6</v>
      </c>
      <c r="J451" s="128">
        <f t="shared" ref="J451" si="96">J452</f>
        <v>853.9</v>
      </c>
      <c r="K451" s="128">
        <f t="shared" ref="K451" si="97">K452</f>
        <v>853.9</v>
      </c>
      <c r="L451" s="133">
        <f t="shared" ref="L451" si="98">L452</f>
        <v>33</v>
      </c>
      <c r="M451" s="124" t="s">
        <v>757</v>
      </c>
      <c r="N451" s="124" t="s">
        <v>757</v>
      </c>
      <c r="O451" s="127" t="s">
        <v>757</v>
      </c>
      <c r="P451" s="128">
        <v>3515825.94</v>
      </c>
      <c r="Q451" s="128">
        <f>Q452</f>
        <v>0</v>
      </c>
      <c r="R451" s="128">
        <f>R452</f>
        <v>0</v>
      </c>
      <c r="S451" s="128">
        <f>S452</f>
        <v>3515825.94</v>
      </c>
      <c r="T451" s="128">
        <f t="shared" si="72"/>
        <v>3737.8544971294918</v>
      </c>
      <c r="U451" s="128">
        <f>U452</f>
        <v>5367.1512011482027</v>
      </c>
      <c r="V451" s="257">
        <f t="shared" si="79"/>
        <v>1629.2967040187109</v>
      </c>
      <c r="W451" s="257"/>
      <c r="X451" s="257"/>
      <c r="Y451" s="258"/>
      <c r="Z451" s="258"/>
      <c r="AA451" s="258"/>
      <c r="AB451" s="258"/>
      <c r="AC451" s="258"/>
      <c r="AD451" s="258"/>
      <c r="AE451" s="258"/>
      <c r="AF451" s="258"/>
      <c r="AG451" s="258"/>
      <c r="AH451" s="258"/>
      <c r="AI451" s="258"/>
      <c r="AJ451" s="258"/>
      <c r="AK451" s="258"/>
      <c r="AL451" s="258"/>
      <c r="AM451" s="258"/>
      <c r="AN451" s="258"/>
      <c r="AO451" s="258"/>
    </row>
    <row r="452" spans="1:41" s="259" customFormat="1" ht="36" customHeight="1" x14ac:dyDescent="0.25">
      <c r="A452" s="259">
        <v>1</v>
      </c>
      <c r="B452" s="135">
        <f>SUBTOTAL(103,$A$16:A452)</f>
        <v>395</v>
      </c>
      <c r="C452" s="94" t="s">
        <v>228</v>
      </c>
      <c r="D452" s="124">
        <v>1995</v>
      </c>
      <c r="E452" s="124"/>
      <c r="F452" s="129" t="s">
        <v>269</v>
      </c>
      <c r="G452" s="124">
        <v>2</v>
      </c>
      <c r="H452" s="124" t="s">
        <v>314</v>
      </c>
      <c r="I452" s="128">
        <v>940.6</v>
      </c>
      <c r="J452" s="128">
        <v>853.9</v>
      </c>
      <c r="K452" s="128">
        <v>853.9</v>
      </c>
      <c r="L452" s="126">
        <v>33</v>
      </c>
      <c r="M452" s="124" t="s">
        <v>267</v>
      </c>
      <c r="N452" s="124" t="s">
        <v>271</v>
      </c>
      <c r="O452" s="127" t="s">
        <v>707</v>
      </c>
      <c r="P452" s="128">
        <v>3515825.94</v>
      </c>
      <c r="Q452" s="128">
        <v>0</v>
      </c>
      <c r="R452" s="128">
        <v>0</v>
      </c>
      <c r="S452" s="128">
        <f>P452-Q452-R452</f>
        <v>3515825.94</v>
      </c>
      <c r="T452" s="128">
        <f t="shared" si="72"/>
        <v>3737.8544971294918</v>
      </c>
      <c r="U452" s="128">
        <v>5367.1512011482027</v>
      </c>
      <c r="V452" s="257">
        <f>U452-T452</f>
        <v>1629.2967040187109</v>
      </c>
      <c r="W452" s="257">
        <f>X452+Y452+Z452+AA452+AB452+AD452+AF452+AH452+AJ452+AL452+AN452+AO452</f>
        <v>5348.9068702955556</v>
      </c>
      <c r="X452" s="257">
        <v>0</v>
      </c>
      <c r="Y452" s="258">
        <v>0</v>
      </c>
      <c r="Z452" s="258">
        <v>0</v>
      </c>
      <c r="AA452" s="258">
        <v>0</v>
      </c>
      <c r="AB452" s="258">
        <v>0</v>
      </c>
      <c r="AC452" s="258">
        <v>0</v>
      </c>
      <c r="AD452" s="258">
        <v>0</v>
      </c>
      <c r="AE452" s="258">
        <v>806.42</v>
      </c>
      <c r="AF452" s="257">
        <f>6238.91*AE452/I452</f>
        <v>5348.9068702955556</v>
      </c>
      <c r="AG452" s="258">
        <v>0</v>
      </c>
      <c r="AH452" s="257">
        <v>0</v>
      </c>
      <c r="AI452" s="258">
        <v>0</v>
      </c>
      <c r="AJ452" s="257">
        <v>0</v>
      </c>
      <c r="AK452" s="258">
        <v>0</v>
      </c>
      <c r="AL452" s="258">
        <v>0</v>
      </c>
      <c r="AM452" s="258">
        <v>0</v>
      </c>
      <c r="AN452" s="258"/>
      <c r="AO452" s="258">
        <v>0</v>
      </c>
    </row>
    <row r="453" spans="1:41" s="259" customFormat="1" ht="36" customHeight="1" x14ac:dyDescent="0.25">
      <c r="B453" s="94" t="s">
        <v>854</v>
      </c>
      <c r="C453" s="94"/>
      <c r="D453" s="124" t="s">
        <v>757</v>
      </c>
      <c r="E453" s="124" t="s">
        <v>757</v>
      </c>
      <c r="F453" s="124" t="s">
        <v>757</v>
      </c>
      <c r="G453" s="124" t="s">
        <v>757</v>
      </c>
      <c r="H453" s="124" t="s">
        <v>757</v>
      </c>
      <c r="I453" s="128">
        <f>I454</f>
        <v>340.3</v>
      </c>
      <c r="J453" s="128">
        <f t="shared" ref="J453" si="99">J454</f>
        <v>309.10000000000002</v>
      </c>
      <c r="K453" s="128">
        <f t="shared" ref="K453" si="100">K454</f>
        <v>309.10000000000002</v>
      </c>
      <c r="L453" s="133">
        <f t="shared" ref="L453" si="101">L454</f>
        <v>19</v>
      </c>
      <c r="M453" s="124" t="s">
        <v>757</v>
      </c>
      <c r="N453" s="124" t="s">
        <v>757</v>
      </c>
      <c r="O453" s="127" t="s">
        <v>757</v>
      </c>
      <c r="P453" s="128">
        <v>1371104.41</v>
      </c>
      <c r="Q453" s="128">
        <f>Q454</f>
        <v>0</v>
      </c>
      <c r="R453" s="128">
        <f>R454</f>
        <v>0</v>
      </c>
      <c r="S453" s="128">
        <f>S454</f>
        <v>1371104.41</v>
      </c>
      <c r="T453" s="128">
        <f t="shared" si="72"/>
        <v>4029.1049368204522</v>
      </c>
      <c r="U453" s="128">
        <f>U454</f>
        <v>5555.6196885101372</v>
      </c>
      <c r="V453" s="257">
        <f t="shared" si="79"/>
        <v>1526.514751689685</v>
      </c>
      <c r="W453" s="257"/>
      <c r="X453" s="257"/>
      <c r="Y453" s="258"/>
      <c r="Z453" s="258"/>
      <c r="AA453" s="258"/>
      <c r="AB453" s="258"/>
      <c r="AC453" s="258"/>
      <c r="AD453" s="258"/>
      <c r="AE453" s="258"/>
      <c r="AF453" s="258"/>
      <c r="AG453" s="258"/>
      <c r="AH453" s="258"/>
      <c r="AI453" s="258"/>
      <c r="AJ453" s="258"/>
      <c r="AK453" s="258"/>
      <c r="AL453" s="258"/>
      <c r="AM453" s="258"/>
      <c r="AN453" s="258"/>
      <c r="AO453" s="258"/>
    </row>
    <row r="454" spans="1:41" s="259" customFormat="1" ht="36" customHeight="1" x14ac:dyDescent="0.25">
      <c r="A454" s="259">
        <v>1</v>
      </c>
      <c r="B454" s="135">
        <f>SUBTOTAL(103,$A$16:A454)</f>
        <v>396</v>
      </c>
      <c r="C454" s="94" t="s">
        <v>231</v>
      </c>
      <c r="D454" s="124">
        <v>1981</v>
      </c>
      <c r="E454" s="124"/>
      <c r="F454" s="129" t="s">
        <v>269</v>
      </c>
      <c r="G454" s="124">
        <v>2</v>
      </c>
      <c r="H454" s="124" t="s">
        <v>306</v>
      </c>
      <c r="I454" s="128">
        <v>340.3</v>
      </c>
      <c r="J454" s="128">
        <v>309.10000000000002</v>
      </c>
      <c r="K454" s="128">
        <v>309.10000000000002</v>
      </c>
      <c r="L454" s="126">
        <v>19</v>
      </c>
      <c r="M454" s="124" t="s">
        <v>267</v>
      </c>
      <c r="N454" s="124" t="s">
        <v>271</v>
      </c>
      <c r="O454" s="127" t="s">
        <v>707</v>
      </c>
      <c r="P454" s="128">
        <v>1371104.41</v>
      </c>
      <c r="Q454" s="128">
        <v>0</v>
      </c>
      <c r="R454" s="128">
        <v>0</v>
      </c>
      <c r="S454" s="128">
        <f>P454-Q454-R454</f>
        <v>1371104.41</v>
      </c>
      <c r="T454" s="128">
        <f t="shared" si="72"/>
        <v>4029.1049368204522</v>
      </c>
      <c r="U454" s="128">
        <v>5555.6196885101372</v>
      </c>
      <c r="V454" s="257">
        <f>U454-T454</f>
        <v>1526.514751689685</v>
      </c>
      <c r="W454" s="257">
        <f>X454+Y454+Z454+AA454+AB454+AD454+AF454+AH454+AJ454+AL454+AN454+AO454</f>
        <v>5536.734704672348</v>
      </c>
      <c r="X454" s="257">
        <v>0</v>
      </c>
      <c r="Y454" s="258">
        <v>0</v>
      </c>
      <c r="Z454" s="258">
        <v>0</v>
      </c>
      <c r="AA454" s="258">
        <v>0</v>
      </c>
      <c r="AB454" s="258">
        <v>0</v>
      </c>
      <c r="AC454" s="258">
        <v>0</v>
      </c>
      <c r="AD454" s="258">
        <v>0</v>
      </c>
      <c r="AE454" s="258">
        <v>302</v>
      </c>
      <c r="AF454" s="257">
        <f>6238.91*AE454/I454</f>
        <v>5536.734704672348</v>
      </c>
      <c r="AG454" s="258">
        <v>0</v>
      </c>
      <c r="AH454" s="257">
        <v>0</v>
      </c>
      <c r="AI454" s="258">
        <v>0</v>
      </c>
      <c r="AJ454" s="257">
        <v>0</v>
      </c>
      <c r="AK454" s="258">
        <v>0</v>
      </c>
      <c r="AL454" s="258">
        <v>0</v>
      </c>
      <c r="AM454" s="258">
        <v>0</v>
      </c>
      <c r="AN454" s="258"/>
      <c r="AO454" s="258">
        <v>0</v>
      </c>
    </row>
    <row r="455" spans="1:41" s="259" customFormat="1" ht="36" customHeight="1" x14ac:dyDescent="0.25">
      <c r="B455" s="94" t="s">
        <v>1295</v>
      </c>
      <c r="C455" s="94"/>
      <c r="D455" s="124" t="s">
        <v>757</v>
      </c>
      <c r="E455" s="124" t="s">
        <v>757</v>
      </c>
      <c r="F455" s="124" t="s">
        <v>757</v>
      </c>
      <c r="G455" s="124" t="s">
        <v>757</v>
      </c>
      <c r="H455" s="124" t="s">
        <v>757</v>
      </c>
      <c r="I455" s="128">
        <f>I456</f>
        <v>953.9</v>
      </c>
      <c r="J455" s="128">
        <f t="shared" ref="J455" si="102">J456</f>
        <v>865.7</v>
      </c>
      <c r="K455" s="128">
        <f t="shared" ref="K455" si="103">K456</f>
        <v>865.7</v>
      </c>
      <c r="L455" s="133">
        <f t="shared" ref="L455" si="104">L456</f>
        <v>28</v>
      </c>
      <c r="M455" s="124" t="s">
        <v>757</v>
      </c>
      <c r="N455" s="124" t="s">
        <v>757</v>
      </c>
      <c r="O455" s="127" t="s">
        <v>757</v>
      </c>
      <c r="P455" s="128">
        <v>40161.910000000003</v>
      </c>
      <c r="Q455" s="128">
        <f>Q456</f>
        <v>0</v>
      </c>
      <c r="R455" s="128">
        <f>R456</f>
        <v>0</v>
      </c>
      <c r="S455" s="128">
        <f>S456</f>
        <v>40161.910000000003</v>
      </c>
      <c r="T455" s="128">
        <f t="shared" si="72"/>
        <v>42.102851451934171</v>
      </c>
      <c r="U455" s="128">
        <f>U456</f>
        <v>42.102851451934171</v>
      </c>
      <c r="V455" s="257">
        <f t="shared" si="79"/>
        <v>0</v>
      </c>
      <c r="W455" s="257"/>
      <c r="X455" s="257"/>
      <c r="Y455" s="258"/>
      <c r="Z455" s="258"/>
      <c r="AA455" s="258"/>
      <c r="AB455" s="258"/>
      <c r="AC455" s="258"/>
      <c r="AD455" s="258"/>
      <c r="AE455" s="258"/>
      <c r="AF455" s="258"/>
      <c r="AG455" s="258"/>
      <c r="AH455" s="258"/>
      <c r="AI455" s="258"/>
      <c r="AJ455" s="258"/>
      <c r="AK455" s="258"/>
      <c r="AL455" s="258"/>
      <c r="AM455" s="258"/>
      <c r="AN455" s="258"/>
      <c r="AO455" s="258"/>
    </row>
    <row r="456" spans="1:41" s="259" customFormat="1" ht="36" customHeight="1" x14ac:dyDescent="0.25">
      <c r="A456" s="259">
        <v>1</v>
      </c>
      <c r="B456" s="135">
        <f>SUBTOTAL(103,$A$16:A456)</f>
        <v>397</v>
      </c>
      <c r="C456" s="94" t="s">
        <v>1296</v>
      </c>
      <c r="D456" s="124">
        <v>1984</v>
      </c>
      <c r="E456" s="124"/>
      <c r="F456" s="129" t="s">
        <v>269</v>
      </c>
      <c r="G456" s="124">
        <v>2</v>
      </c>
      <c r="H456" s="124" t="s">
        <v>314</v>
      </c>
      <c r="I456" s="128">
        <v>953.9</v>
      </c>
      <c r="J456" s="128">
        <v>865.7</v>
      </c>
      <c r="K456" s="128">
        <v>865.7</v>
      </c>
      <c r="L456" s="126">
        <v>28</v>
      </c>
      <c r="M456" s="124" t="s">
        <v>267</v>
      </c>
      <c r="N456" s="124" t="s">
        <v>268</v>
      </c>
      <c r="O456" s="127" t="s">
        <v>270</v>
      </c>
      <c r="P456" s="128">
        <v>40161.910000000003</v>
      </c>
      <c r="Q456" s="128">
        <v>0</v>
      </c>
      <c r="R456" s="128">
        <v>0</v>
      </c>
      <c r="S456" s="128">
        <f>P456-Q456-R456</f>
        <v>40161.910000000003</v>
      </c>
      <c r="T456" s="128">
        <f t="shared" si="72"/>
        <v>42.102851451934171</v>
      </c>
      <c r="U456" s="128">
        <v>42.102851451934171</v>
      </c>
      <c r="V456" s="257">
        <f>U456-T456</f>
        <v>0</v>
      </c>
      <c r="W456" s="257">
        <f>T456</f>
        <v>42.102851451934171</v>
      </c>
      <c r="X456" s="257">
        <v>0</v>
      </c>
      <c r="Y456" s="258">
        <v>0</v>
      </c>
      <c r="Z456" s="258">
        <v>0</v>
      </c>
      <c r="AA456" s="258">
        <v>0</v>
      </c>
      <c r="AB456" s="258">
        <v>0</v>
      </c>
      <c r="AC456" s="258">
        <v>0</v>
      </c>
      <c r="AD456" s="258">
        <v>0</v>
      </c>
      <c r="AE456" s="258">
        <v>735</v>
      </c>
      <c r="AF456" s="257">
        <f>6436.53*AE456/I456</f>
        <v>4959.4816542614526</v>
      </c>
      <c r="AG456" s="258">
        <v>0</v>
      </c>
      <c r="AH456" s="257">
        <v>0</v>
      </c>
      <c r="AI456" s="258">
        <v>0</v>
      </c>
      <c r="AJ456" s="257">
        <v>0</v>
      </c>
      <c r="AK456" s="258">
        <v>0</v>
      </c>
      <c r="AL456" s="258">
        <v>0</v>
      </c>
      <c r="AM456" s="258">
        <v>0</v>
      </c>
      <c r="AN456" s="258"/>
      <c r="AO456" s="258">
        <v>0</v>
      </c>
    </row>
    <row r="457" spans="1:41" s="259" customFormat="1" ht="36" customHeight="1" x14ac:dyDescent="0.25">
      <c r="B457" s="94" t="s">
        <v>855</v>
      </c>
      <c r="C457" s="261"/>
      <c r="D457" s="124" t="s">
        <v>757</v>
      </c>
      <c r="E457" s="124" t="s">
        <v>757</v>
      </c>
      <c r="F457" s="124" t="s">
        <v>757</v>
      </c>
      <c r="G457" s="124" t="s">
        <v>757</v>
      </c>
      <c r="H457" s="124" t="s">
        <v>757</v>
      </c>
      <c r="I457" s="128">
        <f>I458</f>
        <v>1446.38</v>
      </c>
      <c r="J457" s="128">
        <f t="shared" ref="J457" si="105">J458</f>
        <v>996.18</v>
      </c>
      <c r="K457" s="128">
        <f t="shared" ref="K457" si="106">K458</f>
        <v>996.18</v>
      </c>
      <c r="L457" s="133">
        <f t="shared" ref="L457" si="107">L458</f>
        <v>78</v>
      </c>
      <c r="M457" s="124" t="s">
        <v>757</v>
      </c>
      <c r="N457" s="124" t="s">
        <v>757</v>
      </c>
      <c r="O457" s="127" t="s">
        <v>757</v>
      </c>
      <c r="P457" s="128">
        <v>127877.6</v>
      </c>
      <c r="Q457" s="128">
        <f>Q458</f>
        <v>0</v>
      </c>
      <c r="R457" s="128">
        <f>R458</f>
        <v>0</v>
      </c>
      <c r="S457" s="128">
        <f>S458</f>
        <v>127877.6</v>
      </c>
      <c r="T457" s="128">
        <f t="shared" si="72"/>
        <v>88.412173840899342</v>
      </c>
      <c r="U457" s="128">
        <f>MAX(U458)</f>
        <v>88.412173840899342</v>
      </c>
      <c r="V457" s="257">
        <f t="shared" si="79"/>
        <v>0</v>
      </c>
      <c r="W457" s="257"/>
      <c r="X457" s="257"/>
      <c r="Y457" s="258"/>
      <c r="Z457" s="258"/>
      <c r="AA457" s="258"/>
      <c r="AB457" s="258"/>
      <c r="AC457" s="258"/>
      <c r="AD457" s="258"/>
      <c r="AE457" s="258"/>
      <c r="AF457" s="258"/>
      <c r="AG457" s="258"/>
      <c r="AH457" s="258"/>
      <c r="AI457" s="258"/>
      <c r="AJ457" s="258"/>
      <c r="AK457" s="258"/>
      <c r="AL457" s="258"/>
      <c r="AM457" s="258"/>
      <c r="AN457" s="258"/>
      <c r="AO457" s="258"/>
    </row>
    <row r="458" spans="1:41" s="259" customFormat="1" ht="36" customHeight="1" x14ac:dyDescent="0.25">
      <c r="A458" s="259">
        <v>1</v>
      </c>
      <c r="B458" s="135">
        <f>SUBTOTAL(103,$A$16:A458)</f>
        <v>398</v>
      </c>
      <c r="C458" s="94" t="s">
        <v>140</v>
      </c>
      <c r="D458" s="124">
        <v>1969</v>
      </c>
      <c r="E458" s="124"/>
      <c r="F458" s="129" t="s">
        <v>269</v>
      </c>
      <c r="G458" s="124">
        <v>2</v>
      </c>
      <c r="H458" s="124" t="s">
        <v>306</v>
      </c>
      <c r="I458" s="128">
        <v>1446.38</v>
      </c>
      <c r="J458" s="128">
        <v>996.18</v>
      </c>
      <c r="K458" s="128">
        <v>996.18</v>
      </c>
      <c r="L458" s="126">
        <v>78</v>
      </c>
      <c r="M458" s="124" t="s">
        <v>267</v>
      </c>
      <c r="N458" s="124" t="s">
        <v>271</v>
      </c>
      <c r="O458" s="127" t="s">
        <v>999</v>
      </c>
      <c r="P458" s="128">
        <v>127877.6</v>
      </c>
      <c r="Q458" s="128">
        <v>0</v>
      </c>
      <c r="R458" s="128">
        <v>0</v>
      </c>
      <c r="S458" s="128">
        <f>P458-Q458-R458</f>
        <v>127877.6</v>
      </c>
      <c r="T458" s="128">
        <f t="shared" si="72"/>
        <v>88.412173840899342</v>
      </c>
      <c r="U458" s="128">
        <v>88.412173840899342</v>
      </c>
      <c r="V458" s="257">
        <f>U458-T458</f>
        <v>0</v>
      </c>
      <c r="W458" s="257">
        <f>X458+Y458+Z458+AA458+AB458+AD458+AF458+AH458+AJ458+AL458+AN458+AO458</f>
        <v>4227.1960342371985</v>
      </c>
      <c r="X458" s="257">
        <v>0</v>
      </c>
      <c r="Y458" s="258">
        <v>0</v>
      </c>
      <c r="Z458" s="258">
        <v>0</v>
      </c>
      <c r="AA458" s="258">
        <v>0</v>
      </c>
      <c r="AB458" s="258">
        <v>0</v>
      </c>
      <c r="AC458" s="258">
        <v>0</v>
      </c>
      <c r="AD458" s="258">
        <v>0</v>
      </c>
      <c r="AE458" s="258">
        <v>980</v>
      </c>
      <c r="AF458" s="257">
        <f>6238.91*AE458/I458</f>
        <v>4227.1960342371985</v>
      </c>
      <c r="AG458" s="258">
        <v>0</v>
      </c>
      <c r="AH458" s="257">
        <v>0</v>
      </c>
      <c r="AI458" s="258">
        <v>0</v>
      </c>
      <c r="AJ458" s="257">
        <v>0</v>
      </c>
      <c r="AK458" s="258">
        <v>0</v>
      </c>
      <c r="AL458" s="258">
        <v>0</v>
      </c>
      <c r="AM458" s="258">
        <v>0</v>
      </c>
      <c r="AN458" s="258"/>
      <c r="AO458" s="258">
        <v>0</v>
      </c>
    </row>
    <row r="459" spans="1:41" s="259" customFormat="1" ht="36" customHeight="1" x14ac:dyDescent="0.25">
      <c r="B459" s="94" t="s">
        <v>856</v>
      </c>
      <c r="C459" s="94"/>
      <c r="D459" s="124" t="s">
        <v>757</v>
      </c>
      <c r="E459" s="124" t="s">
        <v>757</v>
      </c>
      <c r="F459" s="124" t="s">
        <v>757</v>
      </c>
      <c r="G459" s="124" t="s">
        <v>757</v>
      </c>
      <c r="H459" s="124" t="s">
        <v>757</v>
      </c>
      <c r="I459" s="128">
        <f>I460</f>
        <v>676.3</v>
      </c>
      <c r="J459" s="128">
        <f t="shared" ref="J459" si="108">J460</f>
        <v>633.29999999999995</v>
      </c>
      <c r="K459" s="128">
        <f t="shared" ref="K459" si="109">K460</f>
        <v>633.29999999999995</v>
      </c>
      <c r="L459" s="133">
        <f t="shared" ref="L459" si="110">L460</f>
        <v>32</v>
      </c>
      <c r="M459" s="124" t="s">
        <v>757</v>
      </c>
      <c r="N459" s="124" t="s">
        <v>757</v>
      </c>
      <c r="O459" s="127" t="s">
        <v>757</v>
      </c>
      <c r="P459" s="128">
        <v>87573.72</v>
      </c>
      <c r="Q459" s="128">
        <f>Q460</f>
        <v>0</v>
      </c>
      <c r="R459" s="128">
        <f>R460</f>
        <v>0</v>
      </c>
      <c r="S459" s="128">
        <f>S460</f>
        <v>87573.72</v>
      </c>
      <c r="T459" s="128">
        <f t="shared" si="72"/>
        <v>129.48945734141654</v>
      </c>
      <c r="U459" s="128">
        <f>MAX(U460)</f>
        <v>129.48945734141654</v>
      </c>
      <c r="V459" s="257">
        <f t="shared" si="79"/>
        <v>0</v>
      </c>
      <c r="W459" s="257"/>
      <c r="X459" s="257"/>
      <c r="Y459" s="258"/>
      <c r="Z459" s="258"/>
      <c r="AA459" s="258"/>
      <c r="AB459" s="258"/>
      <c r="AC459" s="258"/>
      <c r="AD459" s="258"/>
      <c r="AE459" s="258"/>
      <c r="AF459" s="258"/>
      <c r="AG459" s="258"/>
      <c r="AH459" s="258"/>
      <c r="AI459" s="258"/>
      <c r="AJ459" s="258"/>
      <c r="AK459" s="258"/>
      <c r="AL459" s="258"/>
      <c r="AM459" s="258"/>
      <c r="AN459" s="258"/>
      <c r="AO459" s="258"/>
    </row>
    <row r="460" spans="1:41" s="259" customFormat="1" ht="36" customHeight="1" x14ac:dyDescent="0.25">
      <c r="A460" s="259">
        <v>1</v>
      </c>
      <c r="B460" s="135">
        <f>SUBTOTAL(103,$A$16:A460)</f>
        <v>399</v>
      </c>
      <c r="C460" s="94" t="s">
        <v>145</v>
      </c>
      <c r="D460" s="124">
        <v>1965</v>
      </c>
      <c r="E460" s="124"/>
      <c r="F460" s="129" t="s">
        <v>269</v>
      </c>
      <c r="G460" s="124">
        <v>2</v>
      </c>
      <c r="H460" s="124" t="s">
        <v>305</v>
      </c>
      <c r="I460" s="128">
        <v>676.3</v>
      </c>
      <c r="J460" s="128">
        <v>633.29999999999995</v>
      </c>
      <c r="K460" s="128">
        <v>633.29999999999995</v>
      </c>
      <c r="L460" s="126">
        <v>32</v>
      </c>
      <c r="M460" s="124" t="s">
        <v>267</v>
      </c>
      <c r="N460" s="124" t="s">
        <v>271</v>
      </c>
      <c r="O460" s="127" t="s">
        <v>290</v>
      </c>
      <c r="P460" s="128">
        <v>87573.72</v>
      </c>
      <c r="Q460" s="128">
        <v>0</v>
      </c>
      <c r="R460" s="128">
        <v>0</v>
      </c>
      <c r="S460" s="128">
        <f>P460-Q460-R460</f>
        <v>87573.72</v>
      </c>
      <c r="T460" s="128">
        <f t="shared" si="72"/>
        <v>129.48945734141654</v>
      </c>
      <c r="U460" s="128">
        <v>129.48945734141654</v>
      </c>
      <c r="V460" s="257">
        <f>U460-T460</f>
        <v>0</v>
      </c>
      <c r="W460" s="257">
        <f>X460+Y460+Z460+AA460+AB460+AD460+AF460+AH460+AJ460+AL460+AN460+AO460</f>
        <v>5803.4604739822853</v>
      </c>
      <c r="X460" s="257">
        <v>0</v>
      </c>
      <c r="Y460" s="258">
        <v>0</v>
      </c>
      <c r="Z460" s="258">
        <v>0</v>
      </c>
      <c r="AA460" s="258">
        <v>0</v>
      </c>
      <c r="AB460" s="258">
        <v>0</v>
      </c>
      <c r="AC460" s="258">
        <v>0</v>
      </c>
      <c r="AD460" s="258">
        <v>0</v>
      </c>
      <c r="AE460" s="258">
        <v>629.09712090000005</v>
      </c>
      <c r="AF460" s="257">
        <f>6238.91*AE460/I460</f>
        <v>5803.4604739822853</v>
      </c>
      <c r="AG460" s="258">
        <v>0</v>
      </c>
      <c r="AH460" s="257">
        <v>0</v>
      </c>
      <c r="AI460" s="258">
        <v>0</v>
      </c>
      <c r="AJ460" s="257">
        <v>0</v>
      </c>
      <c r="AK460" s="258">
        <v>0</v>
      </c>
      <c r="AL460" s="258">
        <v>0</v>
      </c>
      <c r="AM460" s="258">
        <v>0</v>
      </c>
      <c r="AN460" s="258"/>
      <c r="AO460" s="258">
        <v>0</v>
      </c>
    </row>
    <row r="461" spans="1:41" s="259" customFormat="1" ht="36" customHeight="1" x14ac:dyDescent="0.25">
      <c r="B461" s="94" t="s">
        <v>857</v>
      </c>
      <c r="C461" s="94"/>
      <c r="D461" s="124" t="s">
        <v>896</v>
      </c>
      <c r="E461" s="124" t="s">
        <v>896</v>
      </c>
      <c r="F461" s="124" t="s">
        <v>896</v>
      </c>
      <c r="G461" s="124" t="s">
        <v>896</v>
      </c>
      <c r="H461" s="124" t="s">
        <v>896</v>
      </c>
      <c r="I461" s="125">
        <f>SUM(I462:I466)</f>
        <v>3130</v>
      </c>
      <c r="J461" s="125">
        <f>SUM(J462:J466)</f>
        <v>2960</v>
      </c>
      <c r="K461" s="125">
        <f>SUM(K462:K466)</f>
        <v>2960</v>
      </c>
      <c r="L461" s="126">
        <f>SUM(L462:L466)</f>
        <v>140</v>
      </c>
      <c r="M461" s="124" t="s">
        <v>896</v>
      </c>
      <c r="N461" s="124" t="s">
        <v>896</v>
      </c>
      <c r="O461" s="127" t="s">
        <v>896</v>
      </c>
      <c r="P461" s="128">
        <v>4487931.54</v>
      </c>
      <c r="Q461" s="128">
        <f>SUM(Q462:Q466)</f>
        <v>0</v>
      </c>
      <c r="R461" s="128">
        <f>SUM(R462:R466)</f>
        <v>0</v>
      </c>
      <c r="S461" s="128">
        <f>SUM(S462:S466)</f>
        <v>4487931.54</v>
      </c>
      <c r="T461" s="128">
        <f t="shared" ref="T461:T524" si="111">P461/I461</f>
        <v>1433.8439424920127</v>
      </c>
      <c r="U461" s="128">
        <f>MAX(U462:U466)</f>
        <v>9525.555317439057</v>
      </c>
      <c r="V461" s="257">
        <f t="shared" si="79"/>
        <v>8091.7113749470445</v>
      </c>
      <c r="W461" s="257"/>
      <c r="X461" s="257"/>
      <c r="Y461" s="258"/>
      <c r="Z461" s="258"/>
      <c r="AA461" s="258"/>
      <c r="AB461" s="258"/>
      <c r="AC461" s="258"/>
      <c r="AD461" s="258"/>
      <c r="AE461" s="258"/>
      <c r="AF461" s="258"/>
      <c r="AG461" s="258"/>
      <c r="AH461" s="258"/>
      <c r="AI461" s="258"/>
      <c r="AJ461" s="258"/>
      <c r="AK461" s="258"/>
      <c r="AL461" s="258"/>
      <c r="AM461" s="258"/>
      <c r="AN461" s="258"/>
      <c r="AO461" s="258"/>
    </row>
    <row r="462" spans="1:41" s="259" customFormat="1" ht="36" customHeight="1" x14ac:dyDescent="0.25">
      <c r="A462" s="259">
        <v>1</v>
      </c>
      <c r="B462" s="135">
        <f>SUBTOTAL(103,$A$16:A462)</f>
        <v>400</v>
      </c>
      <c r="C462" s="94" t="s">
        <v>143</v>
      </c>
      <c r="D462" s="124">
        <v>1983</v>
      </c>
      <c r="E462" s="124"/>
      <c r="F462" s="129" t="s">
        <v>269</v>
      </c>
      <c r="G462" s="124">
        <v>3</v>
      </c>
      <c r="H462" s="124" t="s">
        <v>305</v>
      </c>
      <c r="I462" s="128">
        <v>1387.1</v>
      </c>
      <c r="J462" s="128">
        <v>1285.0999999999999</v>
      </c>
      <c r="K462" s="128">
        <v>1285.0999999999999</v>
      </c>
      <c r="L462" s="126">
        <v>58</v>
      </c>
      <c r="M462" s="124" t="s">
        <v>267</v>
      </c>
      <c r="N462" s="124" t="s">
        <v>271</v>
      </c>
      <c r="O462" s="127" t="s">
        <v>291</v>
      </c>
      <c r="P462" s="128">
        <v>141265.9</v>
      </c>
      <c r="Q462" s="128">
        <v>0</v>
      </c>
      <c r="R462" s="128">
        <v>0</v>
      </c>
      <c r="S462" s="128">
        <f>P462-Q462-R462</f>
        <v>141265.9</v>
      </c>
      <c r="T462" s="128">
        <f t="shared" si="111"/>
        <v>101.84262129622955</v>
      </c>
      <c r="U462" s="128">
        <v>101.84262129622955</v>
      </c>
      <c r="V462" s="257">
        <f t="shared" si="79"/>
        <v>0</v>
      </c>
      <c r="W462" s="257">
        <f>T462</f>
        <v>101.84262129622955</v>
      </c>
      <c r="X462" s="257">
        <v>0</v>
      </c>
      <c r="Y462" s="258">
        <v>0</v>
      </c>
      <c r="Z462" s="258">
        <v>0</v>
      </c>
      <c r="AA462" s="258">
        <v>0</v>
      </c>
      <c r="AB462" s="258">
        <v>0</v>
      </c>
      <c r="AC462" s="258">
        <v>0</v>
      </c>
      <c r="AD462" s="258">
        <v>0</v>
      </c>
      <c r="AE462" s="258">
        <v>0</v>
      </c>
      <c r="AF462" s="257">
        <v>0</v>
      </c>
      <c r="AG462" s="258">
        <v>0</v>
      </c>
      <c r="AH462" s="257">
        <v>0</v>
      </c>
      <c r="AI462" s="258">
        <v>0</v>
      </c>
      <c r="AJ462" s="257">
        <v>0</v>
      </c>
      <c r="AK462" s="258">
        <v>0</v>
      </c>
      <c r="AL462" s="258">
        <v>0</v>
      </c>
      <c r="AM462" s="258">
        <v>583.41</v>
      </c>
      <c r="AN462" s="258">
        <f>6984.52*AM462/I462</f>
        <v>2937.6676614519506</v>
      </c>
      <c r="AO462" s="258">
        <v>0</v>
      </c>
    </row>
    <row r="463" spans="1:41" s="259" customFormat="1" ht="36" customHeight="1" x14ac:dyDescent="0.25">
      <c r="A463" s="259">
        <v>1</v>
      </c>
      <c r="B463" s="135">
        <f>SUBTOTAL(103,$A$16:A463)</f>
        <v>401</v>
      </c>
      <c r="C463" s="94" t="s">
        <v>144</v>
      </c>
      <c r="D463" s="124">
        <v>1964</v>
      </c>
      <c r="E463" s="124"/>
      <c r="F463" s="129" t="s">
        <v>269</v>
      </c>
      <c r="G463" s="124">
        <v>2</v>
      </c>
      <c r="H463" s="124" t="s">
        <v>306</v>
      </c>
      <c r="I463" s="128">
        <v>337.2</v>
      </c>
      <c r="J463" s="128">
        <v>337.2</v>
      </c>
      <c r="K463" s="128">
        <v>337.2</v>
      </c>
      <c r="L463" s="126">
        <v>18</v>
      </c>
      <c r="M463" s="124" t="s">
        <v>267</v>
      </c>
      <c r="N463" s="124" t="s">
        <v>271</v>
      </c>
      <c r="O463" s="127" t="s">
        <v>291</v>
      </c>
      <c r="P463" s="128">
        <v>1216558.3500000001</v>
      </c>
      <c r="Q463" s="128">
        <v>0</v>
      </c>
      <c r="R463" s="128">
        <v>0</v>
      </c>
      <c r="S463" s="128">
        <f>P463-Q463-R463</f>
        <v>1216558.3500000001</v>
      </c>
      <c r="T463" s="128">
        <f t="shared" si="111"/>
        <v>3607.8242882562281</v>
      </c>
      <c r="U463" s="128">
        <v>5900.0248576512458</v>
      </c>
      <c r="V463" s="257">
        <f t="shared" si="79"/>
        <v>2292.2005693950177</v>
      </c>
      <c r="W463" s="257">
        <f t="shared" ref="W463:W466" si="112">X463+Y463+Z463+AA463+AB463+AD463+AF463+AH463+AJ463+AL463+AN463+AO463</f>
        <v>5879.9691518386717</v>
      </c>
      <c r="X463" s="257">
        <v>0</v>
      </c>
      <c r="Y463" s="258">
        <v>0</v>
      </c>
      <c r="Z463" s="258">
        <v>0</v>
      </c>
      <c r="AA463" s="258">
        <v>0</v>
      </c>
      <c r="AB463" s="258">
        <v>0</v>
      </c>
      <c r="AC463" s="258">
        <v>0</v>
      </c>
      <c r="AD463" s="258">
        <v>0</v>
      </c>
      <c r="AE463" s="258">
        <v>317.8</v>
      </c>
      <c r="AF463" s="257">
        <f>6238.91*AE463/I463</f>
        <v>5879.9691518386717</v>
      </c>
      <c r="AG463" s="258">
        <v>0</v>
      </c>
      <c r="AH463" s="257">
        <v>0</v>
      </c>
      <c r="AI463" s="258">
        <v>0</v>
      </c>
      <c r="AJ463" s="257">
        <v>0</v>
      </c>
      <c r="AK463" s="258">
        <v>0</v>
      </c>
      <c r="AL463" s="258">
        <v>0</v>
      </c>
      <c r="AM463" s="258">
        <v>0</v>
      </c>
      <c r="AN463" s="258"/>
      <c r="AO463" s="258">
        <v>0</v>
      </c>
    </row>
    <row r="464" spans="1:41" s="259" customFormat="1" ht="36" customHeight="1" x14ac:dyDescent="0.25">
      <c r="A464" s="259">
        <v>1</v>
      </c>
      <c r="B464" s="135">
        <f>SUBTOTAL(103,$A$16:A464)</f>
        <v>402</v>
      </c>
      <c r="C464" s="94" t="s">
        <v>1266</v>
      </c>
      <c r="D464" s="124">
        <v>1962</v>
      </c>
      <c r="E464" s="124"/>
      <c r="F464" s="129" t="s">
        <v>269</v>
      </c>
      <c r="G464" s="124">
        <v>2</v>
      </c>
      <c r="H464" s="124" t="s">
        <v>306</v>
      </c>
      <c r="I464" s="128">
        <v>373.3</v>
      </c>
      <c r="J464" s="128">
        <v>373.3</v>
      </c>
      <c r="K464" s="128">
        <v>373.3</v>
      </c>
      <c r="L464" s="126">
        <v>21</v>
      </c>
      <c r="M464" s="124" t="s">
        <v>267</v>
      </c>
      <c r="N464" s="124" t="s">
        <v>268</v>
      </c>
      <c r="O464" s="127" t="s">
        <v>270</v>
      </c>
      <c r="P464" s="128">
        <v>1592596.96</v>
      </c>
      <c r="Q464" s="128">
        <v>0</v>
      </c>
      <c r="R464" s="128">
        <v>0</v>
      </c>
      <c r="S464" s="128">
        <f>P464-Q464-R464</f>
        <v>1592596.96</v>
      </c>
      <c r="T464" s="128">
        <f t="shared" si="111"/>
        <v>4266.265630859898</v>
      </c>
      <c r="U464" s="128">
        <v>9525.555317439057</v>
      </c>
      <c r="V464" s="257">
        <f t="shared" si="79"/>
        <v>5259.289686579159</v>
      </c>
      <c r="W464" s="257">
        <f t="shared" si="112"/>
        <v>6309.1858023037767</v>
      </c>
      <c r="X464" s="257">
        <v>0</v>
      </c>
      <c r="Y464" s="258">
        <v>0</v>
      </c>
      <c r="Z464" s="258">
        <v>0</v>
      </c>
      <c r="AA464" s="258">
        <v>0</v>
      </c>
      <c r="AB464" s="258">
        <v>0</v>
      </c>
      <c r="AC464" s="258">
        <v>0</v>
      </c>
      <c r="AD464" s="258">
        <v>0</v>
      </c>
      <c r="AE464" s="258">
        <v>0</v>
      </c>
      <c r="AF464" s="257">
        <v>0</v>
      </c>
      <c r="AG464" s="258">
        <v>0</v>
      </c>
      <c r="AH464" s="257">
        <v>0</v>
      </c>
      <c r="AI464" s="258">
        <v>316.60000000000002</v>
      </c>
      <c r="AJ464" s="257">
        <f>7439.1*AI464/I464</f>
        <v>6309.1858023037767</v>
      </c>
      <c r="AK464" s="258">
        <v>0</v>
      </c>
      <c r="AL464" s="258">
        <v>0</v>
      </c>
      <c r="AM464" s="258">
        <v>0</v>
      </c>
      <c r="AN464" s="258"/>
      <c r="AO464" s="258">
        <v>0</v>
      </c>
    </row>
    <row r="465" spans="1:41" s="259" customFormat="1" ht="36" customHeight="1" x14ac:dyDescent="0.25">
      <c r="A465" s="259">
        <v>1</v>
      </c>
      <c r="B465" s="135">
        <f>SUBTOTAL(103,$A$16:A465)</f>
        <v>403</v>
      </c>
      <c r="C465" s="94" t="s">
        <v>1267</v>
      </c>
      <c r="D465" s="124">
        <v>1961</v>
      </c>
      <c r="E465" s="124"/>
      <c r="F465" s="129" t="s">
        <v>269</v>
      </c>
      <c r="G465" s="124">
        <v>2</v>
      </c>
      <c r="H465" s="124" t="s">
        <v>306</v>
      </c>
      <c r="I465" s="128">
        <v>230.2</v>
      </c>
      <c r="J465" s="128">
        <v>230.2</v>
      </c>
      <c r="K465" s="128">
        <v>230.2</v>
      </c>
      <c r="L465" s="126">
        <v>7</v>
      </c>
      <c r="M465" s="124" t="s">
        <v>267</v>
      </c>
      <c r="N465" s="124" t="s">
        <v>271</v>
      </c>
      <c r="O465" s="127" t="s">
        <v>291</v>
      </c>
      <c r="P465" s="128">
        <v>1450799.03</v>
      </c>
      <c r="Q465" s="128">
        <v>0</v>
      </c>
      <c r="R465" s="128">
        <v>0</v>
      </c>
      <c r="S465" s="128">
        <f>P465-Q465-R465</f>
        <v>1450799.03</v>
      </c>
      <c r="T465" s="128">
        <f t="shared" si="111"/>
        <v>6302.3415725456125</v>
      </c>
      <c r="U465" s="128">
        <v>6302.3415725456125</v>
      </c>
      <c r="V465" s="257">
        <f t="shared" si="79"/>
        <v>0</v>
      </c>
      <c r="W465" s="257">
        <f>T465</f>
        <v>6302.3415725456125</v>
      </c>
      <c r="X465" s="257">
        <v>0</v>
      </c>
      <c r="Y465" s="258">
        <v>0</v>
      </c>
      <c r="Z465" s="258">
        <v>0</v>
      </c>
      <c r="AA465" s="258">
        <v>0</v>
      </c>
      <c r="AB465" s="258">
        <v>0</v>
      </c>
      <c r="AC465" s="258">
        <v>0</v>
      </c>
      <c r="AD465" s="258">
        <v>0</v>
      </c>
      <c r="AE465" s="258">
        <v>189.8</v>
      </c>
      <c r="AF465" s="257">
        <f>6436.53*AE465/I465</f>
        <v>5306.9217810599484</v>
      </c>
      <c r="AG465" s="258">
        <v>0</v>
      </c>
      <c r="AH465" s="257">
        <v>0</v>
      </c>
      <c r="AI465" s="258">
        <v>0</v>
      </c>
      <c r="AJ465" s="257">
        <v>0</v>
      </c>
      <c r="AK465" s="258">
        <v>0</v>
      </c>
      <c r="AL465" s="258">
        <v>0</v>
      </c>
      <c r="AM465" s="258">
        <v>0</v>
      </c>
      <c r="AN465" s="258"/>
      <c r="AO465" s="258">
        <v>0</v>
      </c>
    </row>
    <row r="466" spans="1:41" s="259" customFormat="1" ht="36" customHeight="1" x14ac:dyDescent="0.25">
      <c r="A466" s="259">
        <v>1</v>
      </c>
      <c r="B466" s="135">
        <f>SUBTOTAL(103,$A$16:A466)</f>
        <v>404</v>
      </c>
      <c r="C466" s="94" t="s">
        <v>1302</v>
      </c>
      <c r="D466" s="124">
        <v>1974</v>
      </c>
      <c r="E466" s="124"/>
      <c r="F466" s="129" t="s">
        <v>269</v>
      </c>
      <c r="G466" s="124">
        <v>2</v>
      </c>
      <c r="H466" s="124" t="s">
        <v>305</v>
      </c>
      <c r="I466" s="128">
        <v>802.2</v>
      </c>
      <c r="J466" s="128">
        <v>734.2</v>
      </c>
      <c r="K466" s="128">
        <v>734.2</v>
      </c>
      <c r="L466" s="126">
        <v>36</v>
      </c>
      <c r="M466" s="124" t="s">
        <v>267</v>
      </c>
      <c r="N466" s="124" t="s">
        <v>268</v>
      </c>
      <c r="O466" s="127" t="s">
        <v>270</v>
      </c>
      <c r="P466" s="128">
        <v>86711.3</v>
      </c>
      <c r="Q466" s="128">
        <v>0</v>
      </c>
      <c r="R466" s="128">
        <v>0</v>
      </c>
      <c r="S466" s="128">
        <f>P466-Q466-R466</f>
        <v>86711.3</v>
      </c>
      <c r="T466" s="128">
        <f t="shared" si="111"/>
        <v>108.09187235103465</v>
      </c>
      <c r="U466" s="128">
        <v>108.09187235103465</v>
      </c>
      <c r="V466" s="257">
        <f t="shared" ref="V466" si="113">U466-T466</f>
        <v>0</v>
      </c>
      <c r="W466" s="257">
        <f t="shared" si="112"/>
        <v>4641.4628371977051</v>
      </c>
      <c r="X466" s="257">
        <v>0</v>
      </c>
      <c r="Y466" s="258">
        <v>0</v>
      </c>
      <c r="Z466" s="258">
        <v>0</v>
      </c>
      <c r="AA466" s="258">
        <v>0</v>
      </c>
      <c r="AB466" s="258">
        <v>0</v>
      </c>
      <c r="AC466" s="258">
        <v>0</v>
      </c>
      <c r="AD466" s="258">
        <v>0</v>
      </c>
      <c r="AE466" s="258">
        <v>596.79999999999995</v>
      </c>
      <c r="AF466" s="257">
        <f>6238.91*AE466/I466</f>
        <v>4641.4628371977051</v>
      </c>
      <c r="AG466" s="258">
        <v>0</v>
      </c>
      <c r="AH466" s="257">
        <v>0</v>
      </c>
      <c r="AI466" s="258">
        <v>0</v>
      </c>
      <c r="AJ466" s="257">
        <v>0</v>
      </c>
      <c r="AK466" s="258">
        <v>0</v>
      </c>
      <c r="AL466" s="258">
        <v>0</v>
      </c>
      <c r="AM466" s="258">
        <v>0</v>
      </c>
      <c r="AN466" s="258"/>
      <c r="AO466" s="258">
        <v>0</v>
      </c>
    </row>
    <row r="467" spans="1:41" s="259" customFormat="1" ht="36" customHeight="1" x14ac:dyDescent="0.25">
      <c r="B467" s="94" t="s">
        <v>858</v>
      </c>
      <c r="C467" s="94"/>
      <c r="D467" s="124" t="s">
        <v>896</v>
      </c>
      <c r="E467" s="124" t="s">
        <v>896</v>
      </c>
      <c r="F467" s="124" t="s">
        <v>896</v>
      </c>
      <c r="G467" s="124" t="s">
        <v>896</v>
      </c>
      <c r="H467" s="124" t="s">
        <v>896</v>
      </c>
      <c r="I467" s="125">
        <f>SUM(I468:I478)</f>
        <v>36117.07</v>
      </c>
      <c r="J467" s="125">
        <f>SUM(J468:J478)</f>
        <v>29322.149999999998</v>
      </c>
      <c r="K467" s="125">
        <f>SUM(K468:K478)</f>
        <v>29294.05</v>
      </c>
      <c r="L467" s="126">
        <f>SUM(L468:L478)</f>
        <v>1569</v>
      </c>
      <c r="M467" s="124" t="s">
        <v>896</v>
      </c>
      <c r="N467" s="124" t="s">
        <v>896</v>
      </c>
      <c r="O467" s="127" t="s">
        <v>896</v>
      </c>
      <c r="P467" s="125">
        <v>25070660.309999999</v>
      </c>
      <c r="Q467" s="125">
        <f>SUM(Q468:Q478)</f>
        <v>0</v>
      </c>
      <c r="R467" s="125">
        <f>SUM(R468:R478)</f>
        <v>0</v>
      </c>
      <c r="S467" s="125">
        <f>SUM(S468:S478)</f>
        <v>25070660.309999999</v>
      </c>
      <c r="T467" s="128">
        <f t="shared" si="111"/>
        <v>694.14989394211659</v>
      </c>
      <c r="U467" s="128">
        <f>MAX(U468:U478)</f>
        <v>4269.38</v>
      </c>
      <c r="V467" s="257">
        <f t="shared" ref="V467:V530" si="114">U467-T467</f>
        <v>3575.2301060578834</v>
      </c>
      <c r="W467" s="257"/>
      <c r="X467" s="257"/>
      <c r="Y467" s="258"/>
      <c r="Z467" s="258"/>
      <c r="AA467" s="258"/>
      <c r="AB467" s="258"/>
      <c r="AC467" s="258"/>
      <c r="AD467" s="258"/>
      <c r="AE467" s="258"/>
      <c r="AF467" s="258"/>
      <c r="AG467" s="258"/>
      <c r="AH467" s="258"/>
      <c r="AI467" s="258"/>
      <c r="AJ467" s="258"/>
      <c r="AK467" s="258"/>
      <c r="AL467" s="258"/>
      <c r="AM467" s="258"/>
      <c r="AN467" s="258"/>
      <c r="AO467" s="258"/>
    </row>
    <row r="468" spans="1:41" s="259" customFormat="1" ht="36" customHeight="1" x14ac:dyDescent="0.25">
      <c r="A468" s="259">
        <v>1</v>
      </c>
      <c r="B468" s="135">
        <f>SUBTOTAL(103,$A$16:A468)</f>
        <v>405</v>
      </c>
      <c r="C468" s="94" t="s">
        <v>146</v>
      </c>
      <c r="D468" s="124">
        <v>1976</v>
      </c>
      <c r="E468" s="124"/>
      <c r="F468" s="129" t="s">
        <v>289</v>
      </c>
      <c r="G468" s="124">
        <v>5</v>
      </c>
      <c r="H468" s="124" t="s">
        <v>2293</v>
      </c>
      <c r="I468" s="128">
        <v>6622.77</v>
      </c>
      <c r="J468" s="128">
        <v>6062.77</v>
      </c>
      <c r="K468" s="128">
        <v>6062.77</v>
      </c>
      <c r="L468" s="126">
        <v>252</v>
      </c>
      <c r="M468" s="124" t="s">
        <v>267</v>
      </c>
      <c r="N468" s="124" t="s">
        <v>271</v>
      </c>
      <c r="O468" s="127" t="s">
        <v>292</v>
      </c>
      <c r="P468" s="128">
        <v>4629120.46</v>
      </c>
      <c r="Q468" s="128">
        <v>0</v>
      </c>
      <c r="R468" s="128">
        <v>0</v>
      </c>
      <c r="S468" s="128">
        <f t="shared" ref="S468:S475" si="115">P468-Q468-R468</f>
        <v>4629120.46</v>
      </c>
      <c r="T468" s="128">
        <f t="shared" si="111"/>
        <v>698.97043986126641</v>
      </c>
      <c r="U468" s="128">
        <v>1454.592380469199</v>
      </c>
      <c r="V468" s="257">
        <f t="shared" si="114"/>
        <v>755.62194060793263</v>
      </c>
      <c r="W468" s="257">
        <f t="shared" ref="W468:W478" si="116">X468+Y468+Z468+AA468+AB468+AD468+AF468+AH468+AJ468+AL468+AN468+AO468</f>
        <v>1449.6478459013372</v>
      </c>
      <c r="X468" s="257">
        <v>0</v>
      </c>
      <c r="Y468" s="258">
        <v>0</v>
      </c>
      <c r="Z468" s="258">
        <v>0</v>
      </c>
      <c r="AA468" s="258">
        <v>0</v>
      </c>
      <c r="AB468" s="258">
        <v>0</v>
      </c>
      <c r="AC468" s="258">
        <v>0</v>
      </c>
      <c r="AD468" s="258">
        <v>0</v>
      </c>
      <c r="AE468" s="258">
        <v>1538.84</v>
      </c>
      <c r="AF468" s="257">
        <f>6238.91*AE468/I468</f>
        <v>1449.6478459013372</v>
      </c>
      <c r="AG468" s="258">
        <v>0</v>
      </c>
      <c r="AH468" s="257">
        <v>0</v>
      </c>
      <c r="AI468" s="258">
        <v>0</v>
      </c>
      <c r="AJ468" s="257">
        <v>0</v>
      </c>
      <c r="AK468" s="258">
        <v>0</v>
      </c>
      <c r="AL468" s="258">
        <v>0</v>
      </c>
      <c r="AM468" s="258">
        <v>0</v>
      </c>
      <c r="AN468" s="258"/>
      <c r="AO468" s="258">
        <v>0</v>
      </c>
    </row>
    <row r="469" spans="1:41" s="259" customFormat="1" ht="36" customHeight="1" x14ac:dyDescent="0.25">
      <c r="A469" s="259">
        <v>1</v>
      </c>
      <c r="B469" s="135">
        <f>SUBTOTAL(103,$A$16:A469)</f>
        <v>406</v>
      </c>
      <c r="C469" s="94" t="s">
        <v>141</v>
      </c>
      <c r="D469" s="124">
        <v>1969</v>
      </c>
      <c r="E469" s="124"/>
      <c r="F469" s="129" t="s">
        <v>289</v>
      </c>
      <c r="G469" s="124">
        <v>5</v>
      </c>
      <c r="H469" s="124" t="s">
        <v>353</v>
      </c>
      <c r="I469" s="128">
        <v>4894</v>
      </c>
      <c r="J469" s="128">
        <v>4495.3</v>
      </c>
      <c r="K469" s="128">
        <v>4495.3</v>
      </c>
      <c r="L469" s="126">
        <v>218</v>
      </c>
      <c r="M469" s="124" t="s">
        <v>267</v>
      </c>
      <c r="N469" s="124" t="s">
        <v>271</v>
      </c>
      <c r="O469" s="127" t="s">
        <v>292</v>
      </c>
      <c r="P469" s="128">
        <v>3612241.12</v>
      </c>
      <c r="Q469" s="128">
        <v>0</v>
      </c>
      <c r="R469" s="128">
        <v>0</v>
      </c>
      <c r="S469" s="128">
        <f t="shared" si="115"/>
        <v>3612241.12</v>
      </c>
      <c r="T469" s="128">
        <f t="shared" si="111"/>
        <v>738.09585615038827</v>
      </c>
      <c r="U469" s="128">
        <v>1285.0402276256641</v>
      </c>
      <c r="V469" s="257">
        <f t="shared" si="114"/>
        <v>546.94437147527583</v>
      </c>
      <c r="W469" s="257">
        <f t="shared" si="116"/>
        <v>1588.665639967307</v>
      </c>
      <c r="X469" s="257">
        <v>0</v>
      </c>
      <c r="Y469" s="258">
        <v>0</v>
      </c>
      <c r="Z469" s="258">
        <v>0</v>
      </c>
      <c r="AA469" s="258">
        <v>0</v>
      </c>
      <c r="AB469" s="258">
        <v>0</v>
      </c>
      <c r="AC469" s="258">
        <v>0</v>
      </c>
      <c r="AD469" s="258">
        <v>0</v>
      </c>
      <c r="AE469" s="258">
        <v>1246.2</v>
      </c>
      <c r="AF469" s="257">
        <f>6238.91*AE469/I469</f>
        <v>1588.665639967307</v>
      </c>
      <c r="AG469" s="258">
        <v>0</v>
      </c>
      <c r="AH469" s="257">
        <v>0</v>
      </c>
      <c r="AI469" s="258">
        <v>0</v>
      </c>
      <c r="AJ469" s="257">
        <v>0</v>
      </c>
      <c r="AK469" s="258">
        <v>0</v>
      </c>
      <c r="AL469" s="258">
        <v>0</v>
      </c>
      <c r="AM469" s="258">
        <v>0</v>
      </c>
      <c r="AN469" s="258"/>
      <c r="AO469" s="258">
        <v>0</v>
      </c>
    </row>
    <row r="470" spans="1:41" s="259" customFormat="1" ht="36" customHeight="1" x14ac:dyDescent="0.25">
      <c r="A470" s="259">
        <v>1</v>
      </c>
      <c r="B470" s="135">
        <f>SUBTOTAL(103,$A$16:A470)</f>
        <v>407</v>
      </c>
      <c r="C470" s="94" t="s">
        <v>142</v>
      </c>
      <c r="D470" s="124">
        <v>1987</v>
      </c>
      <c r="E470" s="124"/>
      <c r="F470" s="129" t="s">
        <v>289</v>
      </c>
      <c r="G470" s="124">
        <v>5</v>
      </c>
      <c r="H470" s="124" t="s">
        <v>2294</v>
      </c>
      <c r="I470" s="128">
        <v>7649.2</v>
      </c>
      <c r="J470" s="128">
        <v>5430.3</v>
      </c>
      <c r="K470" s="128">
        <v>5430.3</v>
      </c>
      <c r="L470" s="126">
        <v>315</v>
      </c>
      <c r="M470" s="124" t="s">
        <v>267</v>
      </c>
      <c r="N470" s="124" t="s">
        <v>271</v>
      </c>
      <c r="O470" s="127" t="s">
        <v>292</v>
      </c>
      <c r="P470" s="128">
        <v>4309479.43</v>
      </c>
      <c r="Q470" s="128">
        <v>0</v>
      </c>
      <c r="R470" s="128">
        <v>0</v>
      </c>
      <c r="S470" s="128">
        <f t="shared" si="115"/>
        <v>4309479.43</v>
      </c>
      <c r="T470" s="128">
        <f t="shared" si="111"/>
        <v>563.38956099984307</v>
      </c>
      <c r="U470" s="128">
        <v>1124.1694535376248</v>
      </c>
      <c r="V470" s="257">
        <f t="shared" si="114"/>
        <v>560.77989253778173</v>
      </c>
      <c r="W470" s="257">
        <f t="shared" si="116"/>
        <v>1120.3481116979551</v>
      </c>
      <c r="X470" s="257">
        <v>0</v>
      </c>
      <c r="Y470" s="258">
        <v>0</v>
      </c>
      <c r="Z470" s="258">
        <v>0</v>
      </c>
      <c r="AA470" s="258">
        <v>0</v>
      </c>
      <c r="AB470" s="258">
        <v>0</v>
      </c>
      <c r="AC470" s="258">
        <v>0</v>
      </c>
      <c r="AD470" s="258">
        <v>0</v>
      </c>
      <c r="AE470" s="258">
        <v>1373.6</v>
      </c>
      <c r="AF470" s="257">
        <f>6238.91*AE470/I470</f>
        <v>1120.3481116979551</v>
      </c>
      <c r="AG470" s="258">
        <v>0</v>
      </c>
      <c r="AH470" s="257">
        <v>0</v>
      </c>
      <c r="AI470" s="258">
        <v>0</v>
      </c>
      <c r="AJ470" s="257">
        <v>0</v>
      </c>
      <c r="AK470" s="258">
        <v>0</v>
      </c>
      <c r="AL470" s="258">
        <v>0</v>
      </c>
      <c r="AM470" s="258">
        <v>0</v>
      </c>
      <c r="AN470" s="258"/>
      <c r="AO470" s="258">
        <v>0</v>
      </c>
    </row>
    <row r="471" spans="1:41" s="259" customFormat="1" ht="36" customHeight="1" x14ac:dyDescent="0.25">
      <c r="A471" s="259">
        <v>1</v>
      </c>
      <c r="B471" s="135">
        <f>SUBTOTAL(103,$A$16:A471)</f>
        <v>408</v>
      </c>
      <c r="C471" s="94" t="s">
        <v>1258</v>
      </c>
      <c r="D471" s="124">
        <v>1963</v>
      </c>
      <c r="E471" s="124"/>
      <c r="F471" s="129" t="s">
        <v>269</v>
      </c>
      <c r="G471" s="124">
        <v>2</v>
      </c>
      <c r="H471" s="124" t="s">
        <v>305</v>
      </c>
      <c r="I471" s="128">
        <v>683.63</v>
      </c>
      <c r="J471" s="128">
        <v>683.63</v>
      </c>
      <c r="K471" s="128">
        <v>683.63</v>
      </c>
      <c r="L471" s="126">
        <v>42</v>
      </c>
      <c r="M471" s="124" t="s">
        <v>267</v>
      </c>
      <c r="N471" s="124" t="s">
        <v>271</v>
      </c>
      <c r="O471" s="127" t="s">
        <v>292</v>
      </c>
      <c r="P471" s="128">
        <v>1168062.6099999999</v>
      </c>
      <c r="Q471" s="128">
        <v>0</v>
      </c>
      <c r="R471" s="128">
        <v>0</v>
      </c>
      <c r="S471" s="128">
        <f t="shared" si="115"/>
        <v>1168062.6099999999</v>
      </c>
      <c r="T471" s="128">
        <f t="shared" si="111"/>
        <v>1708.6181267644777</v>
      </c>
      <c r="U471" s="128">
        <v>4269.38</v>
      </c>
      <c r="V471" s="257">
        <f t="shared" si="114"/>
        <v>2560.7618732355222</v>
      </c>
      <c r="W471" s="257">
        <f t="shared" si="116"/>
        <v>4341.5</v>
      </c>
      <c r="X471" s="257">
        <v>101.55</v>
      </c>
      <c r="Y471" s="258">
        <v>0</v>
      </c>
      <c r="Z471" s="258">
        <v>3259.66</v>
      </c>
      <c r="AA471" s="258">
        <v>184.98</v>
      </c>
      <c r="AB471" s="258">
        <v>795.31</v>
      </c>
      <c r="AC471" s="258">
        <v>0</v>
      </c>
      <c r="AD471" s="258">
        <v>0</v>
      </c>
      <c r="AE471" s="258">
        <v>0</v>
      </c>
      <c r="AF471" s="257">
        <v>0</v>
      </c>
      <c r="AG471" s="258">
        <v>0</v>
      </c>
      <c r="AH471" s="257">
        <v>0</v>
      </c>
      <c r="AI471" s="258">
        <v>0</v>
      </c>
      <c r="AJ471" s="257">
        <v>0</v>
      </c>
      <c r="AK471" s="258">
        <v>0</v>
      </c>
      <c r="AL471" s="258">
        <v>0</v>
      </c>
      <c r="AM471" s="258">
        <v>0</v>
      </c>
      <c r="AN471" s="258"/>
      <c r="AO471" s="258">
        <v>0</v>
      </c>
    </row>
    <row r="472" spans="1:41" s="259" customFormat="1" ht="36" customHeight="1" x14ac:dyDescent="0.25">
      <c r="A472" s="259">
        <v>1</v>
      </c>
      <c r="B472" s="135">
        <f>SUBTOTAL(103,$A$16:A472)</f>
        <v>409</v>
      </c>
      <c r="C472" s="94" t="s">
        <v>1259</v>
      </c>
      <c r="D472" s="124" t="s">
        <v>308</v>
      </c>
      <c r="E472" s="124"/>
      <c r="F472" s="129" t="s">
        <v>269</v>
      </c>
      <c r="G472" s="124" t="s">
        <v>305</v>
      </c>
      <c r="H472" s="124" t="s">
        <v>305</v>
      </c>
      <c r="I472" s="128">
        <v>1132.77</v>
      </c>
      <c r="J472" s="128">
        <v>1132.77</v>
      </c>
      <c r="K472" s="128">
        <v>1132.77</v>
      </c>
      <c r="L472" s="126">
        <v>25</v>
      </c>
      <c r="M472" s="124" t="s">
        <v>267</v>
      </c>
      <c r="N472" s="124" t="s">
        <v>271</v>
      </c>
      <c r="O472" s="127" t="s">
        <v>292</v>
      </c>
      <c r="P472" s="128">
        <v>1211468.1399999999</v>
      </c>
      <c r="Q472" s="128">
        <v>0</v>
      </c>
      <c r="R472" s="128">
        <v>0</v>
      </c>
      <c r="S472" s="128">
        <f t="shared" si="115"/>
        <v>1211468.1399999999</v>
      </c>
      <c r="T472" s="128">
        <f t="shared" si="111"/>
        <v>1069.4740679926199</v>
      </c>
      <c r="U472" s="128">
        <v>4269.38</v>
      </c>
      <c r="V472" s="257">
        <f t="shared" si="114"/>
        <v>3199.9059320073802</v>
      </c>
      <c r="W472" s="257">
        <f t="shared" si="116"/>
        <v>4341.5</v>
      </c>
      <c r="X472" s="257">
        <v>101.55</v>
      </c>
      <c r="Y472" s="258">
        <v>0</v>
      </c>
      <c r="Z472" s="258">
        <v>3259.66</v>
      </c>
      <c r="AA472" s="258">
        <v>184.98</v>
      </c>
      <c r="AB472" s="258">
        <v>795.31</v>
      </c>
      <c r="AC472" s="258">
        <v>0</v>
      </c>
      <c r="AD472" s="258">
        <v>0</v>
      </c>
      <c r="AE472" s="258">
        <v>0</v>
      </c>
      <c r="AF472" s="257">
        <v>0</v>
      </c>
      <c r="AG472" s="258">
        <v>0</v>
      </c>
      <c r="AH472" s="257">
        <v>0</v>
      </c>
      <c r="AI472" s="258">
        <v>0</v>
      </c>
      <c r="AJ472" s="257">
        <v>0</v>
      </c>
      <c r="AK472" s="258">
        <v>0</v>
      </c>
      <c r="AL472" s="258">
        <v>0</v>
      </c>
      <c r="AM472" s="258">
        <v>0</v>
      </c>
      <c r="AN472" s="258"/>
      <c r="AO472" s="258">
        <v>0</v>
      </c>
    </row>
    <row r="473" spans="1:41" s="259" customFormat="1" ht="36" customHeight="1" x14ac:dyDescent="0.25">
      <c r="A473" s="259">
        <v>1</v>
      </c>
      <c r="B473" s="135">
        <f>SUBTOTAL(103,$A$16:A473)</f>
        <v>410</v>
      </c>
      <c r="C473" s="94" t="s">
        <v>1260</v>
      </c>
      <c r="D473" s="124">
        <v>1964</v>
      </c>
      <c r="E473" s="124"/>
      <c r="F473" s="129" t="s">
        <v>269</v>
      </c>
      <c r="G473" s="124">
        <v>2</v>
      </c>
      <c r="H473" s="124" t="s">
        <v>310</v>
      </c>
      <c r="I473" s="128">
        <v>768.3</v>
      </c>
      <c r="J473" s="128">
        <v>297</v>
      </c>
      <c r="K473" s="128">
        <v>268.89999999999998</v>
      </c>
      <c r="L473" s="126">
        <v>80</v>
      </c>
      <c r="M473" s="124" t="s">
        <v>267</v>
      </c>
      <c r="N473" s="124" t="s">
        <v>271</v>
      </c>
      <c r="O473" s="127" t="s">
        <v>290</v>
      </c>
      <c r="P473" s="128">
        <v>1950467.94</v>
      </c>
      <c r="Q473" s="128">
        <v>0</v>
      </c>
      <c r="R473" s="128">
        <v>0</v>
      </c>
      <c r="S473" s="128">
        <f t="shared" si="115"/>
        <v>1950467.94</v>
      </c>
      <c r="T473" s="128">
        <f t="shared" si="111"/>
        <v>2538.6801249511909</v>
      </c>
      <c r="U473" s="128">
        <v>3259.66</v>
      </c>
      <c r="V473" s="257">
        <f t="shared" si="114"/>
        <v>720.97987504880894</v>
      </c>
      <c r="W473" s="257">
        <f t="shared" si="116"/>
        <v>3259.66</v>
      </c>
      <c r="X473" s="257">
        <v>0</v>
      </c>
      <c r="Y473" s="258">
        <v>0</v>
      </c>
      <c r="Z473" s="258">
        <v>3259.66</v>
      </c>
      <c r="AA473" s="258">
        <v>0</v>
      </c>
      <c r="AB473" s="258">
        <v>0</v>
      </c>
      <c r="AC473" s="258">
        <v>0</v>
      </c>
      <c r="AD473" s="258">
        <v>0</v>
      </c>
      <c r="AE473" s="258">
        <v>0</v>
      </c>
      <c r="AF473" s="257">
        <v>0</v>
      </c>
      <c r="AG473" s="258">
        <v>0</v>
      </c>
      <c r="AH473" s="257">
        <v>0</v>
      </c>
      <c r="AI473" s="258">
        <v>0</v>
      </c>
      <c r="AJ473" s="257">
        <v>0</v>
      </c>
      <c r="AK473" s="258">
        <v>0</v>
      </c>
      <c r="AL473" s="258">
        <v>0</v>
      </c>
      <c r="AM473" s="258">
        <v>0</v>
      </c>
      <c r="AN473" s="258"/>
      <c r="AO473" s="258">
        <v>0</v>
      </c>
    </row>
    <row r="474" spans="1:41" s="259" customFormat="1" ht="36" customHeight="1" x14ac:dyDescent="0.25">
      <c r="A474" s="259">
        <v>1</v>
      </c>
      <c r="B474" s="135">
        <f>SUBTOTAL(103,$A$16:A474)</f>
        <v>411</v>
      </c>
      <c r="C474" s="94" t="s">
        <v>1288</v>
      </c>
      <c r="D474" s="124">
        <v>1958</v>
      </c>
      <c r="E474" s="124"/>
      <c r="F474" s="129" t="s">
        <v>269</v>
      </c>
      <c r="G474" s="124">
        <v>2</v>
      </c>
      <c r="H474" s="124" t="s">
        <v>305</v>
      </c>
      <c r="I474" s="128">
        <v>554</v>
      </c>
      <c r="J474" s="128">
        <v>554</v>
      </c>
      <c r="K474" s="128">
        <v>554</v>
      </c>
      <c r="L474" s="126">
        <v>30</v>
      </c>
      <c r="M474" s="124" t="s">
        <v>267</v>
      </c>
      <c r="N474" s="124" t="s">
        <v>271</v>
      </c>
      <c r="O474" s="127" t="s">
        <v>290</v>
      </c>
      <c r="P474" s="128">
        <v>55068.52</v>
      </c>
      <c r="Q474" s="128">
        <v>0</v>
      </c>
      <c r="R474" s="128">
        <v>0</v>
      </c>
      <c r="S474" s="128">
        <f t="shared" si="115"/>
        <v>55068.52</v>
      </c>
      <c r="T474" s="128">
        <f t="shared" si="111"/>
        <v>99.40166064981949</v>
      </c>
      <c r="U474" s="128">
        <v>99.40166064981949</v>
      </c>
      <c r="V474" s="257">
        <f t="shared" si="114"/>
        <v>0</v>
      </c>
      <c r="W474" s="257">
        <f>T474</f>
        <v>99.40166064981949</v>
      </c>
      <c r="X474" s="257">
        <v>0</v>
      </c>
      <c r="Y474" s="258">
        <v>0</v>
      </c>
      <c r="Z474" s="258">
        <v>0</v>
      </c>
      <c r="AA474" s="258">
        <v>0</v>
      </c>
      <c r="AB474" s="258">
        <v>0</v>
      </c>
      <c r="AC474" s="258">
        <v>0</v>
      </c>
      <c r="AD474" s="258">
        <v>0</v>
      </c>
      <c r="AE474" s="258">
        <v>500</v>
      </c>
      <c r="AF474" s="257">
        <f>6436.53*AE474/I474</f>
        <v>5809.1425992779787</v>
      </c>
      <c r="AG474" s="258">
        <v>0</v>
      </c>
      <c r="AH474" s="257">
        <v>0</v>
      </c>
      <c r="AI474" s="258">
        <v>0</v>
      </c>
      <c r="AJ474" s="257">
        <v>0</v>
      </c>
      <c r="AK474" s="258">
        <v>0</v>
      </c>
      <c r="AL474" s="258">
        <v>0</v>
      </c>
      <c r="AM474" s="258">
        <v>0</v>
      </c>
      <c r="AN474" s="258"/>
      <c r="AO474" s="258">
        <v>0</v>
      </c>
    </row>
    <row r="475" spans="1:41" s="259" customFormat="1" ht="36" customHeight="1" x14ac:dyDescent="0.25">
      <c r="A475" s="259">
        <v>1</v>
      </c>
      <c r="B475" s="135">
        <f>SUBTOTAL(103,$A$16:A475)</f>
        <v>412</v>
      </c>
      <c r="C475" s="94" t="s">
        <v>1289</v>
      </c>
      <c r="D475" s="124">
        <v>1973</v>
      </c>
      <c r="E475" s="124"/>
      <c r="F475" s="129" t="s">
        <v>269</v>
      </c>
      <c r="G475" s="124">
        <v>5</v>
      </c>
      <c r="H475" s="124" t="s">
        <v>314</v>
      </c>
      <c r="I475" s="128">
        <v>3131.46</v>
      </c>
      <c r="J475" s="128">
        <v>3131.28</v>
      </c>
      <c r="K475" s="128">
        <v>3131.28</v>
      </c>
      <c r="L475" s="126">
        <v>208</v>
      </c>
      <c r="M475" s="124" t="s">
        <v>267</v>
      </c>
      <c r="N475" s="124" t="s">
        <v>271</v>
      </c>
      <c r="O475" s="127" t="s">
        <v>1361</v>
      </c>
      <c r="P475" s="128">
        <v>98964.25</v>
      </c>
      <c r="Q475" s="128">
        <v>0</v>
      </c>
      <c r="R475" s="128">
        <v>0</v>
      </c>
      <c r="S475" s="128">
        <f t="shared" si="115"/>
        <v>98964.25</v>
      </c>
      <c r="T475" s="128">
        <f t="shared" si="111"/>
        <v>31.603229803350512</v>
      </c>
      <c r="U475" s="128">
        <v>31.603229803350512</v>
      </c>
      <c r="V475" s="257">
        <f t="shared" si="114"/>
        <v>0</v>
      </c>
      <c r="W475" s="257">
        <f t="shared" si="116"/>
        <v>1908.6546786482984</v>
      </c>
      <c r="X475" s="257">
        <v>0</v>
      </c>
      <c r="Y475" s="258">
        <v>0</v>
      </c>
      <c r="Z475" s="258">
        <v>0</v>
      </c>
      <c r="AA475" s="258">
        <v>0</v>
      </c>
      <c r="AB475" s="258">
        <v>0</v>
      </c>
      <c r="AC475" s="258">
        <v>0</v>
      </c>
      <c r="AD475" s="258">
        <v>0</v>
      </c>
      <c r="AE475" s="258">
        <v>958</v>
      </c>
      <c r="AF475" s="257">
        <f>6238.91*AE475/I475</f>
        <v>1908.6546786482984</v>
      </c>
      <c r="AG475" s="258">
        <v>0</v>
      </c>
      <c r="AH475" s="257">
        <v>0</v>
      </c>
      <c r="AI475" s="258">
        <v>0</v>
      </c>
      <c r="AJ475" s="257">
        <v>0</v>
      </c>
      <c r="AK475" s="258">
        <v>0</v>
      </c>
      <c r="AL475" s="258">
        <v>0</v>
      </c>
      <c r="AM475" s="258">
        <v>0</v>
      </c>
      <c r="AN475" s="258"/>
      <c r="AO475" s="258">
        <v>0</v>
      </c>
    </row>
    <row r="476" spans="1:41" s="259" customFormat="1" ht="36" customHeight="1" x14ac:dyDescent="0.25">
      <c r="A476" s="259">
        <v>1</v>
      </c>
      <c r="B476" s="135">
        <f>SUBTOTAL(103,$A$16:A476)</f>
        <v>413</v>
      </c>
      <c r="C476" s="94" t="s">
        <v>1569</v>
      </c>
      <c r="D476" s="124">
        <v>1961</v>
      </c>
      <c r="E476" s="124"/>
      <c r="F476" s="129" t="s">
        <v>1585</v>
      </c>
      <c r="G476" s="124">
        <v>2</v>
      </c>
      <c r="H476" s="124" t="s">
        <v>305</v>
      </c>
      <c r="I476" s="128">
        <v>970.74</v>
      </c>
      <c r="J476" s="128">
        <v>543.79999999999995</v>
      </c>
      <c r="K476" s="128">
        <v>543.79999999999995</v>
      </c>
      <c r="L476" s="126">
        <v>42</v>
      </c>
      <c r="M476" s="124" t="s">
        <v>267</v>
      </c>
      <c r="N476" s="124" t="s">
        <v>268</v>
      </c>
      <c r="O476" s="127" t="s">
        <v>270</v>
      </c>
      <c r="P476" s="128">
        <v>2349863.39</v>
      </c>
      <c r="Q476" s="128">
        <v>0</v>
      </c>
      <c r="R476" s="128">
        <v>0</v>
      </c>
      <c r="S476" s="128">
        <f>P476-R476-Q476</f>
        <v>2349863.39</v>
      </c>
      <c r="T476" s="128">
        <f t="shared" si="111"/>
        <v>2420.6928631765459</v>
      </c>
      <c r="U476" s="128">
        <v>3311.5021169417146</v>
      </c>
      <c r="V476" s="257">
        <f t="shared" si="114"/>
        <v>890.80925376516871</v>
      </c>
      <c r="W476" s="257">
        <f t="shared" si="116"/>
        <v>3370.0422848548528</v>
      </c>
      <c r="X476" s="257">
        <v>0</v>
      </c>
      <c r="Y476" s="258">
        <v>0</v>
      </c>
      <c r="Z476" s="258">
        <v>0</v>
      </c>
      <c r="AA476" s="258">
        <v>0</v>
      </c>
      <c r="AB476" s="258">
        <v>0</v>
      </c>
      <c r="AC476" s="258">
        <v>0</v>
      </c>
      <c r="AD476" s="258">
        <v>0</v>
      </c>
      <c r="AE476" s="258">
        <v>524.36</v>
      </c>
      <c r="AF476" s="257">
        <f>6238.91*AE476/I476</f>
        <v>3370.0422848548528</v>
      </c>
      <c r="AG476" s="258">
        <v>0</v>
      </c>
      <c r="AH476" s="257">
        <v>0</v>
      </c>
      <c r="AI476" s="258">
        <v>0</v>
      </c>
      <c r="AJ476" s="257">
        <v>0</v>
      </c>
      <c r="AK476" s="258">
        <v>0</v>
      </c>
      <c r="AL476" s="258">
        <v>0</v>
      </c>
      <c r="AM476" s="258">
        <v>0</v>
      </c>
      <c r="AN476" s="258"/>
      <c r="AO476" s="258">
        <v>0</v>
      </c>
    </row>
    <row r="477" spans="1:41" s="259" customFormat="1" ht="36" customHeight="1" x14ac:dyDescent="0.25">
      <c r="A477" s="259">
        <v>1</v>
      </c>
      <c r="B477" s="135">
        <f>SUBTOTAL(103,$A$16:A477)</f>
        <v>414</v>
      </c>
      <c r="C477" s="94" t="s">
        <v>152</v>
      </c>
      <c r="D477" s="124">
        <v>1983</v>
      </c>
      <c r="E477" s="124"/>
      <c r="F477" s="129" t="s">
        <v>289</v>
      </c>
      <c r="G477" s="124">
        <v>5</v>
      </c>
      <c r="H477" s="124" t="s">
        <v>310</v>
      </c>
      <c r="I477" s="125">
        <v>4333.8</v>
      </c>
      <c r="J477" s="125">
        <v>3128.2</v>
      </c>
      <c r="K477" s="125">
        <v>3128.2</v>
      </c>
      <c r="L477" s="126">
        <v>151</v>
      </c>
      <c r="M477" s="124" t="s">
        <v>267</v>
      </c>
      <c r="N477" s="124" t="s">
        <v>271</v>
      </c>
      <c r="O477" s="127" t="s">
        <v>295</v>
      </c>
      <c r="P477" s="128">
        <v>2515213.65</v>
      </c>
      <c r="Q477" s="128">
        <v>0</v>
      </c>
      <c r="R477" s="128">
        <v>0</v>
      </c>
      <c r="S477" s="128">
        <f>P477-Q477-R477</f>
        <v>2515213.65</v>
      </c>
      <c r="T477" s="128">
        <f t="shared" si="111"/>
        <v>580.37141769347909</v>
      </c>
      <c r="U477" s="128">
        <v>1142.7757424892702</v>
      </c>
      <c r="V477" s="257">
        <f t="shared" si="114"/>
        <v>562.40432479579113</v>
      </c>
      <c r="W477" s="257">
        <f t="shared" si="116"/>
        <v>1200.4769599427752</v>
      </c>
      <c r="X477" s="257">
        <v>0</v>
      </c>
      <c r="Y477" s="258">
        <v>0</v>
      </c>
      <c r="Z477" s="258">
        <v>0</v>
      </c>
      <c r="AA477" s="258">
        <v>0</v>
      </c>
      <c r="AB477" s="258">
        <v>0</v>
      </c>
      <c r="AC477" s="258">
        <v>0</v>
      </c>
      <c r="AD477" s="258">
        <v>0</v>
      </c>
      <c r="AE477" s="258">
        <v>833.9</v>
      </c>
      <c r="AF477" s="257">
        <f>6238.91*AE477/I477</f>
        <v>1200.4769599427752</v>
      </c>
      <c r="AG477" s="258">
        <v>0</v>
      </c>
      <c r="AH477" s="257">
        <v>0</v>
      </c>
      <c r="AI477" s="258">
        <v>0</v>
      </c>
      <c r="AJ477" s="257">
        <v>0</v>
      </c>
      <c r="AK477" s="258">
        <v>0</v>
      </c>
      <c r="AL477" s="258">
        <v>0</v>
      </c>
      <c r="AM477" s="258">
        <v>0</v>
      </c>
      <c r="AN477" s="258"/>
      <c r="AO477" s="258">
        <v>0</v>
      </c>
    </row>
    <row r="478" spans="1:41" s="259" customFormat="1" ht="36" customHeight="1" x14ac:dyDescent="0.25">
      <c r="A478" s="259">
        <v>1</v>
      </c>
      <c r="B478" s="135">
        <f>SUBTOTAL(103,$A$16:A478)</f>
        <v>415</v>
      </c>
      <c r="C478" s="94" t="s">
        <v>153</v>
      </c>
      <c r="D478" s="124">
        <v>1985</v>
      </c>
      <c r="E478" s="124"/>
      <c r="F478" s="129" t="s">
        <v>289</v>
      </c>
      <c r="G478" s="124">
        <v>5</v>
      </c>
      <c r="H478" s="124" t="s">
        <v>353</v>
      </c>
      <c r="I478" s="125">
        <v>5376.4</v>
      </c>
      <c r="J478" s="125">
        <v>3863.1</v>
      </c>
      <c r="K478" s="125">
        <v>3863.1</v>
      </c>
      <c r="L478" s="126">
        <v>206</v>
      </c>
      <c r="M478" s="124" t="s">
        <v>267</v>
      </c>
      <c r="N478" s="124" t="s">
        <v>271</v>
      </c>
      <c r="O478" s="127" t="s">
        <v>295</v>
      </c>
      <c r="P478" s="128">
        <v>3170710.8</v>
      </c>
      <c r="Q478" s="128">
        <v>0</v>
      </c>
      <c r="R478" s="128">
        <v>0</v>
      </c>
      <c r="S478" s="128">
        <f>P478-Q478-R478</f>
        <v>3170710.8</v>
      </c>
      <c r="T478" s="128">
        <f t="shared" si="111"/>
        <v>589.74607544081539</v>
      </c>
      <c r="U478" s="128">
        <v>1154.3462469682315</v>
      </c>
      <c r="V478" s="257">
        <f t="shared" si="114"/>
        <v>564.60017152741614</v>
      </c>
      <c r="W478" s="257">
        <f t="shared" si="116"/>
        <v>1202.0844559556583</v>
      </c>
      <c r="X478" s="257">
        <v>0</v>
      </c>
      <c r="Y478" s="258">
        <v>0</v>
      </c>
      <c r="Z478" s="258">
        <v>0</v>
      </c>
      <c r="AA478" s="258">
        <v>0</v>
      </c>
      <c r="AB478" s="258">
        <v>0</v>
      </c>
      <c r="AC478" s="258">
        <v>0</v>
      </c>
      <c r="AD478" s="258">
        <v>0</v>
      </c>
      <c r="AE478" s="258">
        <v>1035.9000000000001</v>
      </c>
      <c r="AF478" s="257">
        <f>6238.91*AE478/I478</f>
        <v>1202.0844559556583</v>
      </c>
      <c r="AG478" s="258">
        <v>0</v>
      </c>
      <c r="AH478" s="257">
        <v>0</v>
      </c>
      <c r="AI478" s="258">
        <v>0</v>
      </c>
      <c r="AJ478" s="257">
        <v>0</v>
      </c>
      <c r="AK478" s="258">
        <v>0</v>
      </c>
      <c r="AL478" s="258">
        <v>0</v>
      </c>
      <c r="AM478" s="258">
        <v>0</v>
      </c>
      <c r="AN478" s="258"/>
      <c r="AO478" s="258">
        <v>0</v>
      </c>
    </row>
    <row r="479" spans="1:41" s="259" customFormat="1" ht="36" customHeight="1" x14ac:dyDescent="0.25">
      <c r="B479" s="94" t="s">
        <v>859</v>
      </c>
      <c r="C479" s="94"/>
      <c r="D479" s="124" t="s">
        <v>896</v>
      </c>
      <c r="E479" s="124" t="s">
        <v>896</v>
      </c>
      <c r="F479" s="124" t="s">
        <v>896</v>
      </c>
      <c r="G479" s="124" t="s">
        <v>896</v>
      </c>
      <c r="H479" s="124" t="s">
        <v>896</v>
      </c>
      <c r="I479" s="125">
        <f>SUM(I480:I487)</f>
        <v>32478.429999999997</v>
      </c>
      <c r="J479" s="125">
        <f>SUM(J480:J487)</f>
        <v>21805.200000000001</v>
      </c>
      <c r="K479" s="125">
        <f>SUM(K480:K487)</f>
        <v>20949.2</v>
      </c>
      <c r="L479" s="126">
        <f>SUM(L480:L487)</f>
        <v>1444</v>
      </c>
      <c r="M479" s="124" t="s">
        <v>896</v>
      </c>
      <c r="N479" s="124" t="s">
        <v>896</v>
      </c>
      <c r="O479" s="127" t="s">
        <v>896</v>
      </c>
      <c r="P479" s="128">
        <v>25373135.099999998</v>
      </c>
      <c r="Q479" s="128">
        <f>SUM(Q480:Q487)</f>
        <v>0</v>
      </c>
      <c r="R479" s="128">
        <f>SUM(R480:R487)</f>
        <v>0</v>
      </c>
      <c r="S479" s="128">
        <f>SUM(S480:S487)</f>
        <v>25373135.099999998</v>
      </c>
      <c r="T479" s="128">
        <f t="shared" si="111"/>
        <v>781.23034580181366</v>
      </c>
      <c r="U479" s="128">
        <f>MAX(U480:U487)</f>
        <v>3833.4996998928186</v>
      </c>
      <c r="V479" s="257">
        <f t="shared" si="114"/>
        <v>3052.269354091005</v>
      </c>
      <c r="W479" s="257"/>
      <c r="X479" s="257"/>
      <c r="Y479" s="258"/>
      <c r="Z479" s="258"/>
      <c r="AA479" s="258"/>
      <c r="AB479" s="258"/>
      <c r="AC479" s="258"/>
      <c r="AD479" s="258"/>
      <c r="AE479" s="258"/>
      <c r="AF479" s="258"/>
      <c r="AG479" s="258"/>
      <c r="AH479" s="258"/>
      <c r="AI479" s="258"/>
      <c r="AJ479" s="258"/>
      <c r="AK479" s="258"/>
      <c r="AL479" s="258"/>
      <c r="AM479" s="258"/>
      <c r="AN479" s="258"/>
      <c r="AO479" s="258"/>
    </row>
    <row r="480" spans="1:41" s="259" customFormat="1" ht="36" customHeight="1" x14ac:dyDescent="0.25">
      <c r="A480" s="259">
        <v>1</v>
      </c>
      <c r="B480" s="135">
        <f>SUBTOTAL(103,$A$16:A480)</f>
        <v>416</v>
      </c>
      <c r="C480" s="94" t="s">
        <v>137</v>
      </c>
      <c r="D480" s="124">
        <v>1982</v>
      </c>
      <c r="E480" s="124"/>
      <c r="F480" s="129" t="s">
        <v>269</v>
      </c>
      <c r="G480" s="124">
        <v>5</v>
      </c>
      <c r="H480" s="124" t="s">
        <v>373</v>
      </c>
      <c r="I480" s="128">
        <v>3868.3</v>
      </c>
      <c r="J480" s="128">
        <v>2289.6</v>
      </c>
      <c r="K480" s="128">
        <v>2289.6</v>
      </c>
      <c r="L480" s="126">
        <v>192</v>
      </c>
      <c r="M480" s="124" t="s">
        <v>267</v>
      </c>
      <c r="N480" s="124" t="s">
        <v>293</v>
      </c>
      <c r="O480" s="127" t="s">
        <v>303</v>
      </c>
      <c r="P480" s="128">
        <v>2050029.61</v>
      </c>
      <c r="Q480" s="128">
        <v>0</v>
      </c>
      <c r="R480" s="128">
        <v>0</v>
      </c>
      <c r="S480" s="128">
        <f t="shared" ref="S480:S487" si="117">P480-Q480-R480</f>
        <v>2050029.61</v>
      </c>
      <c r="T480" s="128">
        <f t="shared" si="111"/>
        <v>529.95621073856728</v>
      </c>
      <c r="U480" s="128">
        <v>1666.6867815836415</v>
      </c>
      <c r="V480" s="257">
        <f t="shared" si="114"/>
        <v>1136.7305708450742</v>
      </c>
      <c r="W480" s="257">
        <f t="shared" ref="W480:W487" si="118">X480+Y480+Z480+AA480+AB480+AD480+AF480+AH480+AJ480+AL480+AN480+AO480</f>
        <v>1661.0212834578497</v>
      </c>
      <c r="X480" s="257">
        <v>0</v>
      </c>
      <c r="Y480" s="258">
        <v>0</v>
      </c>
      <c r="Z480" s="258">
        <v>0</v>
      </c>
      <c r="AA480" s="258">
        <v>0</v>
      </c>
      <c r="AB480" s="258">
        <v>0</v>
      </c>
      <c r="AC480" s="258">
        <v>0</v>
      </c>
      <c r="AD480" s="258">
        <v>0</v>
      </c>
      <c r="AE480" s="258">
        <v>1029.8800000000001</v>
      </c>
      <c r="AF480" s="257">
        <f t="shared" ref="AF480:AF485" si="119">6238.91*AE480/I480</f>
        <v>1661.0212834578497</v>
      </c>
      <c r="AG480" s="258">
        <v>0</v>
      </c>
      <c r="AH480" s="257">
        <v>0</v>
      </c>
      <c r="AI480" s="258">
        <v>0</v>
      </c>
      <c r="AJ480" s="257">
        <v>0</v>
      </c>
      <c r="AK480" s="258">
        <v>0</v>
      </c>
      <c r="AL480" s="258">
        <v>0</v>
      </c>
      <c r="AM480" s="258">
        <v>0</v>
      </c>
      <c r="AN480" s="258"/>
      <c r="AO480" s="258">
        <v>0</v>
      </c>
    </row>
    <row r="481" spans="1:41" s="259" customFormat="1" ht="36" customHeight="1" x14ac:dyDescent="0.25">
      <c r="A481" s="259">
        <v>1</v>
      </c>
      <c r="B481" s="135">
        <f>SUBTOTAL(103,$A$16:A481)</f>
        <v>417</v>
      </c>
      <c r="C481" s="94" t="s">
        <v>139</v>
      </c>
      <c r="D481" s="124">
        <v>1964</v>
      </c>
      <c r="E481" s="124"/>
      <c r="F481" s="129" t="s">
        <v>269</v>
      </c>
      <c r="G481" s="124">
        <v>4</v>
      </c>
      <c r="H481" s="124" t="s">
        <v>305</v>
      </c>
      <c r="I481" s="128">
        <v>839.7</v>
      </c>
      <c r="J481" s="128">
        <v>839.7</v>
      </c>
      <c r="K481" s="128">
        <v>839.7</v>
      </c>
      <c r="L481" s="126">
        <v>75</v>
      </c>
      <c r="M481" s="124" t="s">
        <v>267</v>
      </c>
      <c r="N481" s="124" t="s">
        <v>293</v>
      </c>
      <c r="O481" s="127" t="s">
        <v>294</v>
      </c>
      <c r="P481" s="128">
        <v>1930217.85</v>
      </c>
      <c r="Q481" s="128">
        <v>0</v>
      </c>
      <c r="R481" s="128">
        <v>0</v>
      </c>
      <c r="S481" s="128">
        <f t="shared" si="117"/>
        <v>1930217.85</v>
      </c>
      <c r="T481" s="128">
        <f t="shared" si="111"/>
        <v>2298.6993569131832</v>
      </c>
      <c r="U481" s="128">
        <v>3833.4996998928186</v>
      </c>
      <c r="V481" s="257">
        <f t="shared" si="114"/>
        <v>1534.8003429796354</v>
      </c>
      <c r="W481" s="257">
        <f t="shared" si="118"/>
        <v>3829.90465368584</v>
      </c>
      <c r="X481" s="257">
        <v>0</v>
      </c>
      <c r="Y481" s="258">
        <v>0</v>
      </c>
      <c r="Z481" s="258">
        <v>0</v>
      </c>
      <c r="AA481" s="258">
        <v>0</v>
      </c>
      <c r="AB481" s="258">
        <v>0</v>
      </c>
      <c r="AC481" s="258">
        <v>0</v>
      </c>
      <c r="AD481" s="258">
        <v>0</v>
      </c>
      <c r="AE481" s="258">
        <v>515.47</v>
      </c>
      <c r="AF481" s="257">
        <f t="shared" si="119"/>
        <v>3829.90465368584</v>
      </c>
      <c r="AG481" s="258">
        <v>0</v>
      </c>
      <c r="AH481" s="257">
        <v>0</v>
      </c>
      <c r="AI481" s="258">
        <v>0</v>
      </c>
      <c r="AJ481" s="257">
        <v>0</v>
      </c>
      <c r="AK481" s="258">
        <v>0</v>
      </c>
      <c r="AL481" s="258">
        <v>0</v>
      </c>
      <c r="AM481" s="258">
        <v>0</v>
      </c>
      <c r="AN481" s="258"/>
      <c r="AO481" s="258">
        <v>0</v>
      </c>
    </row>
    <row r="482" spans="1:41" s="259" customFormat="1" ht="36" customHeight="1" x14ac:dyDescent="0.25">
      <c r="A482" s="259">
        <v>1</v>
      </c>
      <c r="B482" s="135">
        <f>SUBTOTAL(103,$A$16:A482)</f>
        <v>418</v>
      </c>
      <c r="C482" s="94" t="s">
        <v>148</v>
      </c>
      <c r="D482" s="124">
        <v>1972</v>
      </c>
      <c r="E482" s="124"/>
      <c r="F482" s="129" t="s">
        <v>269</v>
      </c>
      <c r="G482" s="124">
        <v>5</v>
      </c>
      <c r="H482" s="124" t="s">
        <v>2293</v>
      </c>
      <c r="I482" s="128">
        <v>8090.9</v>
      </c>
      <c r="J482" s="128">
        <v>6096.3</v>
      </c>
      <c r="K482" s="128">
        <v>6096.3</v>
      </c>
      <c r="L482" s="126">
        <v>307</v>
      </c>
      <c r="M482" s="124" t="s">
        <v>267</v>
      </c>
      <c r="N482" s="124" t="s">
        <v>271</v>
      </c>
      <c r="O482" s="127" t="s">
        <v>296</v>
      </c>
      <c r="P482" s="128">
        <v>10368880.9</v>
      </c>
      <c r="Q482" s="128">
        <v>0</v>
      </c>
      <c r="R482" s="128">
        <v>0</v>
      </c>
      <c r="S482" s="128">
        <f t="shared" si="117"/>
        <v>10368880.9</v>
      </c>
      <c r="T482" s="128">
        <f t="shared" si="111"/>
        <v>1281.5485174702444</v>
      </c>
      <c r="U482" s="128">
        <v>1512.1358222941822</v>
      </c>
      <c r="V482" s="257">
        <f t="shared" si="114"/>
        <v>230.58730482393776</v>
      </c>
      <c r="W482" s="257">
        <f t="shared" si="118"/>
        <v>1283.1447424143173</v>
      </c>
      <c r="X482" s="257">
        <v>0</v>
      </c>
      <c r="Y482" s="258">
        <v>0</v>
      </c>
      <c r="Z482" s="258">
        <v>0</v>
      </c>
      <c r="AA482" s="258">
        <v>0</v>
      </c>
      <c r="AB482" s="258">
        <v>0</v>
      </c>
      <c r="AC482" s="258">
        <v>0</v>
      </c>
      <c r="AD482" s="258">
        <v>0</v>
      </c>
      <c r="AE482" s="258">
        <v>1664.04</v>
      </c>
      <c r="AF482" s="257">
        <f t="shared" si="119"/>
        <v>1283.1447424143173</v>
      </c>
      <c r="AG482" s="258">
        <v>0</v>
      </c>
      <c r="AH482" s="257">
        <v>0</v>
      </c>
      <c r="AI482" s="258">
        <v>0</v>
      </c>
      <c r="AJ482" s="257">
        <v>0</v>
      </c>
      <c r="AK482" s="258">
        <v>0</v>
      </c>
      <c r="AL482" s="258">
        <v>0</v>
      </c>
      <c r="AM482" s="258">
        <v>0</v>
      </c>
      <c r="AN482" s="258"/>
      <c r="AO482" s="258">
        <v>0</v>
      </c>
    </row>
    <row r="483" spans="1:41" s="259" customFormat="1" ht="36" customHeight="1" x14ac:dyDescent="0.25">
      <c r="A483" s="259">
        <v>1</v>
      </c>
      <c r="B483" s="135">
        <f>SUBTOTAL(103,$A$16:A483)</f>
        <v>419</v>
      </c>
      <c r="C483" s="94" t="s">
        <v>1263</v>
      </c>
      <c r="D483" s="124">
        <v>1928</v>
      </c>
      <c r="E483" s="124"/>
      <c r="F483" s="129" t="s">
        <v>269</v>
      </c>
      <c r="G483" s="124">
        <v>3</v>
      </c>
      <c r="H483" s="124" t="s">
        <v>314</v>
      </c>
      <c r="I483" s="128">
        <v>1739</v>
      </c>
      <c r="J483" s="128">
        <v>1665.2</v>
      </c>
      <c r="K483" s="128">
        <v>998.7</v>
      </c>
      <c r="L483" s="126">
        <v>235</v>
      </c>
      <c r="M483" s="124" t="s">
        <v>267</v>
      </c>
      <c r="N483" s="124" t="s">
        <v>271</v>
      </c>
      <c r="O483" s="127" t="s">
        <v>290</v>
      </c>
      <c r="P483" s="128">
        <v>29614.32</v>
      </c>
      <c r="Q483" s="128">
        <v>0</v>
      </c>
      <c r="R483" s="128">
        <v>0</v>
      </c>
      <c r="S483" s="128">
        <f t="shared" si="117"/>
        <v>29614.32</v>
      </c>
      <c r="T483" s="128">
        <f t="shared" si="111"/>
        <v>17.029511213340999</v>
      </c>
      <c r="U483" s="128">
        <v>17.029511213340999</v>
      </c>
      <c r="V483" s="257">
        <f t="shared" si="114"/>
        <v>0</v>
      </c>
      <c r="W483" s="257">
        <f t="shared" si="118"/>
        <v>3964.3447671075328</v>
      </c>
      <c r="X483" s="257">
        <v>0</v>
      </c>
      <c r="Y483" s="258">
        <v>0</v>
      </c>
      <c r="Z483" s="258">
        <v>0</v>
      </c>
      <c r="AA483" s="258">
        <v>0</v>
      </c>
      <c r="AB483" s="258">
        <v>0</v>
      </c>
      <c r="AC483" s="258">
        <v>0</v>
      </c>
      <c r="AD483" s="258">
        <v>0</v>
      </c>
      <c r="AE483" s="258">
        <v>1105</v>
      </c>
      <c r="AF483" s="257">
        <f t="shared" si="119"/>
        <v>3964.3447671075328</v>
      </c>
      <c r="AG483" s="258">
        <v>0</v>
      </c>
      <c r="AH483" s="257">
        <v>0</v>
      </c>
      <c r="AI483" s="258">
        <v>0</v>
      </c>
      <c r="AJ483" s="257">
        <v>0</v>
      </c>
      <c r="AK483" s="258">
        <v>0</v>
      </c>
      <c r="AL483" s="258">
        <v>0</v>
      </c>
      <c r="AM483" s="258">
        <v>0</v>
      </c>
      <c r="AN483" s="258"/>
      <c r="AO483" s="258">
        <v>0</v>
      </c>
    </row>
    <row r="484" spans="1:41" s="259" customFormat="1" ht="36" customHeight="1" x14ac:dyDescent="0.25">
      <c r="A484" s="259">
        <v>1</v>
      </c>
      <c r="B484" s="135">
        <f>SUBTOTAL(103,$A$16:A484)</f>
        <v>420</v>
      </c>
      <c r="C484" s="94" t="s">
        <v>1264</v>
      </c>
      <c r="D484" s="124">
        <v>1962</v>
      </c>
      <c r="E484" s="124"/>
      <c r="F484" s="129" t="s">
        <v>269</v>
      </c>
      <c r="G484" s="124">
        <v>3</v>
      </c>
      <c r="H484" s="124" t="s">
        <v>314</v>
      </c>
      <c r="I484" s="128">
        <v>1520.4</v>
      </c>
      <c r="J484" s="128">
        <v>1093.04</v>
      </c>
      <c r="K484" s="128">
        <v>903.54</v>
      </c>
      <c r="L484" s="126">
        <v>135</v>
      </c>
      <c r="M484" s="124" t="s">
        <v>267</v>
      </c>
      <c r="N484" s="124" t="s">
        <v>271</v>
      </c>
      <c r="O484" s="127" t="s">
        <v>1342</v>
      </c>
      <c r="P484" s="128">
        <v>3408422.6399999997</v>
      </c>
      <c r="Q484" s="128">
        <v>0</v>
      </c>
      <c r="R484" s="128">
        <v>0</v>
      </c>
      <c r="S484" s="128">
        <f t="shared" si="117"/>
        <v>3408422.6399999997</v>
      </c>
      <c r="T484" s="128">
        <f t="shared" si="111"/>
        <v>2241.7933701657457</v>
      </c>
      <c r="U484" s="128">
        <v>3439.8517046172051</v>
      </c>
      <c r="V484" s="257">
        <f t="shared" si="114"/>
        <v>1198.0583344514594</v>
      </c>
      <c r="W484" s="257">
        <f t="shared" si="118"/>
        <v>3428.1587617074451</v>
      </c>
      <c r="X484" s="257">
        <v>0</v>
      </c>
      <c r="Y484" s="258">
        <v>0</v>
      </c>
      <c r="Z484" s="258">
        <v>0</v>
      </c>
      <c r="AA484" s="258">
        <v>0</v>
      </c>
      <c r="AB484" s="258">
        <v>0</v>
      </c>
      <c r="AC484" s="258">
        <v>0</v>
      </c>
      <c r="AD484" s="258">
        <v>0</v>
      </c>
      <c r="AE484" s="258">
        <v>835.43</v>
      </c>
      <c r="AF484" s="257">
        <f t="shared" si="119"/>
        <v>3428.1587617074451</v>
      </c>
      <c r="AG484" s="258">
        <v>0</v>
      </c>
      <c r="AH484" s="257">
        <v>0</v>
      </c>
      <c r="AI484" s="258">
        <v>0</v>
      </c>
      <c r="AJ484" s="257">
        <v>0</v>
      </c>
      <c r="AK484" s="258">
        <v>0</v>
      </c>
      <c r="AL484" s="258">
        <v>0</v>
      </c>
      <c r="AM484" s="258">
        <v>0</v>
      </c>
      <c r="AN484" s="258"/>
      <c r="AO484" s="258">
        <v>0</v>
      </c>
    </row>
    <row r="485" spans="1:41" s="259" customFormat="1" ht="36" customHeight="1" x14ac:dyDescent="0.25">
      <c r="A485" s="259">
        <v>1</v>
      </c>
      <c r="B485" s="135">
        <f>SUBTOTAL(103,$A$16:A485)</f>
        <v>421</v>
      </c>
      <c r="C485" s="94" t="s">
        <v>1265</v>
      </c>
      <c r="D485" s="124">
        <v>1970</v>
      </c>
      <c r="E485" s="124"/>
      <c r="F485" s="129" t="s">
        <v>269</v>
      </c>
      <c r="G485" s="124">
        <v>5</v>
      </c>
      <c r="H485" s="124" t="s">
        <v>373</v>
      </c>
      <c r="I485" s="128">
        <v>7885.15</v>
      </c>
      <c r="J485" s="128">
        <v>4459.3599999999997</v>
      </c>
      <c r="K485" s="128">
        <v>4459.3599999999997</v>
      </c>
      <c r="L485" s="126">
        <v>224</v>
      </c>
      <c r="M485" s="124" t="s">
        <v>267</v>
      </c>
      <c r="N485" s="124" t="s">
        <v>271</v>
      </c>
      <c r="O485" s="127" t="s">
        <v>1343</v>
      </c>
      <c r="P485" s="128">
        <v>6178941.4499999993</v>
      </c>
      <c r="Q485" s="128">
        <v>0</v>
      </c>
      <c r="R485" s="128">
        <v>0</v>
      </c>
      <c r="S485" s="128">
        <f t="shared" si="117"/>
        <v>6178941.4499999993</v>
      </c>
      <c r="T485" s="128">
        <f t="shared" si="111"/>
        <v>783.61748983849384</v>
      </c>
      <c r="U485" s="128">
        <v>1112.6015695326025</v>
      </c>
      <c r="V485" s="257">
        <f t="shared" si="114"/>
        <v>328.98407969410869</v>
      </c>
      <c r="W485" s="257">
        <f t="shared" si="118"/>
        <v>1108.8195499134449</v>
      </c>
      <c r="X485" s="257">
        <v>0</v>
      </c>
      <c r="Y485" s="258">
        <v>0</v>
      </c>
      <c r="Z485" s="258">
        <v>0</v>
      </c>
      <c r="AA485" s="258">
        <v>0</v>
      </c>
      <c r="AB485" s="258">
        <v>0</v>
      </c>
      <c r="AC485" s="258">
        <v>0</v>
      </c>
      <c r="AD485" s="258">
        <v>0</v>
      </c>
      <c r="AE485" s="258">
        <v>1401.4</v>
      </c>
      <c r="AF485" s="257">
        <f t="shared" si="119"/>
        <v>1108.8195499134449</v>
      </c>
      <c r="AG485" s="258">
        <v>0</v>
      </c>
      <c r="AH485" s="257">
        <v>0</v>
      </c>
      <c r="AI485" s="258">
        <v>0</v>
      </c>
      <c r="AJ485" s="257">
        <v>0</v>
      </c>
      <c r="AK485" s="258">
        <v>0</v>
      </c>
      <c r="AL485" s="258">
        <v>0</v>
      </c>
      <c r="AM485" s="258">
        <v>0</v>
      </c>
      <c r="AN485" s="258"/>
      <c r="AO485" s="258">
        <v>0</v>
      </c>
    </row>
    <row r="486" spans="1:41" s="259" customFormat="1" ht="36" customHeight="1" x14ac:dyDescent="0.25">
      <c r="A486" s="259">
        <v>1</v>
      </c>
      <c r="B486" s="135">
        <f>SUBTOTAL(103,$A$16:A486)</f>
        <v>422</v>
      </c>
      <c r="C486" s="94" t="s">
        <v>167</v>
      </c>
      <c r="D486" s="124">
        <v>1966</v>
      </c>
      <c r="E486" s="124"/>
      <c r="F486" s="129" t="s">
        <v>269</v>
      </c>
      <c r="G486" s="124">
        <v>4</v>
      </c>
      <c r="H486" s="124" t="s">
        <v>305</v>
      </c>
      <c r="I486" s="128">
        <v>1285.3</v>
      </c>
      <c r="J486" s="128">
        <v>836.8</v>
      </c>
      <c r="K486" s="128">
        <v>836.8</v>
      </c>
      <c r="L486" s="126">
        <v>76</v>
      </c>
      <c r="M486" s="124" t="s">
        <v>267</v>
      </c>
      <c r="N486" s="124" t="s">
        <v>293</v>
      </c>
      <c r="O486" s="127" t="s">
        <v>302</v>
      </c>
      <c r="P486" s="128">
        <v>387946.49</v>
      </c>
      <c r="Q486" s="128">
        <v>0</v>
      </c>
      <c r="R486" s="128">
        <v>0</v>
      </c>
      <c r="S486" s="128">
        <f t="shared" si="117"/>
        <v>387946.49</v>
      </c>
      <c r="T486" s="128">
        <f t="shared" si="111"/>
        <v>301.83341632303745</v>
      </c>
      <c r="U486" s="128">
        <v>1325.0673928265776</v>
      </c>
      <c r="V486" s="257">
        <f t="shared" si="114"/>
        <v>1023.2339765035401</v>
      </c>
      <c r="W486" s="257">
        <f t="shared" si="118"/>
        <v>1325.0673928265776</v>
      </c>
      <c r="X486" s="257">
        <v>0</v>
      </c>
      <c r="Y486" s="258">
        <v>0</v>
      </c>
      <c r="Z486" s="258">
        <v>0</v>
      </c>
      <c r="AA486" s="258">
        <v>0</v>
      </c>
      <c r="AB486" s="258">
        <v>0</v>
      </c>
      <c r="AC486" s="258">
        <v>0</v>
      </c>
      <c r="AD486" s="258">
        <v>0</v>
      </c>
      <c r="AE486" s="258">
        <v>0</v>
      </c>
      <c r="AF486" s="257">
        <v>0</v>
      </c>
      <c r="AG486" s="258">
        <v>192</v>
      </c>
      <c r="AH486" s="257">
        <f>8870.36*AG486/I486</f>
        <v>1325.0673928265776</v>
      </c>
      <c r="AI486" s="258">
        <v>0</v>
      </c>
      <c r="AJ486" s="257">
        <v>0</v>
      </c>
      <c r="AK486" s="258">
        <v>0</v>
      </c>
      <c r="AL486" s="258">
        <v>0</v>
      </c>
      <c r="AM486" s="258">
        <v>0</v>
      </c>
      <c r="AN486" s="258"/>
      <c r="AO486" s="258">
        <v>0</v>
      </c>
    </row>
    <row r="487" spans="1:41" s="259" customFormat="1" ht="36" customHeight="1" x14ac:dyDescent="0.25">
      <c r="A487" s="259">
        <v>1</v>
      </c>
      <c r="B487" s="135">
        <f>SUBTOTAL(103,$A$16:A487)</f>
        <v>423</v>
      </c>
      <c r="C487" s="94" t="s">
        <v>1287</v>
      </c>
      <c r="D487" s="124">
        <v>1983</v>
      </c>
      <c r="E487" s="124"/>
      <c r="F487" s="129" t="s">
        <v>269</v>
      </c>
      <c r="G487" s="124">
        <v>5</v>
      </c>
      <c r="H487" s="124" t="s">
        <v>373</v>
      </c>
      <c r="I487" s="128">
        <v>7249.68</v>
      </c>
      <c r="J487" s="128">
        <v>4525.2</v>
      </c>
      <c r="K487" s="128">
        <v>4525.2</v>
      </c>
      <c r="L487" s="126">
        <v>200</v>
      </c>
      <c r="M487" s="124" t="s">
        <v>267</v>
      </c>
      <c r="N487" s="124" t="s">
        <v>343</v>
      </c>
      <c r="O487" s="127" t="s">
        <v>1362</v>
      </c>
      <c r="P487" s="128">
        <v>1019081.84</v>
      </c>
      <c r="Q487" s="128">
        <v>0</v>
      </c>
      <c r="R487" s="128">
        <v>0</v>
      </c>
      <c r="S487" s="128">
        <f t="shared" si="117"/>
        <v>1019081.84</v>
      </c>
      <c r="T487" s="128">
        <f t="shared" si="111"/>
        <v>140.5692168481919</v>
      </c>
      <c r="U487" s="128">
        <v>3259.66</v>
      </c>
      <c r="V487" s="257">
        <f t="shared" si="114"/>
        <v>3119.090783151808</v>
      </c>
      <c r="W487" s="257">
        <f t="shared" si="118"/>
        <v>3259.66</v>
      </c>
      <c r="X487" s="257">
        <v>0</v>
      </c>
      <c r="Y487" s="258">
        <v>0</v>
      </c>
      <c r="Z487" s="258">
        <v>3259.66</v>
      </c>
      <c r="AA487" s="258">
        <v>0</v>
      </c>
      <c r="AB487" s="258">
        <v>0</v>
      </c>
      <c r="AC487" s="258">
        <v>0</v>
      </c>
      <c r="AD487" s="258">
        <v>0</v>
      </c>
      <c r="AE487" s="258">
        <v>0</v>
      </c>
      <c r="AF487" s="257">
        <v>0</v>
      </c>
      <c r="AG487" s="258">
        <v>0</v>
      </c>
      <c r="AH487" s="257">
        <v>0</v>
      </c>
      <c r="AI487" s="258">
        <v>0</v>
      </c>
      <c r="AJ487" s="257">
        <v>0</v>
      </c>
      <c r="AK487" s="258">
        <v>0</v>
      </c>
      <c r="AL487" s="258">
        <v>0</v>
      </c>
      <c r="AM487" s="258">
        <v>0</v>
      </c>
      <c r="AN487" s="258"/>
      <c r="AO487" s="258">
        <v>0</v>
      </c>
    </row>
    <row r="488" spans="1:41" s="259" customFormat="1" ht="36" customHeight="1" x14ac:dyDescent="0.25">
      <c r="B488" s="94" t="s">
        <v>1261</v>
      </c>
      <c r="C488" s="94"/>
      <c r="D488" s="124" t="s">
        <v>896</v>
      </c>
      <c r="E488" s="124" t="s">
        <v>896</v>
      </c>
      <c r="F488" s="124" t="s">
        <v>896</v>
      </c>
      <c r="G488" s="124" t="s">
        <v>896</v>
      </c>
      <c r="H488" s="124" t="s">
        <v>896</v>
      </c>
      <c r="I488" s="125">
        <f>SUM(I489:I489)</f>
        <v>546.02</v>
      </c>
      <c r="J488" s="125">
        <f>SUM(J489:J489)</f>
        <v>546.02</v>
      </c>
      <c r="K488" s="125">
        <f>SUM(K489:K489)</f>
        <v>546.02</v>
      </c>
      <c r="L488" s="126">
        <f>SUM(L489:L489)</f>
        <v>20</v>
      </c>
      <c r="M488" s="124" t="s">
        <v>896</v>
      </c>
      <c r="N488" s="124" t="s">
        <v>896</v>
      </c>
      <c r="O488" s="127" t="s">
        <v>896</v>
      </c>
      <c r="P488" s="128">
        <v>1499263.62</v>
      </c>
      <c r="Q488" s="128">
        <f>Q489</f>
        <v>0</v>
      </c>
      <c r="R488" s="128">
        <f>R489</f>
        <v>0</v>
      </c>
      <c r="S488" s="128">
        <f>S489</f>
        <v>1499263.62</v>
      </c>
      <c r="T488" s="128">
        <f t="shared" si="111"/>
        <v>2745.8034870517567</v>
      </c>
      <c r="U488" s="128">
        <f>MAX(U489)</f>
        <v>5554.7405829456802</v>
      </c>
      <c r="V488" s="257">
        <f t="shared" si="114"/>
        <v>2808.9370958939235</v>
      </c>
      <c r="W488" s="257"/>
      <c r="X488" s="257"/>
      <c r="Y488" s="258"/>
      <c r="Z488" s="258"/>
      <c r="AA488" s="258"/>
      <c r="AB488" s="258"/>
      <c r="AC488" s="258"/>
      <c r="AD488" s="258"/>
      <c r="AE488" s="258"/>
      <c r="AF488" s="258"/>
      <c r="AG488" s="258"/>
      <c r="AH488" s="258"/>
      <c r="AI488" s="258"/>
      <c r="AJ488" s="258"/>
      <c r="AK488" s="258"/>
      <c r="AL488" s="258"/>
      <c r="AM488" s="258"/>
      <c r="AN488" s="258"/>
      <c r="AO488" s="258"/>
    </row>
    <row r="489" spans="1:41" s="259" customFormat="1" ht="36" customHeight="1" x14ac:dyDescent="0.25">
      <c r="A489" s="259">
        <v>1</v>
      </c>
      <c r="B489" s="135">
        <f>SUBTOTAL(103,$A$16:A489)</f>
        <v>424</v>
      </c>
      <c r="C489" s="94" t="s">
        <v>1262</v>
      </c>
      <c r="D489" s="124">
        <v>1976</v>
      </c>
      <c r="E489" s="124"/>
      <c r="F489" s="129" t="s">
        <v>269</v>
      </c>
      <c r="G489" s="124">
        <v>2</v>
      </c>
      <c r="H489" s="124" t="s">
        <v>305</v>
      </c>
      <c r="I489" s="128">
        <v>546.02</v>
      </c>
      <c r="J489" s="128">
        <v>546.02</v>
      </c>
      <c r="K489" s="128">
        <v>546.02</v>
      </c>
      <c r="L489" s="126">
        <v>20</v>
      </c>
      <c r="M489" s="124" t="s">
        <v>267</v>
      </c>
      <c r="N489" s="124" t="s">
        <v>271</v>
      </c>
      <c r="O489" s="127" t="s">
        <v>290</v>
      </c>
      <c r="P489" s="128">
        <v>1499263.62</v>
      </c>
      <c r="Q489" s="128">
        <v>0</v>
      </c>
      <c r="R489" s="128">
        <v>0</v>
      </c>
      <c r="S489" s="128">
        <f>P489-Q489-R489</f>
        <v>1499263.62</v>
      </c>
      <c r="T489" s="128">
        <f t="shared" si="111"/>
        <v>2745.8034870517567</v>
      </c>
      <c r="U489" s="128">
        <v>5554.7405829456802</v>
      </c>
      <c r="V489" s="257">
        <f>U489-T489</f>
        <v>2808.9370958939235</v>
      </c>
      <c r="W489" s="257">
        <f>X489+Y489+Z489+AA489+AB489+AD489+AF489+AH489+AJ489+AL489+AN489+AO489</f>
        <v>5535.8585874143801</v>
      </c>
      <c r="X489" s="257">
        <v>0</v>
      </c>
      <c r="Y489" s="258">
        <v>0</v>
      </c>
      <c r="Z489" s="258">
        <v>0</v>
      </c>
      <c r="AA489" s="258">
        <v>0</v>
      </c>
      <c r="AB489" s="258">
        <v>0</v>
      </c>
      <c r="AC489" s="258">
        <v>0</v>
      </c>
      <c r="AD489" s="258">
        <v>0</v>
      </c>
      <c r="AE489" s="258">
        <v>484.49</v>
      </c>
      <c r="AF489" s="257">
        <f>6238.91*AE489/I489</f>
        <v>5535.8585874143801</v>
      </c>
      <c r="AG489" s="258">
        <v>0</v>
      </c>
      <c r="AH489" s="257">
        <v>0</v>
      </c>
      <c r="AI489" s="258">
        <v>0</v>
      </c>
      <c r="AJ489" s="257">
        <v>0</v>
      </c>
      <c r="AK489" s="258">
        <v>0</v>
      </c>
      <c r="AL489" s="258">
        <v>0</v>
      </c>
      <c r="AM489" s="258">
        <v>0</v>
      </c>
      <c r="AN489" s="258"/>
      <c r="AO489" s="258">
        <v>0</v>
      </c>
    </row>
    <row r="490" spans="1:41" s="259" customFormat="1" ht="36" customHeight="1" x14ac:dyDescent="0.25">
      <c r="B490" s="94" t="s">
        <v>1054</v>
      </c>
      <c r="C490" s="94"/>
      <c r="D490" s="124" t="s">
        <v>896</v>
      </c>
      <c r="E490" s="124" t="s">
        <v>896</v>
      </c>
      <c r="F490" s="124" t="s">
        <v>896</v>
      </c>
      <c r="G490" s="124" t="s">
        <v>896</v>
      </c>
      <c r="H490" s="124" t="s">
        <v>896</v>
      </c>
      <c r="I490" s="125">
        <f>I491</f>
        <v>1598.9</v>
      </c>
      <c r="J490" s="125">
        <f>J491</f>
        <v>874</v>
      </c>
      <c r="K490" s="125">
        <f>K491</f>
        <v>874</v>
      </c>
      <c r="L490" s="126">
        <f>L491</f>
        <v>38</v>
      </c>
      <c r="M490" s="124" t="s">
        <v>896</v>
      </c>
      <c r="N490" s="124" t="s">
        <v>896</v>
      </c>
      <c r="O490" s="127" t="s">
        <v>896</v>
      </c>
      <c r="P490" s="128">
        <v>474650.14999999997</v>
      </c>
      <c r="Q490" s="128">
        <f>Q491</f>
        <v>0</v>
      </c>
      <c r="R490" s="128">
        <f>R491</f>
        <v>0</v>
      </c>
      <c r="S490" s="128">
        <f>S491</f>
        <v>474650.14999999997</v>
      </c>
      <c r="T490" s="128">
        <f t="shared" si="111"/>
        <v>296.8604352992682</v>
      </c>
      <c r="U490" s="128">
        <f>MAX(U491)</f>
        <v>555.05949715429358</v>
      </c>
      <c r="V490" s="257">
        <f t="shared" si="114"/>
        <v>258.19906185502538</v>
      </c>
      <c r="W490" s="257"/>
      <c r="X490" s="257"/>
      <c r="Y490" s="258"/>
      <c r="Z490" s="258"/>
      <c r="AA490" s="258"/>
      <c r="AB490" s="258"/>
      <c r="AC490" s="258"/>
      <c r="AD490" s="258"/>
      <c r="AE490" s="258"/>
      <c r="AF490" s="258"/>
      <c r="AG490" s="258"/>
      <c r="AH490" s="258"/>
      <c r="AI490" s="258"/>
      <c r="AJ490" s="258"/>
      <c r="AK490" s="258"/>
      <c r="AL490" s="258"/>
      <c r="AM490" s="258"/>
      <c r="AN490" s="258"/>
      <c r="AO490" s="258"/>
    </row>
    <row r="491" spans="1:41" s="259" customFormat="1" ht="36" customHeight="1" x14ac:dyDescent="0.25">
      <c r="A491" s="259">
        <v>1</v>
      </c>
      <c r="B491" s="135">
        <f>SUBTOTAL(103,$A$16:A491)</f>
        <v>425</v>
      </c>
      <c r="C491" s="94" t="s">
        <v>1042</v>
      </c>
      <c r="D491" s="124">
        <v>1974</v>
      </c>
      <c r="E491" s="124"/>
      <c r="F491" s="129" t="s">
        <v>269</v>
      </c>
      <c r="G491" s="124">
        <v>2</v>
      </c>
      <c r="H491" s="124" t="s">
        <v>314</v>
      </c>
      <c r="I491" s="128">
        <v>1598.9</v>
      </c>
      <c r="J491" s="128">
        <v>874</v>
      </c>
      <c r="K491" s="128">
        <v>874</v>
      </c>
      <c r="L491" s="126">
        <v>38</v>
      </c>
      <c r="M491" s="124" t="s">
        <v>267</v>
      </c>
      <c r="N491" s="124" t="s">
        <v>271</v>
      </c>
      <c r="O491" s="127" t="s">
        <v>296</v>
      </c>
      <c r="P491" s="128">
        <v>474650.14999999997</v>
      </c>
      <c r="Q491" s="128">
        <v>0</v>
      </c>
      <c r="R491" s="128">
        <v>0</v>
      </c>
      <c r="S491" s="128">
        <f>P491-Q491-R491</f>
        <v>474650.14999999997</v>
      </c>
      <c r="T491" s="128">
        <f t="shared" si="111"/>
        <v>296.8604352992682</v>
      </c>
      <c r="U491" s="128">
        <v>555.05949715429358</v>
      </c>
      <c r="V491" s="257">
        <f>U491-T491</f>
        <v>258.19906185502538</v>
      </c>
      <c r="W491" s="257">
        <f>X491+Y491+Z491+AA491+AB491+AD491+AF491+AH491+AJ491+AL491+AN491+AO491</f>
        <v>555.05949715429358</v>
      </c>
      <c r="X491" s="257">
        <v>0</v>
      </c>
      <c r="Y491" s="258">
        <v>0</v>
      </c>
      <c r="Z491" s="258">
        <v>0</v>
      </c>
      <c r="AA491" s="258">
        <v>0</v>
      </c>
      <c r="AB491" s="258">
        <v>0</v>
      </c>
      <c r="AC491" s="258">
        <v>0</v>
      </c>
      <c r="AD491" s="258">
        <v>0</v>
      </c>
      <c r="AE491" s="258">
        <v>0</v>
      </c>
      <c r="AF491" s="257">
        <v>0</v>
      </c>
      <c r="AG491" s="258">
        <v>0</v>
      </c>
      <c r="AH491" s="257">
        <v>0</v>
      </c>
      <c r="AI491" s="258">
        <v>119.3</v>
      </c>
      <c r="AJ491" s="257">
        <f>7439.1*AI491/I491</f>
        <v>555.05949715429358</v>
      </c>
      <c r="AK491" s="258">
        <v>0</v>
      </c>
      <c r="AL491" s="258">
        <v>0</v>
      </c>
      <c r="AM491" s="258">
        <v>0</v>
      </c>
      <c r="AN491" s="258"/>
      <c r="AO491" s="258">
        <v>0</v>
      </c>
    </row>
    <row r="492" spans="1:41" s="259" customFormat="1" ht="36" customHeight="1" x14ac:dyDescent="0.25">
      <c r="B492" s="94" t="s">
        <v>888</v>
      </c>
      <c r="C492" s="261"/>
      <c r="D492" s="124" t="s">
        <v>896</v>
      </c>
      <c r="E492" s="124" t="s">
        <v>896</v>
      </c>
      <c r="F492" s="124" t="s">
        <v>896</v>
      </c>
      <c r="G492" s="124" t="s">
        <v>896</v>
      </c>
      <c r="H492" s="124" t="s">
        <v>896</v>
      </c>
      <c r="I492" s="125">
        <f>SUM(I493:I496)</f>
        <v>9103.2800000000007</v>
      </c>
      <c r="J492" s="125">
        <f>SUM(J493:J496)</f>
        <v>6597.92</v>
      </c>
      <c r="K492" s="125">
        <f>SUM(K493:K496)</f>
        <v>6581.6</v>
      </c>
      <c r="L492" s="126">
        <f>SUM(L493:L496)</f>
        <v>365</v>
      </c>
      <c r="M492" s="124" t="s">
        <v>896</v>
      </c>
      <c r="N492" s="124" t="s">
        <v>896</v>
      </c>
      <c r="O492" s="127" t="s">
        <v>896</v>
      </c>
      <c r="P492" s="128">
        <v>3392825.56</v>
      </c>
      <c r="Q492" s="128">
        <f>SUM(Q493:Q496)</f>
        <v>0</v>
      </c>
      <c r="R492" s="128">
        <f>SUM(R493:R496)</f>
        <v>0</v>
      </c>
      <c r="S492" s="128">
        <f>SUM(S493:S496)</f>
        <v>3392825.56</v>
      </c>
      <c r="T492" s="128">
        <f t="shared" si="111"/>
        <v>372.70363649146242</v>
      </c>
      <c r="U492" s="128">
        <f>MAX(U493:U496)</f>
        <v>845.95975666199149</v>
      </c>
      <c r="V492" s="257">
        <f t="shared" si="114"/>
        <v>473.25612017052907</v>
      </c>
      <c r="W492" s="257"/>
      <c r="X492" s="257"/>
      <c r="Y492" s="258"/>
      <c r="Z492" s="258"/>
      <c r="AA492" s="258"/>
      <c r="AB492" s="258"/>
      <c r="AC492" s="258"/>
      <c r="AD492" s="258"/>
      <c r="AE492" s="258"/>
      <c r="AF492" s="258"/>
      <c r="AG492" s="258"/>
      <c r="AH492" s="258"/>
      <c r="AI492" s="258"/>
      <c r="AJ492" s="258"/>
      <c r="AK492" s="258"/>
      <c r="AL492" s="258"/>
      <c r="AM492" s="258"/>
      <c r="AN492" s="258"/>
      <c r="AO492" s="258"/>
    </row>
    <row r="493" spans="1:41" s="259" customFormat="1" ht="36" customHeight="1" x14ac:dyDescent="0.25">
      <c r="A493" s="259">
        <v>1</v>
      </c>
      <c r="B493" s="135">
        <f>SUBTOTAL(103,$A$16:A493)</f>
        <v>426</v>
      </c>
      <c r="C493" s="94" t="s">
        <v>1693</v>
      </c>
      <c r="D493" s="124">
        <v>1978</v>
      </c>
      <c r="E493" s="124"/>
      <c r="F493" s="129" t="s">
        <v>320</v>
      </c>
      <c r="G493" s="124">
        <v>3</v>
      </c>
      <c r="H493" s="124" t="s">
        <v>2294</v>
      </c>
      <c r="I493" s="125">
        <v>3214.48</v>
      </c>
      <c r="J493" s="125">
        <v>1869.92</v>
      </c>
      <c r="K493" s="125">
        <v>1853.6</v>
      </c>
      <c r="L493" s="126">
        <v>124</v>
      </c>
      <c r="M493" s="124" t="s">
        <v>267</v>
      </c>
      <c r="N493" s="124" t="s">
        <v>268</v>
      </c>
      <c r="O493" s="127" t="s">
        <v>270</v>
      </c>
      <c r="P493" s="128">
        <v>837346.34</v>
      </c>
      <c r="Q493" s="128">
        <v>0</v>
      </c>
      <c r="R493" s="128">
        <v>0</v>
      </c>
      <c r="S493" s="128">
        <f>P493-Q493-R493</f>
        <v>837346.34</v>
      </c>
      <c r="T493" s="128">
        <f t="shared" si="111"/>
        <v>260.49200492770211</v>
      </c>
      <c r="U493" s="128">
        <v>377.42490916104623</v>
      </c>
      <c r="V493" s="257">
        <f t="shared" si="114"/>
        <v>116.93290423334412</v>
      </c>
      <c r="W493" s="257">
        <f t="shared" ref="W493:W496" si="120">X493+Y493+Z493+AA493+AB493+AD493+AF493+AH493+AJ493+AL493+AN493+AO493</f>
        <v>376.14194457579458</v>
      </c>
      <c r="X493" s="257">
        <v>0</v>
      </c>
      <c r="Y493" s="258">
        <v>0</v>
      </c>
      <c r="Z493" s="258">
        <v>0</v>
      </c>
      <c r="AA493" s="258">
        <v>0</v>
      </c>
      <c r="AB493" s="258">
        <v>0</v>
      </c>
      <c r="AC493" s="258">
        <v>0</v>
      </c>
      <c r="AD493" s="258">
        <v>0</v>
      </c>
      <c r="AE493" s="258">
        <v>193.8</v>
      </c>
      <c r="AF493" s="257">
        <f>6238.91*AE493/I493</f>
        <v>376.14194457579458</v>
      </c>
      <c r="AG493" s="258">
        <v>0</v>
      </c>
      <c r="AH493" s="257">
        <v>0</v>
      </c>
      <c r="AI493" s="258">
        <v>0</v>
      </c>
      <c r="AJ493" s="257">
        <v>0</v>
      </c>
      <c r="AK493" s="258">
        <v>0</v>
      </c>
      <c r="AL493" s="258">
        <v>0</v>
      </c>
      <c r="AM493" s="258">
        <v>0</v>
      </c>
      <c r="AN493" s="258"/>
      <c r="AO493" s="258">
        <v>0</v>
      </c>
    </row>
    <row r="494" spans="1:41" s="259" customFormat="1" ht="36" customHeight="1" x14ac:dyDescent="0.25">
      <c r="A494" s="259">
        <v>1</v>
      </c>
      <c r="B494" s="135">
        <f>SUBTOTAL(103,$A$16:A494)</f>
        <v>427</v>
      </c>
      <c r="C494" s="94" t="s">
        <v>1694</v>
      </c>
      <c r="D494" s="124">
        <v>1980</v>
      </c>
      <c r="E494" s="124"/>
      <c r="F494" s="129" t="s">
        <v>320</v>
      </c>
      <c r="G494" s="124">
        <v>5</v>
      </c>
      <c r="H494" s="124" t="s">
        <v>305</v>
      </c>
      <c r="I494" s="125">
        <v>2143.8000000000002</v>
      </c>
      <c r="J494" s="125">
        <v>2143.8000000000002</v>
      </c>
      <c r="K494" s="125">
        <v>2143.8000000000002</v>
      </c>
      <c r="L494" s="126">
        <v>95</v>
      </c>
      <c r="M494" s="124" t="s">
        <v>267</v>
      </c>
      <c r="N494" s="124" t="s">
        <v>268</v>
      </c>
      <c r="O494" s="127" t="s">
        <v>270</v>
      </c>
      <c r="P494" s="128">
        <v>848636.41</v>
      </c>
      <c r="Q494" s="128">
        <v>0</v>
      </c>
      <c r="R494" s="128">
        <v>0</v>
      </c>
      <c r="S494" s="128">
        <f>P494-Q494-R494</f>
        <v>848636.41</v>
      </c>
      <c r="T494" s="128">
        <f t="shared" si="111"/>
        <v>395.85614796156358</v>
      </c>
      <c r="U494" s="128">
        <v>633.75736342009509</v>
      </c>
      <c r="V494" s="257">
        <f t="shared" si="114"/>
        <v>237.90121545853151</v>
      </c>
      <c r="W494" s="257">
        <f t="shared" si="120"/>
        <v>631.60305872749325</v>
      </c>
      <c r="X494" s="257">
        <v>0</v>
      </c>
      <c r="Y494" s="258">
        <v>0</v>
      </c>
      <c r="Z494" s="258">
        <v>0</v>
      </c>
      <c r="AA494" s="258">
        <v>0</v>
      </c>
      <c r="AB494" s="258">
        <v>0</v>
      </c>
      <c r="AC494" s="258">
        <v>0</v>
      </c>
      <c r="AD494" s="258">
        <v>0</v>
      </c>
      <c r="AE494" s="258">
        <v>217.03</v>
      </c>
      <c r="AF494" s="257">
        <f>6238.91*AE494/I494</f>
        <v>631.60305872749325</v>
      </c>
      <c r="AG494" s="258">
        <v>0</v>
      </c>
      <c r="AH494" s="257">
        <v>0</v>
      </c>
      <c r="AI494" s="258">
        <v>0</v>
      </c>
      <c r="AJ494" s="257">
        <v>0</v>
      </c>
      <c r="AK494" s="258">
        <v>0</v>
      </c>
      <c r="AL494" s="258">
        <v>0</v>
      </c>
      <c r="AM494" s="258">
        <v>0</v>
      </c>
      <c r="AN494" s="258"/>
      <c r="AO494" s="258">
        <v>0</v>
      </c>
    </row>
    <row r="495" spans="1:41" s="259" customFormat="1" ht="36" customHeight="1" x14ac:dyDescent="0.25">
      <c r="A495" s="259">
        <v>1</v>
      </c>
      <c r="B495" s="135">
        <f>SUBTOTAL(103,$A$16:A495)</f>
        <v>428</v>
      </c>
      <c r="C495" s="94" t="s">
        <v>1695</v>
      </c>
      <c r="D495" s="124">
        <v>1982</v>
      </c>
      <c r="E495" s="124"/>
      <c r="F495" s="129" t="s">
        <v>320</v>
      </c>
      <c r="G495" s="124">
        <v>5</v>
      </c>
      <c r="H495" s="124" t="s">
        <v>314</v>
      </c>
      <c r="I495" s="125">
        <v>2319</v>
      </c>
      <c r="J495" s="125">
        <v>1158.2</v>
      </c>
      <c r="K495" s="125">
        <v>1158.2</v>
      </c>
      <c r="L495" s="126">
        <v>93</v>
      </c>
      <c r="M495" s="124" t="s">
        <v>267</v>
      </c>
      <c r="N495" s="124" t="s">
        <v>268</v>
      </c>
      <c r="O495" s="127" t="s">
        <v>270</v>
      </c>
      <c r="P495" s="128">
        <v>854226.54</v>
      </c>
      <c r="Q495" s="128">
        <v>0</v>
      </c>
      <c r="R495" s="128">
        <v>0</v>
      </c>
      <c r="S495" s="128">
        <f>P495-Q495-R495</f>
        <v>854226.54</v>
      </c>
      <c r="T495" s="128">
        <f t="shared" si="111"/>
        <v>368.35987063389393</v>
      </c>
      <c r="U495" s="128">
        <v>521.54752393272952</v>
      </c>
      <c r="V495" s="257">
        <f t="shared" si="114"/>
        <v>153.18765329883558</v>
      </c>
      <c r="W495" s="257">
        <f t="shared" si="120"/>
        <v>581.51806662354466</v>
      </c>
      <c r="X495" s="257">
        <v>0</v>
      </c>
      <c r="Y495" s="258">
        <v>0</v>
      </c>
      <c r="Z495" s="258">
        <v>0</v>
      </c>
      <c r="AA495" s="258">
        <v>0</v>
      </c>
      <c r="AB495" s="258">
        <v>0</v>
      </c>
      <c r="AC495" s="258">
        <v>0</v>
      </c>
      <c r="AD495" s="258">
        <v>0</v>
      </c>
      <c r="AE495" s="258">
        <v>216.15</v>
      </c>
      <c r="AF495" s="257">
        <f>6238.91*AE495/I495</f>
        <v>581.51806662354466</v>
      </c>
      <c r="AG495" s="258">
        <v>0</v>
      </c>
      <c r="AH495" s="257">
        <v>0</v>
      </c>
      <c r="AI495" s="258">
        <v>0</v>
      </c>
      <c r="AJ495" s="257">
        <v>0</v>
      </c>
      <c r="AK495" s="258">
        <v>0</v>
      </c>
      <c r="AL495" s="258">
        <v>0</v>
      </c>
      <c r="AM495" s="258">
        <v>0</v>
      </c>
      <c r="AN495" s="258"/>
      <c r="AO495" s="258">
        <v>0</v>
      </c>
    </row>
    <row r="496" spans="1:41" s="259" customFormat="1" ht="36" customHeight="1" x14ac:dyDescent="0.25">
      <c r="A496" s="259">
        <v>1</v>
      </c>
      <c r="B496" s="135">
        <f>SUBTOTAL(103,$A$16:A496)</f>
        <v>429</v>
      </c>
      <c r="C496" s="94" t="s">
        <v>1692</v>
      </c>
      <c r="D496" s="124">
        <v>1983</v>
      </c>
      <c r="E496" s="124"/>
      <c r="F496" s="129" t="s">
        <v>320</v>
      </c>
      <c r="G496" s="124">
        <v>5</v>
      </c>
      <c r="H496" s="124" t="s">
        <v>305</v>
      </c>
      <c r="I496" s="125">
        <v>1426</v>
      </c>
      <c r="J496" s="125">
        <v>1426</v>
      </c>
      <c r="K496" s="125">
        <v>1426</v>
      </c>
      <c r="L496" s="126">
        <v>53</v>
      </c>
      <c r="M496" s="124" t="s">
        <v>267</v>
      </c>
      <c r="N496" s="124" t="s">
        <v>268</v>
      </c>
      <c r="O496" s="127" t="s">
        <v>270</v>
      </c>
      <c r="P496" s="128">
        <v>852616.27</v>
      </c>
      <c r="Q496" s="128">
        <v>0</v>
      </c>
      <c r="R496" s="128">
        <v>0</v>
      </c>
      <c r="S496" s="128">
        <f>P496-Q496-R496</f>
        <v>852616.27</v>
      </c>
      <c r="T496" s="128">
        <f t="shared" si="111"/>
        <v>597.90762272089762</v>
      </c>
      <c r="U496" s="128">
        <v>845.95975666199149</v>
      </c>
      <c r="V496" s="257">
        <f t="shared" si="114"/>
        <v>248.05213394109387</v>
      </c>
      <c r="W496" s="257">
        <f t="shared" si="120"/>
        <v>942.9679328892006</v>
      </c>
      <c r="X496" s="257">
        <v>0</v>
      </c>
      <c r="Y496" s="258">
        <v>0</v>
      </c>
      <c r="Z496" s="258">
        <v>0</v>
      </c>
      <c r="AA496" s="258">
        <v>0</v>
      </c>
      <c r="AB496" s="258">
        <v>0</v>
      </c>
      <c r="AC496" s="258">
        <v>0</v>
      </c>
      <c r="AD496" s="258">
        <v>0</v>
      </c>
      <c r="AE496" s="258">
        <v>215.53</v>
      </c>
      <c r="AF496" s="257">
        <f>6238.91*AE496/I496</f>
        <v>942.9679328892006</v>
      </c>
      <c r="AG496" s="258">
        <v>0</v>
      </c>
      <c r="AH496" s="257">
        <v>0</v>
      </c>
      <c r="AI496" s="258">
        <v>0</v>
      </c>
      <c r="AJ496" s="257">
        <v>0</v>
      </c>
      <c r="AK496" s="258">
        <v>0</v>
      </c>
      <c r="AL496" s="258">
        <v>0</v>
      </c>
      <c r="AM496" s="258">
        <v>0</v>
      </c>
      <c r="AN496" s="258"/>
      <c r="AO496" s="258">
        <v>0</v>
      </c>
    </row>
    <row r="497" spans="1:41" s="259" customFormat="1" ht="36" customHeight="1" x14ac:dyDescent="0.25">
      <c r="B497" s="94" t="s">
        <v>860</v>
      </c>
      <c r="C497" s="261"/>
      <c r="D497" s="124" t="s">
        <v>896</v>
      </c>
      <c r="E497" s="124" t="s">
        <v>896</v>
      </c>
      <c r="F497" s="124" t="s">
        <v>896</v>
      </c>
      <c r="G497" s="124" t="s">
        <v>896</v>
      </c>
      <c r="H497" s="124" t="s">
        <v>896</v>
      </c>
      <c r="I497" s="125">
        <f>SUM(I498:I502)</f>
        <v>2977.1</v>
      </c>
      <c r="J497" s="125">
        <f>SUM(J498:J502)</f>
        <v>2780.3</v>
      </c>
      <c r="K497" s="125">
        <f>SUM(K498:K502)</f>
        <v>2727.3</v>
      </c>
      <c r="L497" s="126">
        <f>SUM(L498:L502)</f>
        <v>125</v>
      </c>
      <c r="M497" s="124" t="s">
        <v>896</v>
      </c>
      <c r="N497" s="124" t="s">
        <v>896</v>
      </c>
      <c r="O497" s="127" t="s">
        <v>896</v>
      </c>
      <c r="P497" s="128">
        <v>7769795.6899999995</v>
      </c>
      <c r="Q497" s="128">
        <f>SUM(Q498:Q502)</f>
        <v>0</v>
      </c>
      <c r="R497" s="128">
        <f>SUM(R498:R502)</f>
        <v>0</v>
      </c>
      <c r="S497" s="128">
        <f>SUM(S498:S502)</f>
        <v>7769795.6899999995</v>
      </c>
      <c r="T497" s="128">
        <f t="shared" si="111"/>
        <v>2609.8537805246715</v>
      </c>
      <c r="U497" s="128">
        <f>MAX(U498:U502)</f>
        <v>9465.485926216641</v>
      </c>
      <c r="V497" s="257">
        <f t="shared" si="114"/>
        <v>6855.6321456919695</v>
      </c>
      <c r="W497" s="257"/>
      <c r="X497" s="257"/>
      <c r="Y497" s="258"/>
      <c r="Z497" s="258"/>
      <c r="AA497" s="258"/>
      <c r="AB497" s="258"/>
      <c r="AC497" s="258"/>
      <c r="AD497" s="258"/>
      <c r="AE497" s="258"/>
      <c r="AF497" s="258"/>
      <c r="AG497" s="258"/>
      <c r="AH497" s="258"/>
      <c r="AI497" s="258"/>
      <c r="AJ497" s="258"/>
      <c r="AK497" s="258"/>
      <c r="AL497" s="258"/>
      <c r="AM497" s="258"/>
      <c r="AN497" s="258"/>
      <c r="AO497" s="258"/>
    </row>
    <row r="498" spans="1:41" s="259" customFormat="1" ht="36" customHeight="1" x14ac:dyDescent="0.25">
      <c r="A498" s="259">
        <v>1</v>
      </c>
      <c r="B498" s="135">
        <f>SUBTOTAL(103,$A$16:A498)</f>
        <v>430</v>
      </c>
      <c r="C498" s="94" t="s">
        <v>89</v>
      </c>
      <c r="D498" s="124">
        <v>1969</v>
      </c>
      <c r="E498" s="124"/>
      <c r="F498" s="129" t="s">
        <v>269</v>
      </c>
      <c r="G498" s="124">
        <v>2</v>
      </c>
      <c r="H498" s="124" t="s">
        <v>305</v>
      </c>
      <c r="I498" s="128">
        <v>773.4</v>
      </c>
      <c r="J498" s="128">
        <v>714.5</v>
      </c>
      <c r="K498" s="128">
        <v>714.5</v>
      </c>
      <c r="L498" s="126">
        <v>41</v>
      </c>
      <c r="M498" s="124" t="s">
        <v>267</v>
      </c>
      <c r="N498" s="124" t="s">
        <v>271</v>
      </c>
      <c r="O498" s="127" t="s">
        <v>282</v>
      </c>
      <c r="P498" s="128">
        <v>2421334.88</v>
      </c>
      <c r="Q498" s="128">
        <v>0</v>
      </c>
      <c r="R498" s="128">
        <v>0</v>
      </c>
      <c r="S498" s="128">
        <f>P498-Q498-R498</f>
        <v>2421334.88</v>
      </c>
      <c r="T498" s="128">
        <f t="shared" si="111"/>
        <v>3130.7665890871476</v>
      </c>
      <c r="U498" s="128">
        <v>5091.3621799844841</v>
      </c>
      <c r="V498" s="257">
        <f t="shared" si="114"/>
        <v>1960.5955908973365</v>
      </c>
      <c r="W498" s="257">
        <f t="shared" ref="W498:W502" si="121">X498+Y498+Z498+AA498+AB498+AD498+AF498+AH498+AJ498+AL498+AN498+AO498</f>
        <v>5074.0553271269719</v>
      </c>
      <c r="X498" s="257">
        <v>0</v>
      </c>
      <c r="Y498" s="258">
        <v>0</v>
      </c>
      <c r="Z498" s="258">
        <v>0</v>
      </c>
      <c r="AA498" s="258">
        <v>0</v>
      </c>
      <c r="AB498" s="258">
        <v>0</v>
      </c>
      <c r="AC498" s="258">
        <v>0</v>
      </c>
      <c r="AD498" s="258">
        <v>0</v>
      </c>
      <c r="AE498" s="258">
        <v>629</v>
      </c>
      <c r="AF498" s="257">
        <f>6238.91*AE498/I498</f>
        <v>5074.0553271269719</v>
      </c>
      <c r="AG498" s="258">
        <v>0</v>
      </c>
      <c r="AH498" s="257">
        <v>0</v>
      </c>
      <c r="AI498" s="258">
        <v>0</v>
      </c>
      <c r="AJ498" s="257">
        <v>0</v>
      </c>
      <c r="AK498" s="258">
        <v>0</v>
      </c>
      <c r="AL498" s="258">
        <v>0</v>
      </c>
      <c r="AM498" s="258">
        <v>0</v>
      </c>
      <c r="AN498" s="258"/>
      <c r="AO498" s="258">
        <v>0</v>
      </c>
    </row>
    <row r="499" spans="1:41" s="259" customFormat="1" ht="36" customHeight="1" x14ac:dyDescent="0.25">
      <c r="A499" s="259">
        <v>1</v>
      </c>
      <c r="B499" s="135">
        <f>SUBTOTAL(103,$A$16:A499)</f>
        <v>431</v>
      </c>
      <c r="C499" s="94" t="s">
        <v>90</v>
      </c>
      <c r="D499" s="124">
        <v>1960</v>
      </c>
      <c r="E499" s="124"/>
      <c r="F499" s="129" t="s">
        <v>269</v>
      </c>
      <c r="G499" s="124">
        <v>2</v>
      </c>
      <c r="H499" s="124" t="s">
        <v>306</v>
      </c>
      <c r="I499" s="128">
        <v>382.2</v>
      </c>
      <c r="J499" s="128">
        <v>358.4</v>
      </c>
      <c r="K499" s="128">
        <v>358.4</v>
      </c>
      <c r="L499" s="126">
        <v>21</v>
      </c>
      <c r="M499" s="124" t="s">
        <v>267</v>
      </c>
      <c r="N499" s="124" t="s">
        <v>271</v>
      </c>
      <c r="O499" s="127" t="s">
        <v>282</v>
      </c>
      <c r="P499" s="128">
        <v>1656413.77</v>
      </c>
      <c r="Q499" s="128">
        <v>0</v>
      </c>
      <c r="R499" s="128">
        <v>0</v>
      </c>
      <c r="S499" s="128">
        <f>P499-Q499-R499</f>
        <v>1656413.77</v>
      </c>
      <c r="T499" s="128">
        <f t="shared" si="111"/>
        <v>4333.892647828362</v>
      </c>
      <c r="U499" s="128">
        <v>9465.485926216641</v>
      </c>
      <c r="V499" s="257">
        <f t="shared" si="114"/>
        <v>5131.593278388279</v>
      </c>
      <c r="W499" s="257">
        <f t="shared" si="121"/>
        <v>9465.485926216641</v>
      </c>
      <c r="X499" s="257">
        <v>0</v>
      </c>
      <c r="Y499" s="258">
        <v>0</v>
      </c>
      <c r="Z499" s="258">
        <v>0</v>
      </c>
      <c r="AA499" s="258">
        <v>0</v>
      </c>
      <c r="AB499" s="258">
        <v>0</v>
      </c>
      <c r="AC499" s="258">
        <v>0</v>
      </c>
      <c r="AD499" s="258">
        <v>0</v>
      </c>
      <c r="AE499" s="258">
        <v>0</v>
      </c>
      <c r="AF499" s="257">
        <v>0</v>
      </c>
      <c r="AG499" s="258">
        <v>0</v>
      </c>
      <c r="AH499" s="257">
        <v>0</v>
      </c>
      <c r="AI499" s="258">
        <v>486.31</v>
      </c>
      <c r="AJ499" s="257">
        <f>7439.1*AI499/I499</f>
        <v>9465.485926216641</v>
      </c>
      <c r="AK499" s="258">
        <v>0</v>
      </c>
      <c r="AL499" s="258">
        <v>0</v>
      </c>
      <c r="AM499" s="258">
        <v>0</v>
      </c>
      <c r="AN499" s="258"/>
      <c r="AO499" s="258">
        <v>0</v>
      </c>
    </row>
    <row r="500" spans="1:41" s="259" customFormat="1" ht="36" customHeight="1" x14ac:dyDescent="0.25">
      <c r="A500" s="259">
        <v>1</v>
      </c>
      <c r="B500" s="135">
        <f>SUBTOTAL(103,$A$16:A500)</f>
        <v>432</v>
      </c>
      <c r="C500" s="94" t="s">
        <v>1268</v>
      </c>
      <c r="D500" s="124">
        <v>1965</v>
      </c>
      <c r="E500" s="124"/>
      <c r="F500" s="129" t="s">
        <v>332</v>
      </c>
      <c r="G500" s="124">
        <v>2</v>
      </c>
      <c r="H500" s="124" t="s">
        <v>306</v>
      </c>
      <c r="I500" s="128">
        <v>377</v>
      </c>
      <c r="J500" s="128">
        <v>377</v>
      </c>
      <c r="K500" s="128">
        <v>377</v>
      </c>
      <c r="L500" s="126">
        <v>23</v>
      </c>
      <c r="M500" s="124" t="s">
        <v>267</v>
      </c>
      <c r="N500" s="124" t="s">
        <v>271</v>
      </c>
      <c r="O500" s="127" t="s">
        <v>282</v>
      </c>
      <c r="P500" s="128">
        <v>510085.62</v>
      </c>
      <c r="Q500" s="128">
        <v>0</v>
      </c>
      <c r="R500" s="128">
        <v>0</v>
      </c>
      <c r="S500" s="128">
        <f>P500-Q500-R500</f>
        <v>510085.62</v>
      </c>
      <c r="T500" s="128">
        <f t="shared" si="111"/>
        <v>1353.0122546419097</v>
      </c>
      <c r="U500" s="128">
        <v>4631.2681034482757</v>
      </c>
      <c r="V500" s="257">
        <f t="shared" si="114"/>
        <v>3278.255848806366</v>
      </c>
      <c r="W500" s="257">
        <f t="shared" si="121"/>
        <v>4631.2681034482757</v>
      </c>
      <c r="X500" s="257">
        <v>0</v>
      </c>
      <c r="Y500" s="258">
        <v>0</v>
      </c>
      <c r="Z500" s="258">
        <v>0</v>
      </c>
      <c r="AA500" s="258">
        <v>0</v>
      </c>
      <c r="AB500" s="258">
        <v>0</v>
      </c>
      <c r="AC500" s="258">
        <v>0</v>
      </c>
      <c r="AD500" s="258">
        <v>0</v>
      </c>
      <c r="AE500" s="258">
        <v>0</v>
      </c>
      <c r="AF500" s="257">
        <v>0</v>
      </c>
      <c r="AG500" s="258">
        <v>0</v>
      </c>
      <c r="AH500" s="257">
        <v>0</v>
      </c>
      <c r="AI500" s="258">
        <v>438.75</v>
      </c>
      <c r="AJ500" s="257">
        <f>3979.46*AI500/I500</f>
        <v>4631.2681034482757</v>
      </c>
      <c r="AK500" s="258">
        <v>0</v>
      </c>
      <c r="AL500" s="258">
        <v>0</v>
      </c>
      <c r="AM500" s="258">
        <v>0</v>
      </c>
      <c r="AN500" s="258"/>
      <c r="AO500" s="258">
        <v>0</v>
      </c>
    </row>
    <row r="501" spans="1:41" s="259" customFormat="1" ht="36" customHeight="1" x14ac:dyDescent="0.25">
      <c r="A501" s="259">
        <v>1</v>
      </c>
      <c r="B501" s="135">
        <f>SUBTOTAL(103,$A$16:A501)</f>
        <v>433</v>
      </c>
      <c r="C501" s="94" t="s">
        <v>1269</v>
      </c>
      <c r="D501" s="124">
        <v>1917</v>
      </c>
      <c r="E501" s="124"/>
      <c r="F501" s="129" t="s">
        <v>269</v>
      </c>
      <c r="G501" s="124">
        <v>2</v>
      </c>
      <c r="H501" s="124" t="s">
        <v>306</v>
      </c>
      <c r="I501" s="128">
        <v>319.3</v>
      </c>
      <c r="J501" s="128">
        <v>205.2</v>
      </c>
      <c r="K501" s="128">
        <v>152.19999999999999</v>
      </c>
      <c r="L501" s="126">
        <v>14</v>
      </c>
      <c r="M501" s="124" t="s">
        <v>267</v>
      </c>
      <c r="N501" s="124" t="s">
        <v>268</v>
      </c>
      <c r="O501" s="127" t="s">
        <v>270</v>
      </c>
      <c r="P501" s="128">
        <v>81322.009999999995</v>
      </c>
      <c r="Q501" s="128">
        <v>0</v>
      </c>
      <c r="R501" s="128">
        <v>0</v>
      </c>
      <c r="S501" s="128">
        <f>P501-Q501-R501</f>
        <v>81322.009999999995</v>
      </c>
      <c r="T501" s="128">
        <f t="shared" si="111"/>
        <v>254.68841215158156</v>
      </c>
      <c r="U501" s="128">
        <v>460.38208581271527</v>
      </c>
      <c r="V501" s="257">
        <f t="shared" si="114"/>
        <v>205.69367366113372</v>
      </c>
      <c r="W501" s="257">
        <f t="shared" si="121"/>
        <v>16986.682774819921</v>
      </c>
      <c r="X501" s="257">
        <v>0</v>
      </c>
      <c r="Y501" s="258">
        <v>0</v>
      </c>
      <c r="Z501" s="258">
        <v>0</v>
      </c>
      <c r="AA501" s="258">
        <v>0</v>
      </c>
      <c r="AB501" s="258">
        <v>0</v>
      </c>
      <c r="AC501" s="258">
        <v>0</v>
      </c>
      <c r="AD501" s="258">
        <v>0</v>
      </c>
      <c r="AE501" s="258">
        <v>0</v>
      </c>
      <c r="AF501" s="257">
        <v>0</v>
      </c>
      <c r="AG501" s="258">
        <v>0</v>
      </c>
      <c r="AH501" s="257">
        <v>0</v>
      </c>
      <c r="AI501" s="258">
        <v>729.1</v>
      </c>
      <c r="AJ501" s="257">
        <f>7439.1*AI501/I501</f>
        <v>16986.682774819921</v>
      </c>
      <c r="AK501" s="258">
        <v>0</v>
      </c>
      <c r="AL501" s="258">
        <v>0</v>
      </c>
      <c r="AM501" s="258">
        <v>0</v>
      </c>
      <c r="AN501" s="258"/>
      <c r="AO501" s="258">
        <v>0</v>
      </c>
    </row>
    <row r="502" spans="1:41" s="259" customFormat="1" ht="36" customHeight="1" x14ac:dyDescent="0.25">
      <c r="A502" s="259">
        <v>1</v>
      </c>
      <c r="B502" s="135">
        <f>SUBTOTAL(103,$A$16:A502)</f>
        <v>434</v>
      </c>
      <c r="C502" s="94" t="s">
        <v>1270</v>
      </c>
      <c r="D502" s="124">
        <v>1978</v>
      </c>
      <c r="E502" s="124"/>
      <c r="F502" s="129" t="s">
        <v>1348</v>
      </c>
      <c r="G502" s="124">
        <v>2</v>
      </c>
      <c r="H502" s="124" t="s">
        <v>310</v>
      </c>
      <c r="I502" s="128">
        <v>1125.2</v>
      </c>
      <c r="J502" s="128">
        <v>1125.2</v>
      </c>
      <c r="K502" s="128">
        <v>1125.2</v>
      </c>
      <c r="L502" s="126">
        <v>26</v>
      </c>
      <c r="M502" s="124" t="s">
        <v>267</v>
      </c>
      <c r="N502" s="124" t="s">
        <v>271</v>
      </c>
      <c r="O502" s="127" t="s">
        <v>1349</v>
      </c>
      <c r="P502" s="128">
        <v>3100639.4099999997</v>
      </c>
      <c r="Q502" s="128">
        <v>0</v>
      </c>
      <c r="R502" s="128">
        <v>0</v>
      </c>
      <c r="S502" s="128">
        <f>P502-Q502-R502</f>
        <v>3100639.4099999997</v>
      </c>
      <c r="T502" s="128">
        <f t="shared" si="111"/>
        <v>2755.6340295058653</v>
      </c>
      <c r="U502" s="128">
        <v>5141.9015268396734</v>
      </c>
      <c r="V502" s="257">
        <f t="shared" si="114"/>
        <v>2386.267497333808</v>
      </c>
      <c r="W502" s="257">
        <f t="shared" si="121"/>
        <v>5124.4228777106291</v>
      </c>
      <c r="X502" s="257">
        <v>0</v>
      </c>
      <c r="Y502" s="258">
        <v>0</v>
      </c>
      <c r="Z502" s="258">
        <v>0</v>
      </c>
      <c r="AA502" s="258">
        <v>0</v>
      </c>
      <c r="AB502" s="258">
        <v>0</v>
      </c>
      <c r="AC502" s="258">
        <v>0</v>
      </c>
      <c r="AD502" s="258">
        <v>0</v>
      </c>
      <c r="AE502" s="258">
        <v>924.2</v>
      </c>
      <c r="AF502" s="257">
        <f>6238.91*AE502/I502</f>
        <v>5124.4228777106291</v>
      </c>
      <c r="AG502" s="258">
        <v>0</v>
      </c>
      <c r="AH502" s="257">
        <v>0</v>
      </c>
      <c r="AI502" s="258">
        <v>0</v>
      </c>
      <c r="AJ502" s="257">
        <v>0</v>
      </c>
      <c r="AK502" s="258">
        <v>0</v>
      </c>
      <c r="AL502" s="258">
        <v>0</v>
      </c>
      <c r="AM502" s="258">
        <v>0</v>
      </c>
      <c r="AN502" s="258"/>
      <c r="AO502" s="258">
        <v>0</v>
      </c>
    </row>
    <row r="503" spans="1:41" s="259" customFormat="1" ht="36" customHeight="1" x14ac:dyDescent="0.25">
      <c r="B503" s="94" t="s">
        <v>887</v>
      </c>
      <c r="C503" s="94"/>
      <c r="D503" s="124" t="s">
        <v>896</v>
      </c>
      <c r="E503" s="124" t="s">
        <v>896</v>
      </c>
      <c r="F503" s="124" t="s">
        <v>896</v>
      </c>
      <c r="G503" s="124" t="s">
        <v>896</v>
      </c>
      <c r="H503" s="124" t="s">
        <v>896</v>
      </c>
      <c r="I503" s="125">
        <f>I504</f>
        <v>1191.0999999999999</v>
      </c>
      <c r="J503" s="125">
        <f>J504</f>
        <v>714.7</v>
      </c>
      <c r="K503" s="125">
        <f>K504</f>
        <v>714.7</v>
      </c>
      <c r="L503" s="126">
        <f>L504</f>
        <v>26</v>
      </c>
      <c r="M503" s="124" t="s">
        <v>896</v>
      </c>
      <c r="N503" s="124" t="s">
        <v>896</v>
      </c>
      <c r="O503" s="127" t="s">
        <v>896</v>
      </c>
      <c r="P503" s="128">
        <v>2846268.34</v>
      </c>
      <c r="Q503" s="128">
        <f>Q504</f>
        <v>0</v>
      </c>
      <c r="R503" s="128">
        <f>R504</f>
        <v>0</v>
      </c>
      <c r="S503" s="128">
        <f>S504</f>
        <v>2846268.34</v>
      </c>
      <c r="T503" s="128">
        <f t="shared" si="111"/>
        <v>2389.6132482579128</v>
      </c>
      <c r="U503" s="128">
        <f>MAX(U504)</f>
        <v>3222.8599680967177</v>
      </c>
      <c r="V503" s="257">
        <f t="shared" si="114"/>
        <v>833.24671983880489</v>
      </c>
      <c r="W503" s="257"/>
      <c r="X503" s="257"/>
      <c r="Y503" s="258"/>
      <c r="Z503" s="258"/>
      <c r="AA503" s="258"/>
      <c r="AB503" s="258"/>
      <c r="AC503" s="258"/>
      <c r="AD503" s="258"/>
      <c r="AE503" s="258"/>
      <c r="AF503" s="258"/>
      <c r="AG503" s="258"/>
      <c r="AH503" s="258"/>
      <c r="AI503" s="258"/>
      <c r="AJ503" s="258"/>
      <c r="AK503" s="258"/>
      <c r="AL503" s="258"/>
      <c r="AM503" s="258"/>
      <c r="AN503" s="258"/>
      <c r="AO503" s="258"/>
    </row>
    <row r="504" spans="1:41" s="259" customFormat="1" ht="36" customHeight="1" x14ac:dyDescent="0.25">
      <c r="A504" s="259">
        <v>1</v>
      </c>
      <c r="B504" s="135">
        <f>SUBTOTAL(103,$A$16:A504)</f>
        <v>435</v>
      </c>
      <c r="C504" s="94" t="s">
        <v>91</v>
      </c>
      <c r="D504" s="124">
        <v>1967</v>
      </c>
      <c r="E504" s="124"/>
      <c r="F504" s="129" t="s">
        <v>269</v>
      </c>
      <c r="G504" s="124">
        <v>2</v>
      </c>
      <c r="H504" s="124" t="s">
        <v>305</v>
      </c>
      <c r="I504" s="128">
        <v>1191.0999999999999</v>
      </c>
      <c r="J504" s="128">
        <v>714.7</v>
      </c>
      <c r="K504" s="128">
        <v>714.7</v>
      </c>
      <c r="L504" s="126">
        <v>26</v>
      </c>
      <c r="M504" s="124" t="s">
        <v>267</v>
      </c>
      <c r="N504" s="124" t="s">
        <v>271</v>
      </c>
      <c r="O504" s="127" t="s">
        <v>283</v>
      </c>
      <c r="P504" s="128">
        <v>2846268.34</v>
      </c>
      <c r="Q504" s="128">
        <v>0</v>
      </c>
      <c r="R504" s="128">
        <v>0</v>
      </c>
      <c r="S504" s="128">
        <f>P504-Q504-R504</f>
        <v>2846268.34</v>
      </c>
      <c r="T504" s="128">
        <f t="shared" si="111"/>
        <v>2389.6132482579128</v>
      </c>
      <c r="U504" s="128">
        <v>3222.8599680967177</v>
      </c>
      <c r="V504" s="257">
        <f>U504-T504</f>
        <v>833.24671983880489</v>
      </c>
      <c r="W504" s="257">
        <f>X504+Y504+Z504+AA504+AB504+AD504+AF504+AH504+AJ504+AL504+AN504+AO504</f>
        <v>3211.90463605071</v>
      </c>
      <c r="X504" s="257">
        <v>0</v>
      </c>
      <c r="Y504" s="258">
        <v>0</v>
      </c>
      <c r="Z504" s="258">
        <v>0</v>
      </c>
      <c r="AA504" s="258">
        <v>0</v>
      </c>
      <c r="AB504" s="258">
        <v>0</v>
      </c>
      <c r="AC504" s="258">
        <v>0</v>
      </c>
      <c r="AD504" s="258">
        <v>0</v>
      </c>
      <c r="AE504" s="258">
        <v>613.20000000000005</v>
      </c>
      <c r="AF504" s="257">
        <f>6238.91*AE504/I504</f>
        <v>3211.90463605071</v>
      </c>
      <c r="AG504" s="258">
        <v>0</v>
      </c>
      <c r="AH504" s="257">
        <v>0</v>
      </c>
      <c r="AI504" s="258">
        <v>0</v>
      </c>
      <c r="AJ504" s="257">
        <v>0</v>
      </c>
      <c r="AK504" s="258">
        <v>0</v>
      </c>
      <c r="AL504" s="258">
        <v>0</v>
      </c>
      <c r="AM504" s="258">
        <v>0</v>
      </c>
      <c r="AN504" s="258"/>
      <c r="AO504" s="258">
        <v>0</v>
      </c>
    </row>
    <row r="505" spans="1:41" s="259" customFormat="1" ht="36" customHeight="1" x14ac:dyDescent="0.25">
      <c r="B505" s="94" t="s">
        <v>861</v>
      </c>
      <c r="C505" s="94"/>
      <c r="D505" s="124" t="s">
        <v>896</v>
      </c>
      <c r="E505" s="124" t="s">
        <v>896</v>
      </c>
      <c r="F505" s="124" t="s">
        <v>896</v>
      </c>
      <c r="G505" s="124" t="s">
        <v>896</v>
      </c>
      <c r="H505" s="124" t="s">
        <v>896</v>
      </c>
      <c r="I505" s="125">
        <f>SUM(I506:I507)</f>
        <v>1414.1</v>
      </c>
      <c r="J505" s="125">
        <f>SUM(J506:J507)</f>
        <v>1414.1</v>
      </c>
      <c r="K505" s="125">
        <f>SUM(K506:K507)</f>
        <v>1414.1</v>
      </c>
      <c r="L505" s="126">
        <f>SUM(L506:L507)</f>
        <v>84</v>
      </c>
      <c r="M505" s="124" t="s">
        <v>896</v>
      </c>
      <c r="N505" s="124" t="s">
        <v>896</v>
      </c>
      <c r="O505" s="127" t="s">
        <v>896</v>
      </c>
      <c r="P505" s="128">
        <v>2804062.75</v>
      </c>
      <c r="Q505" s="125">
        <f t="shared" ref="Q505:S505" si="122">SUM(Q506:Q507)</f>
        <v>0</v>
      </c>
      <c r="R505" s="125">
        <f t="shared" si="122"/>
        <v>0</v>
      </c>
      <c r="S505" s="125">
        <f t="shared" si="122"/>
        <v>2804062.75</v>
      </c>
      <c r="T505" s="128">
        <f t="shared" si="111"/>
        <v>1982.9310161940459</v>
      </c>
      <c r="U505" s="128">
        <f>MAX(U506:U507)</f>
        <v>5402.5617042492913</v>
      </c>
      <c r="V505" s="257">
        <f t="shared" si="114"/>
        <v>3419.6306880552456</v>
      </c>
      <c r="W505" s="257"/>
      <c r="X505" s="257"/>
      <c r="Y505" s="258"/>
      <c r="Z505" s="258"/>
      <c r="AA505" s="258"/>
      <c r="AB505" s="258"/>
      <c r="AC505" s="258"/>
      <c r="AD505" s="258"/>
      <c r="AE505" s="258"/>
      <c r="AF505" s="258"/>
      <c r="AG505" s="258"/>
      <c r="AH505" s="258"/>
      <c r="AI505" s="258"/>
      <c r="AJ505" s="258"/>
      <c r="AK505" s="258"/>
      <c r="AL505" s="258"/>
      <c r="AM505" s="258"/>
      <c r="AN505" s="258"/>
      <c r="AO505" s="258"/>
    </row>
    <row r="506" spans="1:41" s="259" customFormat="1" ht="36" customHeight="1" x14ac:dyDescent="0.25">
      <c r="A506" s="259">
        <v>1</v>
      </c>
      <c r="B506" s="135">
        <f>SUBTOTAL(103,$A$16:A506)</f>
        <v>436</v>
      </c>
      <c r="C506" s="94" t="s">
        <v>92</v>
      </c>
      <c r="D506" s="124">
        <v>1979</v>
      </c>
      <c r="E506" s="124"/>
      <c r="F506" s="129" t="s">
        <v>269</v>
      </c>
      <c r="G506" s="124">
        <v>2</v>
      </c>
      <c r="H506" s="124" t="s">
        <v>305</v>
      </c>
      <c r="I506" s="128">
        <v>706</v>
      </c>
      <c r="J506" s="128">
        <v>706</v>
      </c>
      <c r="K506" s="128">
        <v>706</v>
      </c>
      <c r="L506" s="126">
        <v>42</v>
      </c>
      <c r="M506" s="124" t="s">
        <v>267</v>
      </c>
      <c r="N506" s="124" t="s">
        <v>271</v>
      </c>
      <c r="O506" s="127" t="s">
        <v>1000</v>
      </c>
      <c r="P506" s="128">
        <v>2718963.56</v>
      </c>
      <c r="Q506" s="128">
        <v>0</v>
      </c>
      <c r="R506" s="128">
        <v>0</v>
      </c>
      <c r="S506" s="128">
        <f>P506-Q506-R506</f>
        <v>2718963.56</v>
      </c>
      <c r="T506" s="128">
        <f t="shared" si="111"/>
        <v>3851.2231728045326</v>
      </c>
      <c r="U506" s="128">
        <v>5402.5617042492913</v>
      </c>
      <c r="V506" s="257">
        <f>U506-T506</f>
        <v>1551.3385314447587</v>
      </c>
      <c r="W506" s="257">
        <f>X506+Y506+Z506+AA506+AB506+AD506+AF506+AH506+AJ506+AL506+AN506+AO506</f>
        <v>5384.1970039660055</v>
      </c>
      <c r="X506" s="257">
        <v>0</v>
      </c>
      <c r="Y506" s="258">
        <v>0</v>
      </c>
      <c r="Z506" s="258">
        <v>0</v>
      </c>
      <c r="AA506" s="258">
        <v>0</v>
      </c>
      <c r="AB506" s="258">
        <v>0</v>
      </c>
      <c r="AC506" s="258">
        <v>0</v>
      </c>
      <c r="AD506" s="258">
        <v>0</v>
      </c>
      <c r="AE506" s="258">
        <v>609.28</v>
      </c>
      <c r="AF506" s="257">
        <f>6238.91*AE506/I506</f>
        <v>5384.1970039660055</v>
      </c>
      <c r="AG506" s="258">
        <v>0</v>
      </c>
      <c r="AH506" s="257">
        <v>0</v>
      </c>
      <c r="AI506" s="258">
        <v>0</v>
      </c>
      <c r="AJ506" s="257">
        <v>0</v>
      </c>
      <c r="AK506" s="258">
        <v>0</v>
      </c>
      <c r="AL506" s="258">
        <v>0</v>
      </c>
      <c r="AM506" s="258">
        <v>0</v>
      </c>
      <c r="AN506" s="258"/>
      <c r="AO506" s="258">
        <v>0</v>
      </c>
    </row>
    <row r="507" spans="1:41" s="259" customFormat="1" ht="36" customHeight="1" x14ac:dyDescent="0.25">
      <c r="A507" s="259">
        <v>1</v>
      </c>
      <c r="B507" s="135">
        <f>SUBTOTAL(103,$A$16:A507)</f>
        <v>437</v>
      </c>
      <c r="C507" s="94" t="s">
        <v>97</v>
      </c>
      <c r="D507" s="124">
        <v>1969</v>
      </c>
      <c r="E507" s="124"/>
      <c r="F507" s="129" t="s">
        <v>269</v>
      </c>
      <c r="G507" s="124">
        <v>2</v>
      </c>
      <c r="H507" s="124" t="s">
        <v>305</v>
      </c>
      <c r="I507" s="128">
        <v>708.1</v>
      </c>
      <c r="J507" s="128">
        <v>708.1</v>
      </c>
      <c r="K507" s="128">
        <v>708.1</v>
      </c>
      <c r="L507" s="126">
        <v>42</v>
      </c>
      <c r="M507" s="124" t="s">
        <v>267</v>
      </c>
      <c r="N507" s="124" t="s">
        <v>271</v>
      </c>
      <c r="O507" s="127" t="s">
        <v>1000</v>
      </c>
      <c r="P507" s="128">
        <v>85099.19</v>
      </c>
      <c r="Q507" s="128">
        <v>0</v>
      </c>
      <c r="R507" s="128">
        <v>0</v>
      </c>
      <c r="S507" s="128">
        <f>P507-Q507-R507</f>
        <v>85099.19</v>
      </c>
      <c r="T507" s="128">
        <f t="shared" si="111"/>
        <v>120.17962152238384</v>
      </c>
      <c r="U507" s="128">
        <v>120.17962152238384</v>
      </c>
      <c r="V507" s="257">
        <f>U507-T507</f>
        <v>0</v>
      </c>
      <c r="W507" s="257">
        <f>X507+Y507+Z507+AA507+AB507+AD507+AF507+AH507+AJ507+AL507+AN507+AO507</f>
        <v>5368.229183448665</v>
      </c>
      <c r="X507" s="257">
        <v>0</v>
      </c>
      <c r="Y507" s="258">
        <v>0</v>
      </c>
      <c r="Z507" s="258">
        <v>0</v>
      </c>
      <c r="AA507" s="258">
        <v>0</v>
      </c>
      <c r="AB507" s="258">
        <v>0</v>
      </c>
      <c r="AC507" s="258">
        <v>0</v>
      </c>
      <c r="AD507" s="258">
        <v>0</v>
      </c>
      <c r="AE507" s="258">
        <v>609.28</v>
      </c>
      <c r="AF507" s="257">
        <f>6238.91*AE507/I507</f>
        <v>5368.229183448665</v>
      </c>
      <c r="AG507" s="258">
        <v>0</v>
      </c>
      <c r="AH507" s="257">
        <v>0</v>
      </c>
      <c r="AI507" s="258">
        <v>0</v>
      </c>
      <c r="AJ507" s="257">
        <v>0</v>
      </c>
      <c r="AK507" s="258">
        <v>0</v>
      </c>
      <c r="AL507" s="258">
        <v>0</v>
      </c>
      <c r="AM507" s="258">
        <v>0</v>
      </c>
      <c r="AN507" s="258"/>
      <c r="AO507" s="258">
        <v>0</v>
      </c>
    </row>
    <row r="508" spans="1:41" s="259" customFormat="1" ht="36" customHeight="1" x14ac:dyDescent="0.25">
      <c r="B508" s="94" t="s">
        <v>862</v>
      </c>
      <c r="C508" s="94"/>
      <c r="D508" s="124" t="s">
        <v>896</v>
      </c>
      <c r="E508" s="124" t="s">
        <v>896</v>
      </c>
      <c r="F508" s="124" t="s">
        <v>896</v>
      </c>
      <c r="G508" s="124" t="s">
        <v>896</v>
      </c>
      <c r="H508" s="124" t="s">
        <v>896</v>
      </c>
      <c r="I508" s="125">
        <f>SUM(I509:I510)</f>
        <v>2762.9</v>
      </c>
      <c r="J508" s="125">
        <f>SUM(J509:J510)</f>
        <v>2645</v>
      </c>
      <c r="K508" s="125">
        <f>SUM(K509:K510)</f>
        <v>2645</v>
      </c>
      <c r="L508" s="126">
        <f>SUM(L509:L510)</f>
        <v>125</v>
      </c>
      <c r="M508" s="124" t="s">
        <v>896</v>
      </c>
      <c r="N508" s="124" t="s">
        <v>896</v>
      </c>
      <c r="O508" s="127" t="s">
        <v>896</v>
      </c>
      <c r="P508" s="125">
        <v>4868704.13</v>
      </c>
      <c r="Q508" s="125">
        <f t="shared" ref="Q508:R508" si="123">SUM(Q509:Q510)</f>
        <v>0</v>
      </c>
      <c r="R508" s="125">
        <f t="shared" si="123"/>
        <v>0</v>
      </c>
      <c r="S508" s="125">
        <f>SUM(S509:S510)</f>
        <v>4868704.13</v>
      </c>
      <c r="T508" s="128">
        <f t="shared" si="111"/>
        <v>1762.171678309023</v>
      </c>
      <c r="U508" s="128">
        <f>MAX(U509:U510)</f>
        <v>3569.8449261624423</v>
      </c>
      <c r="V508" s="257">
        <f t="shared" si="114"/>
        <v>1807.6732478534193</v>
      </c>
      <c r="W508" s="257"/>
      <c r="X508" s="257"/>
      <c r="Y508" s="258"/>
      <c r="Z508" s="258"/>
      <c r="AA508" s="258"/>
      <c r="AB508" s="258"/>
      <c r="AC508" s="258"/>
      <c r="AD508" s="258"/>
      <c r="AE508" s="258"/>
      <c r="AF508" s="258"/>
      <c r="AG508" s="258"/>
      <c r="AH508" s="258"/>
      <c r="AI508" s="258"/>
      <c r="AJ508" s="258"/>
      <c r="AK508" s="258"/>
      <c r="AL508" s="258"/>
      <c r="AM508" s="258"/>
      <c r="AN508" s="258"/>
      <c r="AO508" s="258"/>
    </row>
    <row r="509" spans="1:41" s="259" customFormat="1" ht="36" customHeight="1" x14ac:dyDescent="0.25">
      <c r="A509" s="259">
        <v>1</v>
      </c>
      <c r="B509" s="135">
        <f>SUBTOTAL(103,$A$16:A509)</f>
        <v>438</v>
      </c>
      <c r="C509" s="94" t="s">
        <v>93</v>
      </c>
      <c r="D509" s="124">
        <v>1980</v>
      </c>
      <c r="E509" s="124"/>
      <c r="F509" s="129" t="s">
        <v>269</v>
      </c>
      <c r="G509" s="124" t="s">
        <v>314</v>
      </c>
      <c r="H509" s="124" t="s">
        <v>314</v>
      </c>
      <c r="I509" s="128">
        <v>2004.4</v>
      </c>
      <c r="J509" s="128">
        <v>1886.5</v>
      </c>
      <c r="K509" s="128">
        <v>1886.5</v>
      </c>
      <c r="L509" s="126">
        <v>94</v>
      </c>
      <c r="M509" s="124" t="s">
        <v>267</v>
      </c>
      <c r="N509" s="124" t="s">
        <v>271</v>
      </c>
      <c r="O509" s="127" t="s">
        <v>282</v>
      </c>
      <c r="P509" s="128">
        <v>4831403.93</v>
      </c>
      <c r="Q509" s="128">
        <v>0</v>
      </c>
      <c r="R509" s="128">
        <v>0</v>
      </c>
      <c r="S509" s="128">
        <f>P509-Q509-R509</f>
        <v>4831403.93</v>
      </c>
      <c r="T509" s="128">
        <f t="shared" si="111"/>
        <v>2410.3990870085809</v>
      </c>
      <c r="U509" s="128">
        <v>3569.8449261624423</v>
      </c>
      <c r="V509" s="257">
        <f t="shared" si="114"/>
        <v>1159.4458391538615</v>
      </c>
      <c r="W509" s="257">
        <f t="shared" ref="W509" si="124">X509+Y509+Z509+AA509+AB509+AD509+AF509+AH509+AJ509+AL509+AN509+AO509</f>
        <v>3557.7101027738972</v>
      </c>
      <c r="X509" s="257">
        <v>0</v>
      </c>
      <c r="Y509" s="258">
        <v>0</v>
      </c>
      <c r="Z509" s="258">
        <v>0</v>
      </c>
      <c r="AA509" s="258">
        <v>0</v>
      </c>
      <c r="AB509" s="258">
        <v>0</v>
      </c>
      <c r="AC509" s="258">
        <v>0</v>
      </c>
      <c r="AD509" s="258">
        <v>0</v>
      </c>
      <c r="AE509" s="258">
        <v>1143</v>
      </c>
      <c r="AF509" s="257">
        <f>6238.91*AE509/I509</f>
        <v>3557.7101027738972</v>
      </c>
      <c r="AG509" s="258">
        <v>0</v>
      </c>
      <c r="AH509" s="257">
        <v>0</v>
      </c>
      <c r="AI509" s="258">
        <v>0</v>
      </c>
      <c r="AJ509" s="257">
        <v>0</v>
      </c>
      <c r="AK509" s="258">
        <v>0</v>
      </c>
      <c r="AL509" s="258">
        <v>0</v>
      </c>
      <c r="AM509" s="258">
        <v>0</v>
      </c>
      <c r="AN509" s="258"/>
      <c r="AO509" s="258">
        <v>0</v>
      </c>
    </row>
    <row r="510" spans="1:41" s="259" customFormat="1" ht="36" customHeight="1" x14ac:dyDescent="0.25">
      <c r="A510" s="259">
        <v>1</v>
      </c>
      <c r="B510" s="135">
        <f>SUBTOTAL(103,$A$16:A510)</f>
        <v>439</v>
      </c>
      <c r="C510" s="94" t="s">
        <v>1621</v>
      </c>
      <c r="D510" s="124">
        <v>1974</v>
      </c>
      <c r="E510" s="124"/>
      <c r="F510" s="129" t="s">
        <v>1348</v>
      </c>
      <c r="G510" s="124">
        <v>2</v>
      </c>
      <c r="H510" s="124" t="s">
        <v>314</v>
      </c>
      <c r="I510" s="125">
        <v>758.5</v>
      </c>
      <c r="J510" s="125">
        <v>758.5</v>
      </c>
      <c r="K510" s="125">
        <v>758.5</v>
      </c>
      <c r="L510" s="126">
        <v>31</v>
      </c>
      <c r="M510" s="124" t="s">
        <v>267</v>
      </c>
      <c r="N510" s="124" t="s">
        <v>268</v>
      </c>
      <c r="O510" s="127" t="s">
        <v>270</v>
      </c>
      <c r="P510" s="128">
        <v>37300.199999999997</v>
      </c>
      <c r="Q510" s="128">
        <v>0</v>
      </c>
      <c r="R510" s="128">
        <v>0</v>
      </c>
      <c r="S510" s="128">
        <f>P510-Q510-R510</f>
        <v>37300.199999999997</v>
      </c>
      <c r="T510" s="128">
        <f t="shared" si="111"/>
        <v>49.176268951878704</v>
      </c>
      <c r="U510" s="128">
        <v>59.011522742254449</v>
      </c>
      <c r="V510" s="257">
        <f t="shared" si="114"/>
        <v>9.8352537903757451</v>
      </c>
      <c r="W510" s="257">
        <f>T510</f>
        <v>49.176268951878704</v>
      </c>
      <c r="X510" s="257">
        <v>0</v>
      </c>
      <c r="Y510" s="258">
        <v>0</v>
      </c>
      <c r="Z510" s="258">
        <v>0</v>
      </c>
      <c r="AA510" s="258">
        <v>184.98</v>
      </c>
      <c r="AB510" s="258">
        <v>0</v>
      </c>
      <c r="AC510" s="258">
        <v>0</v>
      </c>
      <c r="AD510" s="258">
        <v>0</v>
      </c>
      <c r="AE510" s="258">
        <v>0</v>
      </c>
      <c r="AF510" s="257">
        <v>0</v>
      </c>
      <c r="AG510" s="258">
        <v>0</v>
      </c>
      <c r="AH510" s="257">
        <v>0</v>
      </c>
      <c r="AI510" s="258">
        <v>0</v>
      </c>
      <c r="AJ510" s="257">
        <v>0</v>
      </c>
      <c r="AK510" s="258">
        <v>0</v>
      </c>
      <c r="AL510" s="258">
        <v>0</v>
      </c>
      <c r="AM510" s="258">
        <v>0</v>
      </c>
      <c r="AN510" s="258"/>
      <c r="AO510" s="258">
        <v>0</v>
      </c>
    </row>
    <row r="511" spans="1:41" s="259" customFormat="1" ht="36" customHeight="1" x14ac:dyDescent="0.25">
      <c r="B511" s="94" t="s">
        <v>863</v>
      </c>
      <c r="C511" s="94"/>
      <c r="D511" s="124" t="s">
        <v>896</v>
      </c>
      <c r="E511" s="124" t="s">
        <v>896</v>
      </c>
      <c r="F511" s="124" t="s">
        <v>896</v>
      </c>
      <c r="G511" s="124" t="s">
        <v>896</v>
      </c>
      <c r="H511" s="124" t="s">
        <v>896</v>
      </c>
      <c r="I511" s="125">
        <f>I512</f>
        <v>702.7</v>
      </c>
      <c r="J511" s="125">
        <f>J512</f>
        <v>702.7</v>
      </c>
      <c r="K511" s="125">
        <f>K512</f>
        <v>702.7</v>
      </c>
      <c r="L511" s="126">
        <f>L512</f>
        <v>16</v>
      </c>
      <c r="M511" s="124" t="s">
        <v>896</v>
      </c>
      <c r="N511" s="124" t="s">
        <v>896</v>
      </c>
      <c r="O511" s="127" t="s">
        <v>896</v>
      </c>
      <c r="P511" s="128">
        <v>2570556.2200000002</v>
      </c>
      <c r="Q511" s="128">
        <f>Q512</f>
        <v>0</v>
      </c>
      <c r="R511" s="128">
        <f>R512</f>
        <v>0</v>
      </c>
      <c r="S511" s="128">
        <f>S512</f>
        <v>2570556.2200000002</v>
      </c>
      <c r="T511" s="128">
        <f t="shared" si="111"/>
        <v>3658.1133058204073</v>
      </c>
      <c r="U511" s="128">
        <f>MAX(U512)</f>
        <v>6188.9198704995015</v>
      </c>
      <c r="V511" s="257">
        <f t="shared" si="114"/>
        <v>2530.8065646790942</v>
      </c>
      <c r="W511" s="257"/>
      <c r="X511" s="257"/>
      <c r="Y511" s="258"/>
      <c r="Z511" s="258"/>
      <c r="AA511" s="258"/>
      <c r="AB511" s="258"/>
      <c r="AC511" s="258"/>
      <c r="AD511" s="258"/>
      <c r="AE511" s="258"/>
      <c r="AF511" s="258"/>
      <c r="AG511" s="258"/>
      <c r="AH511" s="258"/>
      <c r="AI511" s="258"/>
      <c r="AJ511" s="258"/>
      <c r="AK511" s="258"/>
      <c r="AL511" s="258"/>
      <c r="AM511" s="258"/>
      <c r="AN511" s="258"/>
      <c r="AO511" s="258"/>
    </row>
    <row r="512" spans="1:41" s="259" customFormat="1" ht="36" customHeight="1" x14ac:dyDescent="0.25">
      <c r="A512" s="259">
        <v>1</v>
      </c>
      <c r="B512" s="135">
        <f>SUBTOTAL(103,$A$16:A512)</f>
        <v>440</v>
      </c>
      <c r="C512" s="94" t="s">
        <v>94</v>
      </c>
      <c r="D512" s="124">
        <v>1969</v>
      </c>
      <c r="E512" s="124"/>
      <c r="F512" s="129" t="s">
        <v>269</v>
      </c>
      <c r="G512" s="124">
        <v>2</v>
      </c>
      <c r="H512" s="124" t="s">
        <v>305</v>
      </c>
      <c r="I512" s="128">
        <v>702.7</v>
      </c>
      <c r="J512" s="128">
        <v>702.7</v>
      </c>
      <c r="K512" s="128">
        <v>702.7</v>
      </c>
      <c r="L512" s="126">
        <v>16</v>
      </c>
      <c r="M512" s="124" t="s">
        <v>267</v>
      </c>
      <c r="N512" s="124" t="s">
        <v>271</v>
      </c>
      <c r="O512" s="127" t="s">
        <v>284</v>
      </c>
      <c r="P512" s="128">
        <v>2570556.2200000002</v>
      </c>
      <c r="Q512" s="128">
        <v>0</v>
      </c>
      <c r="R512" s="128">
        <v>0</v>
      </c>
      <c r="S512" s="128">
        <f>P512-Q512-R512</f>
        <v>2570556.2200000002</v>
      </c>
      <c r="T512" s="128">
        <f t="shared" si="111"/>
        <v>3658.1133058204073</v>
      </c>
      <c r="U512" s="128">
        <v>6188.9198704995015</v>
      </c>
      <c r="V512" s="257">
        <f>U512-T512</f>
        <v>2530.8065646790942</v>
      </c>
      <c r="W512" s="257">
        <f>X512+Y512+Z512+AA512+AB512+AD512+AF512+AH512+AJ512+AL512+AN512+AO512</f>
        <v>6167.8821360466764</v>
      </c>
      <c r="X512" s="257">
        <v>0</v>
      </c>
      <c r="Y512" s="258">
        <v>0</v>
      </c>
      <c r="Z512" s="258">
        <v>0</v>
      </c>
      <c r="AA512" s="258">
        <v>0</v>
      </c>
      <c r="AB512" s="258">
        <v>0</v>
      </c>
      <c r="AC512" s="258">
        <v>0</v>
      </c>
      <c r="AD512" s="258">
        <v>0</v>
      </c>
      <c r="AE512" s="258">
        <v>694.7</v>
      </c>
      <c r="AF512" s="257">
        <f>6238.91*AE512/I512</f>
        <v>6167.8821360466764</v>
      </c>
      <c r="AG512" s="258">
        <v>0</v>
      </c>
      <c r="AH512" s="257">
        <v>0</v>
      </c>
      <c r="AI512" s="258">
        <v>0</v>
      </c>
      <c r="AJ512" s="257">
        <v>0</v>
      </c>
      <c r="AK512" s="258">
        <v>0</v>
      </c>
      <c r="AL512" s="258">
        <v>0</v>
      </c>
      <c r="AM512" s="258">
        <v>0</v>
      </c>
      <c r="AN512" s="258"/>
      <c r="AO512" s="258">
        <v>0</v>
      </c>
    </row>
    <row r="513" spans="1:41" s="259" customFormat="1" ht="36" customHeight="1" x14ac:dyDescent="0.25">
      <c r="B513" s="94" t="s">
        <v>1271</v>
      </c>
      <c r="C513" s="94"/>
      <c r="D513" s="124" t="s">
        <v>896</v>
      </c>
      <c r="E513" s="124" t="s">
        <v>896</v>
      </c>
      <c r="F513" s="124" t="s">
        <v>896</v>
      </c>
      <c r="G513" s="124" t="s">
        <v>896</v>
      </c>
      <c r="H513" s="124" t="s">
        <v>896</v>
      </c>
      <c r="I513" s="125">
        <f>SUM(I514:I515)</f>
        <v>1625.9</v>
      </c>
      <c r="J513" s="125">
        <f>SUM(J514:J515)</f>
        <v>1564.5</v>
      </c>
      <c r="K513" s="125">
        <f>SUM(K514:K515)</f>
        <v>1564.5</v>
      </c>
      <c r="L513" s="126">
        <f>SUM(L514:L515)</f>
        <v>63</v>
      </c>
      <c r="M513" s="124" t="s">
        <v>896</v>
      </c>
      <c r="N513" s="124" t="s">
        <v>896</v>
      </c>
      <c r="O513" s="127" t="s">
        <v>896</v>
      </c>
      <c r="P513" s="128">
        <v>2397267.1699999995</v>
      </c>
      <c r="Q513" s="125">
        <f t="shared" ref="Q513:R513" si="125">SUM(Q514:Q515)</f>
        <v>0</v>
      </c>
      <c r="R513" s="125">
        <f t="shared" si="125"/>
        <v>0</v>
      </c>
      <c r="S513" s="125">
        <f t="shared" ref="S513" si="126">SUM(S514:S515)</f>
        <v>2397267.1699999995</v>
      </c>
      <c r="T513" s="128">
        <f t="shared" si="111"/>
        <v>1474.4247309182601</v>
      </c>
      <c r="U513" s="128">
        <f>MAX(U514:U515)</f>
        <v>4156.29</v>
      </c>
      <c r="V513" s="257">
        <f t="shared" si="114"/>
        <v>2681.8652690817398</v>
      </c>
      <c r="W513" s="257"/>
      <c r="X513" s="257"/>
      <c r="Y513" s="258"/>
      <c r="Z513" s="258"/>
      <c r="AA513" s="258"/>
      <c r="AB513" s="258"/>
      <c r="AC513" s="258"/>
      <c r="AD513" s="258"/>
      <c r="AE513" s="258"/>
      <c r="AF513" s="258"/>
      <c r="AG513" s="258"/>
      <c r="AH513" s="258"/>
      <c r="AI513" s="258"/>
      <c r="AJ513" s="258"/>
      <c r="AK513" s="258"/>
      <c r="AL513" s="258"/>
      <c r="AM513" s="258"/>
      <c r="AN513" s="258"/>
      <c r="AO513" s="258"/>
    </row>
    <row r="514" spans="1:41" s="259" customFormat="1" ht="36" customHeight="1" x14ac:dyDescent="0.25">
      <c r="A514" s="259">
        <v>1</v>
      </c>
      <c r="B514" s="135">
        <f>SUBTOTAL(103,$A$16:A514)</f>
        <v>441</v>
      </c>
      <c r="C514" s="94" t="s">
        <v>1272</v>
      </c>
      <c r="D514" s="124">
        <v>1981</v>
      </c>
      <c r="E514" s="124"/>
      <c r="F514" s="129" t="s">
        <v>338</v>
      </c>
      <c r="G514" s="124">
        <v>2</v>
      </c>
      <c r="H514" s="124" t="s">
        <v>314</v>
      </c>
      <c r="I514" s="128">
        <v>837.6</v>
      </c>
      <c r="J514" s="128">
        <v>837.6</v>
      </c>
      <c r="K514" s="128">
        <v>837.6</v>
      </c>
      <c r="L514" s="126">
        <v>47</v>
      </c>
      <c r="M514" s="124" t="s">
        <v>267</v>
      </c>
      <c r="N514" s="124" t="s">
        <v>271</v>
      </c>
      <c r="O514" s="127" t="s">
        <v>1303</v>
      </c>
      <c r="P514" s="128">
        <v>2309984.3499999996</v>
      </c>
      <c r="Q514" s="128">
        <v>0</v>
      </c>
      <c r="R514" s="128">
        <v>0</v>
      </c>
      <c r="S514" s="128">
        <f>P514-Q514-R514</f>
        <v>2309984.3499999996</v>
      </c>
      <c r="T514" s="128">
        <f t="shared" si="111"/>
        <v>2757.8609718242592</v>
      </c>
      <c r="U514" s="128">
        <v>4156.29</v>
      </c>
      <c r="V514" s="257">
        <f>U514-T514</f>
        <v>1398.4290281757408</v>
      </c>
      <c r="W514" s="257">
        <f>X514+Y514+Z514+AA514+AB514+AD514+AF514+AH514+AJ514+AL514+AN514+AO514</f>
        <v>4239.95</v>
      </c>
      <c r="X514" s="257">
        <v>0</v>
      </c>
      <c r="Y514" s="258">
        <v>0</v>
      </c>
      <c r="Z514" s="258">
        <v>3259.66</v>
      </c>
      <c r="AA514" s="258">
        <v>184.98</v>
      </c>
      <c r="AB514" s="258">
        <v>795.31</v>
      </c>
      <c r="AC514" s="258">
        <v>0</v>
      </c>
      <c r="AD514" s="258">
        <v>0</v>
      </c>
      <c r="AE514" s="258">
        <v>0</v>
      </c>
      <c r="AF514" s="257">
        <v>0</v>
      </c>
      <c r="AG514" s="258">
        <v>0</v>
      </c>
      <c r="AH514" s="257">
        <v>0</v>
      </c>
      <c r="AI514" s="258">
        <v>0</v>
      </c>
      <c r="AJ514" s="257">
        <v>0</v>
      </c>
      <c r="AK514" s="258">
        <v>0</v>
      </c>
      <c r="AL514" s="258">
        <v>0</v>
      </c>
      <c r="AM514" s="258">
        <v>0</v>
      </c>
      <c r="AN514" s="258"/>
      <c r="AO514" s="258">
        <v>0</v>
      </c>
    </row>
    <row r="515" spans="1:41" s="259" customFormat="1" ht="36" customHeight="1" x14ac:dyDescent="0.25">
      <c r="A515" s="259">
        <v>1</v>
      </c>
      <c r="B515" s="135">
        <f>SUBTOTAL(103,$A$16:A515)</f>
        <v>442</v>
      </c>
      <c r="C515" s="94" t="s">
        <v>98</v>
      </c>
      <c r="D515" s="124">
        <v>1972</v>
      </c>
      <c r="E515" s="124"/>
      <c r="F515" s="129" t="s">
        <v>269</v>
      </c>
      <c r="G515" s="124">
        <v>2</v>
      </c>
      <c r="H515" s="124" t="s">
        <v>305</v>
      </c>
      <c r="I515" s="128">
        <v>788.3</v>
      </c>
      <c r="J515" s="128">
        <v>726.9</v>
      </c>
      <c r="K515" s="128">
        <v>726.9</v>
      </c>
      <c r="L515" s="126">
        <v>16</v>
      </c>
      <c r="M515" s="124" t="s">
        <v>267</v>
      </c>
      <c r="N515" s="124" t="s">
        <v>285</v>
      </c>
      <c r="O515" s="127" t="s">
        <v>270</v>
      </c>
      <c r="P515" s="128">
        <v>87282.82</v>
      </c>
      <c r="Q515" s="128">
        <v>0</v>
      </c>
      <c r="R515" s="128">
        <v>0</v>
      </c>
      <c r="S515" s="128">
        <f>P515-Q515-R515</f>
        <v>87282.82</v>
      </c>
      <c r="T515" s="128">
        <f t="shared" si="111"/>
        <v>110.72284663199291</v>
      </c>
      <c r="U515" s="128">
        <v>110.72284663199291</v>
      </c>
      <c r="V515" s="257">
        <f>U515-T515</f>
        <v>0</v>
      </c>
      <c r="W515" s="257">
        <f>X515+Y515+Z515+AA515+AB515+AD515+AF515+AH515+AJ515+AL515+AN515+AO515</f>
        <v>4239.95</v>
      </c>
      <c r="X515" s="257">
        <v>0</v>
      </c>
      <c r="Y515" s="258">
        <v>0</v>
      </c>
      <c r="Z515" s="258">
        <v>3259.66</v>
      </c>
      <c r="AA515" s="258">
        <v>184.98</v>
      </c>
      <c r="AB515" s="258">
        <v>795.31</v>
      </c>
      <c r="AC515" s="258">
        <v>0</v>
      </c>
      <c r="AD515" s="258">
        <v>0</v>
      </c>
      <c r="AE515" s="258">
        <v>0</v>
      </c>
      <c r="AF515" s="257">
        <v>0</v>
      </c>
      <c r="AG515" s="258">
        <v>0</v>
      </c>
      <c r="AH515" s="257">
        <v>0</v>
      </c>
      <c r="AI515" s="258">
        <v>0</v>
      </c>
      <c r="AJ515" s="257">
        <v>0</v>
      </c>
      <c r="AK515" s="258">
        <v>0</v>
      </c>
      <c r="AL515" s="258">
        <v>0</v>
      </c>
      <c r="AM515" s="258">
        <v>0</v>
      </c>
      <c r="AN515" s="258"/>
      <c r="AO515" s="258">
        <v>0</v>
      </c>
    </row>
    <row r="516" spans="1:41" s="259" customFormat="1" ht="36" customHeight="1" x14ac:dyDescent="0.25">
      <c r="B516" s="94" t="s">
        <v>864</v>
      </c>
      <c r="C516" s="261"/>
      <c r="D516" s="124" t="s">
        <v>896</v>
      </c>
      <c r="E516" s="124" t="s">
        <v>896</v>
      </c>
      <c r="F516" s="124" t="s">
        <v>896</v>
      </c>
      <c r="G516" s="124" t="s">
        <v>896</v>
      </c>
      <c r="H516" s="124" t="s">
        <v>896</v>
      </c>
      <c r="I516" s="125">
        <f>SUM(I517:I521)</f>
        <v>2462.8000000000002</v>
      </c>
      <c r="J516" s="125">
        <f>SUM(J517:J521)</f>
        <v>2411.3999999999996</v>
      </c>
      <c r="K516" s="125">
        <f>SUM(K517:K521)</f>
        <v>2411.3999999999996</v>
      </c>
      <c r="L516" s="126">
        <f>SUM(L517:L521)</f>
        <v>120</v>
      </c>
      <c r="M516" s="124" t="s">
        <v>896</v>
      </c>
      <c r="N516" s="124" t="s">
        <v>896</v>
      </c>
      <c r="O516" s="127" t="s">
        <v>896</v>
      </c>
      <c r="P516" s="128">
        <v>5633529.5499999998</v>
      </c>
      <c r="Q516" s="128">
        <f>SUM(Q517:Q521)</f>
        <v>0</v>
      </c>
      <c r="R516" s="128">
        <f>SUM(R517:R521)</f>
        <v>0</v>
      </c>
      <c r="S516" s="128">
        <f>SUM(S517:S521)</f>
        <v>5633529.5499999998</v>
      </c>
      <c r="T516" s="128">
        <f t="shared" si="111"/>
        <v>2287.4490620432025</v>
      </c>
      <c r="U516" s="128">
        <f>MAX(U517:U521)</f>
        <v>6271.6608016491055</v>
      </c>
      <c r="V516" s="257">
        <f t="shared" si="114"/>
        <v>3984.2117396059029</v>
      </c>
      <c r="W516" s="257"/>
      <c r="X516" s="257"/>
      <c r="Y516" s="258"/>
      <c r="Z516" s="258"/>
      <c r="AA516" s="258"/>
      <c r="AB516" s="258"/>
      <c r="AC516" s="258"/>
      <c r="AD516" s="258"/>
      <c r="AE516" s="258"/>
      <c r="AF516" s="258"/>
      <c r="AG516" s="258"/>
      <c r="AH516" s="258"/>
      <c r="AI516" s="258"/>
      <c r="AJ516" s="258"/>
      <c r="AK516" s="258"/>
      <c r="AL516" s="258"/>
      <c r="AM516" s="258"/>
      <c r="AN516" s="258"/>
      <c r="AO516" s="258"/>
    </row>
    <row r="517" spans="1:41" s="259" customFormat="1" ht="36" customHeight="1" x14ac:dyDescent="0.25">
      <c r="A517" s="259">
        <v>1</v>
      </c>
      <c r="B517" s="135">
        <f>SUBTOTAL(103,$A$16:A517)</f>
        <v>443</v>
      </c>
      <c r="C517" s="94" t="s">
        <v>185</v>
      </c>
      <c r="D517" s="124" t="s">
        <v>304</v>
      </c>
      <c r="E517" s="124"/>
      <c r="F517" s="129" t="s">
        <v>269</v>
      </c>
      <c r="G517" s="124" t="s">
        <v>305</v>
      </c>
      <c r="H517" s="124" t="s">
        <v>306</v>
      </c>
      <c r="I517" s="128">
        <v>259.5</v>
      </c>
      <c r="J517" s="128">
        <v>250.8</v>
      </c>
      <c r="K517" s="128">
        <v>250.8</v>
      </c>
      <c r="L517" s="126">
        <v>16</v>
      </c>
      <c r="M517" s="124" t="s">
        <v>267</v>
      </c>
      <c r="N517" s="124" t="s">
        <v>271</v>
      </c>
      <c r="O517" s="127" t="s">
        <v>1001</v>
      </c>
      <c r="P517" s="128">
        <v>1818849.49</v>
      </c>
      <c r="Q517" s="128">
        <v>0</v>
      </c>
      <c r="R517" s="128">
        <v>0</v>
      </c>
      <c r="S517" s="128">
        <f t="shared" ref="S517:S521" si="127">P517-Q517-R517</f>
        <v>1818849.49</v>
      </c>
      <c r="T517" s="128">
        <f t="shared" si="111"/>
        <v>7009.0539113680152</v>
      </c>
      <c r="U517" s="128">
        <v>6156.4566011560692</v>
      </c>
      <c r="V517" s="257">
        <f t="shared" si="114"/>
        <v>-852.59731021194602</v>
      </c>
      <c r="W517" s="257">
        <f t="shared" ref="W517:W521" si="128">X517+Y517+Z517+AA517+AB517+AD517+AF517+AH517+AJ517+AL517+AN517+AO517</f>
        <v>6135.5292177263964</v>
      </c>
      <c r="X517" s="257">
        <v>0</v>
      </c>
      <c r="Y517" s="258">
        <v>0</v>
      </c>
      <c r="Z517" s="258">
        <v>0</v>
      </c>
      <c r="AA517" s="258">
        <v>0</v>
      </c>
      <c r="AB517" s="258">
        <v>0</v>
      </c>
      <c r="AC517" s="258">
        <v>0</v>
      </c>
      <c r="AD517" s="258">
        <v>0</v>
      </c>
      <c r="AE517" s="258">
        <v>255.2</v>
      </c>
      <c r="AF517" s="257">
        <f>6238.91*AE517/I517</f>
        <v>6135.5292177263964</v>
      </c>
      <c r="AG517" s="258">
        <v>0</v>
      </c>
      <c r="AH517" s="257">
        <v>0</v>
      </c>
      <c r="AI517" s="258">
        <v>0</v>
      </c>
      <c r="AJ517" s="257">
        <v>0</v>
      </c>
      <c r="AK517" s="258">
        <v>0</v>
      </c>
      <c r="AL517" s="258">
        <v>0</v>
      </c>
      <c r="AM517" s="258">
        <v>0</v>
      </c>
      <c r="AN517" s="258"/>
      <c r="AO517" s="258">
        <v>0</v>
      </c>
    </row>
    <row r="518" spans="1:41" s="259" customFormat="1" ht="36" customHeight="1" x14ac:dyDescent="0.25">
      <c r="A518" s="259">
        <v>1</v>
      </c>
      <c r="B518" s="135">
        <f>SUBTOTAL(103,$A$16:A518)</f>
        <v>444</v>
      </c>
      <c r="C518" s="94" t="s">
        <v>184</v>
      </c>
      <c r="D518" s="124" t="s">
        <v>304</v>
      </c>
      <c r="E518" s="124"/>
      <c r="F518" s="129" t="s">
        <v>269</v>
      </c>
      <c r="G518" s="124" t="s">
        <v>305</v>
      </c>
      <c r="H518" s="124" t="s">
        <v>306</v>
      </c>
      <c r="I518" s="128">
        <v>365</v>
      </c>
      <c r="J518" s="128">
        <v>328</v>
      </c>
      <c r="K518" s="128">
        <v>328</v>
      </c>
      <c r="L518" s="126">
        <v>21</v>
      </c>
      <c r="M518" s="124" t="s">
        <v>267</v>
      </c>
      <c r="N518" s="124" t="s">
        <v>268</v>
      </c>
      <c r="O518" s="127" t="s">
        <v>270</v>
      </c>
      <c r="P518" s="128">
        <v>68497.22</v>
      </c>
      <c r="Q518" s="128">
        <v>0</v>
      </c>
      <c r="R518" s="128">
        <v>0</v>
      </c>
      <c r="S518" s="128">
        <f t="shared" si="127"/>
        <v>68497.22</v>
      </c>
      <c r="T518" s="128">
        <f t="shared" si="111"/>
        <v>187.66361643835617</v>
      </c>
      <c r="U518" s="128">
        <v>187.66361643835617</v>
      </c>
      <c r="V518" s="257">
        <f t="shared" si="114"/>
        <v>0</v>
      </c>
      <c r="W518" s="257">
        <f>T518</f>
        <v>187.66361643835617</v>
      </c>
      <c r="X518" s="257">
        <v>0</v>
      </c>
      <c r="Y518" s="258">
        <v>0</v>
      </c>
      <c r="Z518" s="258">
        <v>0</v>
      </c>
      <c r="AA518" s="258">
        <v>0</v>
      </c>
      <c r="AB518" s="258">
        <v>0</v>
      </c>
      <c r="AC518" s="258">
        <v>0</v>
      </c>
      <c r="AD518" s="258">
        <v>0</v>
      </c>
      <c r="AE518" s="258">
        <v>0</v>
      </c>
      <c r="AF518" s="257">
        <v>0</v>
      </c>
      <c r="AG518" s="258">
        <v>0</v>
      </c>
      <c r="AH518" s="257">
        <v>0</v>
      </c>
      <c r="AI518" s="258">
        <v>0</v>
      </c>
      <c r="AJ518" s="257">
        <v>0</v>
      </c>
      <c r="AK518" s="258">
        <v>0</v>
      </c>
      <c r="AL518" s="258">
        <v>0</v>
      </c>
      <c r="AM518" s="258">
        <v>0</v>
      </c>
      <c r="AN518" s="258"/>
      <c r="AO518" s="258">
        <v>0</v>
      </c>
    </row>
    <row r="519" spans="1:41" s="259" customFormat="1" ht="36" customHeight="1" x14ac:dyDescent="0.25">
      <c r="A519" s="259">
        <v>1</v>
      </c>
      <c r="B519" s="135">
        <f>SUBTOTAL(103,$A$16:A519)</f>
        <v>445</v>
      </c>
      <c r="C519" s="94" t="s">
        <v>1273</v>
      </c>
      <c r="D519" s="124">
        <v>1917</v>
      </c>
      <c r="E519" s="124"/>
      <c r="F519" s="129" t="s">
        <v>269</v>
      </c>
      <c r="G519" s="124">
        <v>2</v>
      </c>
      <c r="H519" s="124" t="s">
        <v>306</v>
      </c>
      <c r="I519" s="128">
        <v>436.6</v>
      </c>
      <c r="J519" s="128">
        <v>436.6</v>
      </c>
      <c r="K519" s="128">
        <v>436.6</v>
      </c>
      <c r="L519" s="126">
        <v>21</v>
      </c>
      <c r="M519" s="124" t="s">
        <v>267</v>
      </c>
      <c r="N519" s="124" t="s">
        <v>271</v>
      </c>
      <c r="O519" s="127" t="s">
        <v>1315</v>
      </c>
      <c r="P519" s="128">
        <v>1775691.4500000002</v>
      </c>
      <c r="Q519" s="128">
        <v>0</v>
      </c>
      <c r="R519" s="128">
        <v>0</v>
      </c>
      <c r="S519" s="128">
        <f t="shared" si="127"/>
        <v>1775691.4500000002</v>
      </c>
      <c r="T519" s="128">
        <f t="shared" si="111"/>
        <v>4067.0898992212556</v>
      </c>
      <c r="U519" s="128">
        <v>6271.6608016491055</v>
      </c>
      <c r="V519" s="257">
        <f t="shared" si="114"/>
        <v>2204.5709024278499</v>
      </c>
      <c r="W519" s="257">
        <f t="shared" si="128"/>
        <v>6250.3418094365543</v>
      </c>
      <c r="X519" s="257">
        <v>0</v>
      </c>
      <c r="Y519" s="258">
        <v>0</v>
      </c>
      <c r="Z519" s="258">
        <v>0</v>
      </c>
      <c r="AA519" s="258">
        <v>0</v>
      </c>
      <c r="AB519" s="258">
        <v>0</v>
      </c>
      <c r="AC519" s="258">
        <v>0</v>
      </c>
      <c r="AD519" s="258">
        <v>0</v>
      </c>
      <c r="AE519" s="258">
        <v>437.4</v>
      </c>
      <c r="AF519" s="257">
        <f>6238.91*AE519/I519</f>
        <v>6250.3418094365543</v>
      </c>
      <c r="AG519" s="258">
        <v>0</v>
      </c>
      <c r="AH519" s="257">
        <v>0</v>
      </c>
      <c r="AI519" s="258">
        <v>0</v>
      </c>
      <c r="AJ519" s="257">
        <v>0</v>
      </c>
      <c r="AK519" s="258">
        <v>0</v>
      </c>
      <c r="AL519" s="258">
        <v>0</v>
      </c>
      <c r="AM519" s="258">
        <v>0</v>
      </c>
      <c r="AN519" s="258"/>
      <c r="AO519" s="258">
        <v>0</v>
      </c>
    </row>
    <row r="520" spans="1:41" s="259" customFormat="1" ht="36" customHeight="1" x14ac:dyDescent="0.25">
      <c r="A520" s="259">
        <v>1</v>
      </c>
      <c r="B520" s="135">
        <f>SUBTOTAL(103,$A$16:A520)</f>
        <v>446</v>
      </c>
      <c r="C520" s="94" t="s">
        <v>1274</v>
      </c>
      <c r="D520" s="124">
        <v>1917</v>
      </c>
      <c r="E520" s="124"/>
      <c r="F520" s="129" t="s">
        <v>269</v>
      </c>
      <c r="G520" s="124">
        <v>2</v>
      </c>
      <c r="H520" s="124" t="s">
        <v>306</v>
      </c>
      <c r="I520" s="128">
        <v>476.7</v>
      </c>
      <c r="J520" s="128">
        <v>476.7</v>
      </c>
      <c r="K520" s="128">
        <v>476.7</v>
      </c>
      <c r="L520" s="126">
        <v>28</v>
      </c>
      <c r="M520" s="124" t="s">
        <v>267</v>
      </c>
      <c r="N520" s="124" t="s">
        <v>271</v>
      </c>
      <c r="O520" s="127" t="s">
        <v>1353</v>
      </c>
      <c r="P520" s="128">
        <v>1327119.4200000002</v>
      </c>
      <c r="Q520" s="128">
        <v>0</v>
      </c>
      <c r="R520" s="128">
        <v>0</v>
      </c>
      <c r="S520" s="128">
        <f t="shared" si="127"/>
        <v>1327119.4200000002</v>
      </c>
      <c r="T520" s="128">
        <f t="shared" si="111"/>
        <v>2783.9719320327254</v>
      </c>
      <c r="U520" s="128">
        <v>5357.9977344241661</v>
      </c>
      <c r="V520" s="257">
        <f t="shared" si="114"/>
        <v>2574.0258023914407</v>
      </c>
      <c r="W520" s="257">
        <f t="shared" si="128"/>
        <v>5339.7845185651349</v>
      </c>
      <c r="X520" s="257">
        <v>0</v>
      </c>
      <c r="Y520" s="258">
        <v>0</v>
      </c>
      <c r="Z520" s="258">
        <v>0</v>
      </c>
      <c r="AA520" s="258">
        <v>0</v>
      </c>
      <c r="AB520" s="258">
        <v>0</v>
      </c>
      <c r="AC520" s="258">
        <v>0</v>
      </c>
      <c r="AD520" s="258">
        <v>0</v>
      </c>
      <c r="AE520" s="258">
        <v>408</v>
      </c>
      <c r="AF520" s="257">
        <f>6238.91*AE520/I520</f>
        <v>5339.7845185651349</v>
      </c>
      <c r="AG520" s="258">
        <v>0</v>
      </c>
      <c r="AH520" s="257">
        <v>0</v>
      </c>
      <c r="AI520" s="258">
        <v>0</v>
      </c>
      <c r="AJ520" s="257">
        <v>0</v>
      </c>
      <c r="AK520" s="258">
        <v>0</v>
      </c>
      <c r="AL520" s="258">
        <v>0</v>
      </c>
      <c r="AM520" s="258">
        <v>0</v>
      </c>
      <c r="AN520" s="258"/>
      <c r="AO520" s="258">
        <v>0</v>
      </c>
    </row>
    <row r="521" spans="1:41" s="259" customFormat="1" ht="36" customHeight="1" x14ac:dyDescent="0.25">
      <c r="A521" s="259">
        <v>1</v>
      </c>
      <c r="B521" s="135">
        <f>SUBTOTAL(103,$A$16:A521)</f>
        <v>447</v>
      </c>
      <c r="C521" s="94" t="s">
        <v>1275</v>
      </c>
      <c r="D521" s="124">
        <v>1967</v>
      </c>
      <c r="E521" s="124">
        <v>2014</v>
      </c>
      <c r="F521" s="129" t="s">
        <v>269</v>
      </c>
      <c r="G521" s="124">
        <v>2</v>
      </c>
      <c r="H521" s="124" t="s">
        <v>310</v>
      </c>
      <c r="I521" s="128">
        <v>925</v>
      </c>
      <c r="J521" s="128">
        <v>919.3</v>
      </c>
      <c r="K521" s="128">
        <v>919.3</v>
      </c>
      <c r="L521" s="126">
        <v>34</v>
      </c>
      <c r="M521" s="124" t="s">
        <v>267</v>
      </c>
      <c r="N521" s="124" t="s">
        <v>271</v>
      </c>
      <c r="O521" s="127" t="s">
        <v>1354</v>
      </c>
      <c r="P521" s="128">
        <v>643371.97</v>
      </c>
      <c r="Q521" s="128">
        <v>0</v>
      </c>
      <c r="R521" s="128">
        <v>0</v>
      </c>
      <c r="S521" s="128">
        <f t="shared" si="127"/>
        <v>643371.97</v>
      </c>
      <c r="T521" s="128">
        <f t="shared" si="111"/>
        <v>695.53726486486482</v>
      </c>
      <c r="U521" s="128">
        <v>810.46</v>
      </c>
      <c r="V521" s="257">
        <f t="shared" si="114"/>
        <v>114.92273513513521</v>
      </c>
      <c r="W521" s="257">
        <f t="shared" si="128"/>
        <v>795.31</v>
      </c>
      <c r="X521" s="257">
        <v>0</v>
      </c>
      <c r="Y521" s="258">
        <v>0</v>
      </c>
      <c r="Z521" s="258">
        <v>0</v>
      </c>
      <c r="AA521" s="258">
        <v>0</v>
      </c>
      <c r="AB521" s="258">
        <v>795.31</v>
      </c>
      <c r="AC521" s="258">
        <v>0</v>
      </c>
      <c r="AD521" s="258">
        <v>0</v>
      </c>
      <c r="AE521" s="258">
        <v>0</v>
      </c>
      <c r="AF521" s="257">
        <v>0</v>
      </c>
      <c r="AG521" s="258">
        <v>0</v>
      </c>
      <c r="AH521" s="257">
        <v>0</v>
      </c>
      <c r="AI521" s="258">
        <v>0</v>
      </c>
      <c r="AJ521" s="257">
        <v>0</v>
      </c>
      <c r="AK521" s="258">
        <v>0</v>
      </c>
      <c r="AL521" s="258">
        <v>0</v>
      </c>
      <c r="AM521" s="258">
        <v>0</v>
      </c>
      <c r="AN521" s="258"/>
      <c r="AO521" s="258">
        <v>0</v>
      </c>
    </row>
    <row r="522" spans="1:41" s="259" customFormat="1" ht="36" customHeight="1" x14ac:dyDescent="0.25">
      <c r="B522" s="94" t="s">
        <v>865</v>
      </c>
      <c r="C522" s="94"/>
      <c r="D522" s="124" t="s">
        <v>896</v>
      </c>
      <c r="E522" s="124" t="s">
        <v>896</v>
      </c>
      <c r="F522" s="124" t="s">
        <v>896</v>
      </c>
      <c r="G522" s="124" t="s">
        <v>896</v>
      </c>
      <c r="H522" s="124" t="s">
        <v>896</v>
      </c>
      <c r="I522" s="125">
        <f>I523</f>
        <v>1755.2</v>
      </c>
      <c r="J522" s="125">
        <f>J523</f>
        <v>1537.2</v>
      </c>
      <c r="K522" s="125">
        <f>K523</f>
        <v>1537.2</v>
      </c>
      <c r="L522" s="126">
        <f>L523</f>
        <v>62</v>
      </c>
      <c r="M522" s="124" t="s">
        <v>896</v>
      </c>
      <c r="N522" s="124" t="s">
        <v>896</v>
      </c>
      <c r="O522" s="127" t="s">
        <v>896</v>
      </c>
      <c r="P522" s="128">
        <v>3982171.62</v>
      </c>
      <c r="Q522" s="128">
        <f>Q523</f>
        <v>0</v>
      </c>
      <c r="R522" s="128">
        <f>R523</f>
        <v>0</v>
      </c>
      <c r="S522" s="128">
        <f>S523</f>
        <v>3982171.62</v>
      </c>
      <c r="T522" s="128">
        <f t="shared" si="111"/>
        <v>2268.7851071103009</v>
      </c>
      <c r="U522" s="128">
        <f>MAX(U523)</f>
        <v>3668.6596592980854</v>
      </c>
      <c r="V522" s="257">
        <f t="shared" si="114"/>
        <v>1399.8745521877845</v>
      </c>
      <c r="W522" s="257"/>
      <c r="X522" s="257"/>
      <c r="Y522" s="258"/>
      <c r="Z522" s="258"/>
      <c r="AA522" s="258"/>
      <c r="AB522" s="258"/>
      <c r="AC522" s="258"/>
      <c r="AD522" s="258"/>
      <c r="AE522" s="258"/>
      <c r="AF522" s="258"/>
      <c r="AG522" s="258"/>
      <c r="AH522" s="258"/>
      <c r="AI522" s="258"/>
      <c r="AJ522" s="258"/>
      <c r="AK522" s="258"/>
      <c r="AL522" s="258"/>
      <c r="AM522" s="258"/>
      <c r="AN522" s="258"/>
      <c r="AO522" s="258"/>
    </row>
    <row r="523" spans="1:41" s="259" customFormat="1" ht="36" customHeight="1" x14ac:dyDescent="0.25">
      <c r="A523" s="259">
        <v>1</v>
      </c>
      <c r="B523" s="135">
        <f>SUBTOTAL(103,$A$16:A523)</f>
        <v>448</v>
      </c>
      <c r="C523" s="94" t="s">
        <v>188</v>
      </c>
      <c r="D523" s="124">
        <v>1959</v>
      </c>
      <c r="E523" s="124"/>
      <c r="F523" s="129" t="s">
        <v>269</v>
      </c>
      <c r="G523" s="124">
        <v>3</v>
      </c>
      <c r="H523" s="124" t="s">
        <v>310</v>
      </c>
      <c r="I523" s="128">
        <v>1755.2</v>
      </c>
      <c r="J523" s="128">
        <v>1537.2</v>
      </c>
      <c r="K523" s="128">
        <v>1537.2</v>
      </c>
      <c r="L523" s="126">
        <v>62</v>
      </c>
      <c r="M523" s="124" t="s">
        <v>267</v>
      </c>
      <c r="N523" s="124" t="s">
        <v>268</v>
      </c>
      <c r="O523" s="127" t="s">
        <v>270</v>
      </c>
      <c r="P523" s="128">
        <v>3982171.62</v>
      </c>
      <c r="Q523" s="128">
        <v>0</v>
      </c>
      <c r="R523" s="128">
        <v>0</v>
      </c>
      <c r="S523" s="128">
        <f>P523-Q523-R523</f>
        <v>3982171.62</v>
      </c>
      <c r="T523" s="128">
        <f t="shared" si="111"/>
        <v>2268.7851071103009</v>
      </c>
      <c r="U523" s="128">
        <v>3668.6596592980854</v>
      </c>
      <c r="V523" s="257">
        <f>U523-T523</f>
        <v>1399.8745521877845</v>
      </c>
      <c r="W523" s="257">
        <f>X523+Y523+Z523+AA523+AB523+AD523+AF523+AH523+AJ523+AL523+AN523+AO523</f>
        <v>3656.1889391522332</v>
      </c>
      <c r="X523" s="257">
        <v>0</v>
      </c>
      <c r="Y523" s="258">
        <v>0</v>
      </c>
      <c r="Z523" s="258">
        <v>0</v>
      </c>
      <c r="AA523" s="258">
        <v>0</v>
      </c>
      <c r="AB523" s="258">
        <v>0</v>
      </c>
      <c r="AC523" s="258">
        <v>0</v>
      </c>
      <c r="AD523" s="258">
        <v>0</v>
      </c>
      <c r="AE523" s="258">
        <v>1028.5999999999999</v>
      </c>
      <c r="AF523" s="257">
        <f>6238.91*AE523/I523</f>
        <v>3656.1889391522332</v>
      </c>
      <c r="AG523" s="258">
        <v>0</v>
      </c>
      <c r="AH523" s="257">
        <v>0</v>
      </c>
      <c r="AI523" s="258">
        <v>0</v>
      </c>
      <c r="AJ523" s="257">
        <v>0</v>
      </c>
      <c r="AK523" s="258">
        <v>0</v>
      </c>
      <c r="AL523" s="258">
        <v>0</v>
      </c>
      <c r="AM523" s="258">
        <v>0</v>
      </c>
      <c r="AN523" s="258"/>
      <c r="AO523" s="258">
        <v>0</v>
      </c>
    </row>
    <row r="524" spans="1:41" s="259" customFormat="1" ht="36" customHeight="1" x14ac:dyDescent="0.25">
      <c r="B524" s="94" t="s">
        <v>866</v>
      </c>
      <c r="C524" s="94"/>
      <c r="D524" s="124" t="s">
        <v>896</v>
      </c>
      <c r="E524" s="124" t="s">
        <v>896</v>
      </c>
      <c r="F524" s="124" t="s">
        <v>896</v>
      </c>
      <c r="G524" s="124" t="s">
        <v>896</v>
      </c>
      <c r="H524" s="124" t="s">
        <v>896</v>
      </c>
      <c r="I524" s="125">
        <f>SUM(I525:I526)</f>
        <v>4921.7999999999993</v>
      </c>
      <c r="J524" s="125">
        <f t="shared" ref="J524:K524" si="129">SUM(J525:J526)</f>
        <v>4712.7999999999993</v>
      </c>
      <c r="K524" s="125">
        <f t="shared" si="129"/>
        <v>3049.1</v>
      </c>
      <c r="L524" s="126">
        <f>SUM(L525:L526)</f>
        <v>126</v>
      </c>
      <c r="M524" s="124" t="s">
        <v>896</v>
      </c>
      <c r="N524" s="124" t="s">
        <v>896</v>
      </c>
      <c r="O524" s="127" t="s">
        <v>896</v>
      </c>
      <c r="P524" s="125">
        <v>8110455.3499999996</v>
      </c>
      <c r="Q524" s="125">
        <f t="shared" ref="Q524:S524" si="130">SUM(Q525:Q526)</f>
        <v>0</v>
      </c>
      <c r="R524" s="125">
        <f t="shared" si="130"/>
        <v>0</v>
      </c>
      <c r="S524" s="125">
        <f t="shared" si="130"/>
        <v>8110455.3499999996</v>
      </c>
      <c r="T524" s="128">
        <f t="shared" si="111"/>
        <v>1647.8636576049414</v>
      </c>
      <c r="U524" s="128">
        <f>MAX(U525:U526)</f>
        <v>5091.4329778859237</v>
      </c>
      <c r="V524" s="257">
        <f t="shared" si="114"/>
        <v>3443.5693202809825</v>
      </c>
      <c r="W524" s="257"/>
      <c r="X524" s="257"/>
      <c r="Y524" s="258"/>
      <c r="Z524" s="258"/>
      <c r="AA524" s="258"/>
      <c r="AB524" s="258"/>
      <c r="AC524" s="258"/>
      <c r="AD524" s="258"/>
      <c r="AE524" s="258"/>
      <c r="AF524" s="258"/>
      <c r="AG524" s="258"/>
      <c r="AH524" s="258"/>
      <c r="AI524" s="258"/>
      <c r="AJ524" s="258"/>
      <c r="AK524" s="258"/>
      <c r="AL524" s="258"/>
      <c r="AM524" s="258"/>
      <c r="AN524" s="258"/>
      <c r="AO524" s="258"/>
    </row>
    <row r="525" spans="1:41" s="259" customFormat="1" ht="36" customHeight="1" x14ac:dyDescent="0.25">
      <c r="A525" s="259">
        <v>1</v>
      </c>
      <c r="B525" s="135">
        <f>SUBTOTAL(103,$A$16:A525)</f>
        <v>449</v>
      </c>
      <c r="C525" s="94" t="s">
        <v>187</v>
      </c>
      <c r="D525" s="124" t="s">
        <v>307</v>
      </c>
      <c r="E525" s="124"/>
      <c r="F525" s="129" t="s">
        <v>269</v>
      </c>
      <c r="G525" s="124" t="s">
        <v>305</v>
      </c>
      <c r="H525" s="124" t="s">
        <v>305</v>
      </c>
      <c r="I525" s="128">
        <v>729.9</v>
      </c>
      <c r="J525" s="128">
        <v>520.9</v>
      </c>
      <c r="K525" s="128">
        <v>520.9</v>
      </c>
      <c r="L525" s="126">
        <v>35</v>
      </c>
      <c r="M525" s="124" t="s">
        <v>267</v>
      </c>
      <c r="N525" s="124" t="s">
        <v>271</v>
      </c>
      <c r="O525" s="127" t="s">
        <v>1002</v>
      </c>
      <c r="P525" s="128">
        <v>2614299.75</v>
      </c>
      <c r="Q525" s="128">
        <v>0</v>
      </c>
      <c r="R525" s="128">
        <v>0</v>
      </c>
      <c r="S525" s="128">
        <f>P525-Q525-R525</f>
        <v>2614299.75</v>
      </c>
      <c r="T525" s="128">
        <f t="shared" ref="T525:T588" si="131">P525/I525</f>
        <v>3581.7231812577065</v>
      </c>
      <c r="U525" s="128">
        <v>4960.8081874229347</v>
      </c>
      <c r="V525" s="257">
        <f t="shared" si="114"/>
        <v>1379.0850061652282</v>
      </c>
      <c r="W525" s="257">
        <f t="shared" ref="W525:W526" si="132">X525+Y525+Z525+AA525+AB525+AD525+AF525+AH525+AJ525+AL525+AN525+AO525</f>
        <v>4943.945121249486</v>
      </c>
      <c r="X525" s="257">
        <v>0</v>
      </c>
      <c r="Y525" s="258">
        <v>0</v>
      </c>
      <c r="Z525" s="258">
        <v>0</v>
      </c>
      <c r="AA525" s="258">
        <v>0</v>
      </c>
      <c r="AB525" s="258">
        <v>0</v>
      </c>
      <c r="AC525" s="258">
        <v>0</v>
      </c>
      <c r="AD525" s="258">
        <v>0</v>
      </c>
      <c r="AE525" s="258">
        <v>578.4</v>
      </c>
      <c r="AF525" s="257">
        <f>6238.91*AE525/I525</f>
        <v>4943.945121249486</v>
      </c>
      <c r="AG525" s="258">
        <v>0</v>
      </c>
      <c r="AH525" s="257">
        <v>0</v>
      </c>
      <c r="AI525" s="258">
        <v>0</v>
      </c>
      <c r="AJ525" s="257">
        <v>0</v>
      </c>
      <c r="AK525" s="258">
        <v>0</v>
      </c>
      <c r="AL525" s="258">
        <v>0</v>
      </c>
      <c r="AM525" s="258">
        <v>0</v>
      </c>
      <c r="AN525" s="258"/>
      <c r="AO525" s="258">
        <v>0</v>
      </c>
    </row>
    <row r="526" spans="1:41" s="259" customFormat="1" ht="36" customHeight="1" x14ac:dyDescent="0.25">
      <c r="A526" s="259">
        <v>1</v>
      </c>
      <c r="B526" s="135">
        <f>SUBTOTAL(103,$A$16:A526)</f>
        <v>450</v>
      </c>
      <c r="C526" s="94" t="s">
        <v>1556</v>
      </c>
      <c r="D526" s="124">
        <v>1977</v>
      </c>
      <c r="E526" s="124"/>
      <c r="F526" s="129" t="s">
        <v>269</v>
      </c>
      <c r="G526" s="124">
        <v>5</v>
      </c>
      <c r="H526" s="124" t="s">
        <v>306</v>
      </c>
      <c r="I526" s="128">
        <v>4191.8999999999996</v>
      </c>
      <c r="J526" s="128">
        <v>4191.8999999999996</v>
      </c>
      <c r="K526" s="128">
        <v>2528.1999999999998</v>
      </c>
      <c r="L526" s="126">
        <v>91</v>
      </c>
      <c r="M526" s="124" t="s">
        <v>267</v>
      </c>
      <c r="N526" s="124" t="s">
        <v>271</v>
      </c>
      <c r="O526" s="127" t="s">
        <v>1593</v>
      </c>
      <c r="P526" s="128">
        <v>5496155.5999999996</v>
      </c>
      <c r="Q526" s="128">
        <v>0</v>
      </c>
      <c r="R526" s="128">
        <v>0</v>
      </c>
      <c r="S526" s="128">
        <f>P526-R526-Q526</f>
        <v>5496155.5999999996</v>
      </c>
      <c r="T526" s="128">
        <f t="shared" si="131"/>
        <v>1311.13709773611</v>
      </c>
      <c r="U526" s="128">
        <v>5091.4329778859237</v>
      </c>
      <c r="V526" s="257">
        <f t="shared" si="114"/>
        <v>3780.2958801498135</v>
      </c>
      <c r="W526" s="257">
        <f t="shared" si="132"/>
        <v>5091.4329778859237</v>
      </c>
      <c r="X526" s="257">
        <v>0</v>
      </c>
      <c r="Y526" s="258">
        <v>0</v>
      </c>
      <c r="Z526" s="258">
        <v>0</v>
      </c>
      <c r="AA526" s="258">
        <v>0</v>
      </c>
      <c r="AB526" s="258">
        <v>0</v>
      </c>
      <c r="AC526" s="258">
        <v>0</v>
      </c>
      <c r="AD526" s="258">
        <v>0</v>
      </c>
      <c r="AE526" s="258">
        <v>0</v>
      </c>
      <c r="AF526" s="257">
        <v>0</v>
      </c>
      <c r="AG526" s="258">
        <v>0</v>
      </c>
      <c r="AH526" s="257">
        <v>0</v>
      </c>
      <c r="AI526" s="258">
        <v>2869</v>
      </c>
      <c r="AJ526" s="257">
        <f>7439.1*AI526/I526</f>
        <v>5091.4329778859237</v>
      </c>
      <c r="AK526" s="258">
        <v>0</v>
      </c>
      <c r="AL526" s="258">
        <v>0</v>
      </c>
      <c r="AM526" s="258">
        <v>0</v>
      </c>
      <c r="AN526" s="258"/>
      <c r="AO526" s="258">
        <v>0</v>
      </c>
    </row>
    <row r="527" spans="1:41" s="259" customFormat="1" ht="36" customHeight="1" x14ac:dyDescent="0.25">
      <c r="B527" s="94" t="s">
        <v>867</v>
      </c>
      <c r="C527" s="94"/>
      <c r="D527" s="124" t="s">
        <v>896</v>
      </c>
      <c r="E527" s="124" t="s">
        <v>896</v>
      </c>
      <c r="F527" s="124" t="s">
        <v>896</v>
      </c>
      <c r="G527" s="124" t="s">
        <v>896</v>
      </c>
      <c r="H527" s="124" t="s">
        <v>896</v>
      </c>
      <c r="I527" s="125">
        <f>I528</f>
        <v>428.4</v>
      </c>
      <c r="J527" s="125">
        <f>J528</f>
        <v>385.4</v>
      </c>
      <c r="K527" s="125">
        <f>K528</f>
        <v>385.4</v>
      </c>
      <c r="L527" s="126">
        <f>L528</f>
        <v>20</v>
      </c>
      <c r="M527" s="124" t="s">
        <v>896</v>
      </c>
      <c r="N527" s="124" t="s">
        <v>896</v>
      </c>
      <c r="O527" s="127" t="s">
        <v>896</v>
      </c>
      <c r="P527" s="128">
        <v>1241065.97</v>
      </c>
      <c r="Q527" s="128">
        <f>Q528</f>
        <v>0</v>
      </c>
      <c r="R527" s="128">
        <f>R528</f>
        <v>0</v>
      </c>
      <c r="S527" s="128">
        <f>S528</f>
        <v>1241065.97</v>
      </c>
      <c r="T527" s="128">
        <f t="shared" si="131"/>
        <v>2896.9793884220358</v>
      </c>
      <c r="U527" s="128">
        <f>U528</f>
        <v>5289.8897759103638</v>
      </c>
      <c r="V527" s="257">
        <f t="shared" si="114"/>
        <v>2392.9103874883281</v>
      </c>
      <c r="W527" s="257"/>
      <c r="X527" s="257"/>
      <c r="Y527" s="258"/>
      <c r="Z527" s="258"/>
      <c r="AA527" s="258"/>
      <c r="AB527" s="258"/>
      <c r="AC527" s="258"/>
      <c r="AD527" s="258"/>
      <c r="AE527" s="258"/>
      <c r="AF527" s="258"/>
      <c r="AG527" s="258"/>
      <c r="AH527" s="258"/>
      <c r="AI527" s="258"/>
      <c r="AJ527" s="258"/>
      <c r="AK527" s="258"/>
      <c r="AL527" s="258"/>
      <c r="AM527" s="258"/>
      <c r="AN527" s="258"/>
      <c r="AO527" s="258"/>
    </row>
    <row r="528" spans="1:41" s="259" customFormat="1" ht="36" customHeight="1" x14ac:dyDescent="0.25">
      <c r="A528" s="259">
        <v>1</v>
      </c>
      <c r="B528" s="135">
        <f>SUBTOTAL(103,$A$16:A528)</f>
        <v>451</v>
      </c>
      <c r="C528" s="94" t="s">
        <v>186</v>
      </c>
      <c r="D528" s="124" t="s">
        <v>308</v>
      </c>
      <c r="E528" s="124"/>
      <c r="F528" s="129" t="s">
        <v>269</v>
      </c>
      <c r="G528" s="124" t="s">
        <v>305</v>
      </c>
      <c r="H528" s="124" t="s">
        <v>305</v>
      </c>
      <c r="I528" s="128">
        <v>428.4</v>
      </c>
      <c r="J528" s="128">
        <v>385.4</v>
      </c>
      <c r="K528" s="128">
        <v>385.4</v>
      </c>
      <c r="L528" s="126">
        <v>20</v>
      </c>
      <c r="M528" s="124" t="s">
        <v>267</v>
      </c>
      <c r="N528" s="124" t="s">
        <v>268</v>
      </c>
      <c r="O528" s="127" t="s">
        <v>270</v>
      </c>
      <c r="P528" s="128">
        <v>1241065.97</v>
      </c>
      <c r="Q528" s="128">
        <v>0</v>
      </c>
      <c r="R528" s="128">
        <v>0</v>
      </c>
      <c r="S528" s="128">
        <f>P528-Q528-R528</f>
        <v>1241065.97</v>
      </c>
      <c r="T528" s="128">
        <f t="shared" si="131"/>
        <v>2896.9793884220358</v>
      </c>
      <c r="U528" s="128">
        <v>5289.8897759103638</v>
      </c>
      <c r="V528" s="257">
        <f>U528-T528</f>
        <v>2392.9103874883281</v>
      </c>
      <c r="W528" s="257">
        <f>X528+Y528+Z528+AA528+AB528+AD528+AF528+AH528+AJ528+AL528+AN528+AO528</f>
        <v>5271.9080765639592</v>
      </c>
      <c r="X528" s="257">
        <v>0</v>
      </c>
      <c r="Y528" s="258">
        <v>0</v>
      </c>
      <c r="Z528" s="258">
        <v>0</v>
      </c>
      <c r="AA528" s="258">
        <v>0</v>
      </c>
      <c r="AB528" s="258">
        <v>0</v>
      </c>
      <c r="AC528" s="258">
        <v>0</v>
      </c>
      <c r="AD528" s="258">
        <v>0</v>
      </c>
      <c r="AE528" s="258">
        <v>362</v>
      </c>
      <c r="AF528" s="257">
        <f>6238.91*AE528/I528</f>
        <v>5271.9080765639592</v>
      </c>
      <c r="AG528" s="258">
        <v>0</v>
      </c>
      <c r="AH528" s="257">
        <v>0</v>
      </c>
      <c r="AI528" s="258">
        <v>0</v>
      </c>
      <c r="AJ528" s="257">
        <v>0</v>
      </c>
      <c r="AK528" s="258">
        <v>0</v>
      </c>
      <c r="AL528" s="258">
        <v>0</v>
      </c>
      <c r="AM528" s="258">
        <v>0</v>
      </c>
      <c r="AN528" s="258"/>
      <c r="AO528" s="258">
        <v>0</v>
      </c>
    </row>
    <row r="529" spans="1:41" s="259" customFormat="1" ht="36" customHeight="1" x14ac:dyDescent="0.25">
      <c r="B529" s="94" t="s">
        <v>868</v>
      </c>
      <c r="C529" s="261"/>
      <c r="D529" s="124" t="s">
        <v>896</v>
      </c>
      <c r="E529" s="124" t="s">
        <v>896</v>
      </c>
      <c r="F529" s="124" t="s">
        <v>896</v>
      </c>
      <c r="G529" s="124" t="s">
        <v>896</v>
      </c>
      <c r="H529" s="124" t="s">
        <v>896</v>
      </c>
      <c r="I529" s="125">
        <f>SUM(I530:I538)</f>
        <v>12546.099999999999</v>
      </c>
      <c r="J529" s="125">
        <f>SUM(J530:J538)</f>
        <v>10792.6</v>
      </c>
      <c r="K529" s="125">
        <f>SUM(K530:K538)</f>
        <v>10596.7</v>
      </c>
      <c r="L529" s="126">
        <f>SUM(L530:L538)</f>
        <v>564</v>
      </c>
      <c r="M529" s="124" t="s">
        <v>896</v>
      </c>
      <c r="N529" s="124" t="s">
        <v>896</v>
      </c>
      <c r="O529" s="127" t="s">
        <v>896</v>
      </c>
      <c r="P529" s="125">
        <v>12361893.85</v>
      </c>
      <c r="Q529" s="125">
        <f>SUM(Q530:Q538)</f>
        <v>0</v>
      </c>
      <c r="R529" s="125">
        <f>SUM(R530:R538)</f>
        <v>0</v>
      </c>
      <c r="S529" s="125">
        <f>SUM(S530:S538)</f>
        <v>12361893.85</v>
      </c>
      <c r="T529" s="128">
        <f t="shared" si="131"/>
        <v>985.31765648289115</v>
      </c>
      <c r="U529" s="128">
        <f>MAX(U530:BV538)</f>
        <v>3626.97</v>
      </c>
      <c r="V529" s="257">
        <f t="shared" si="114"/>
        <v>2641.6523435171084</v>
      </c>
      <c r="W529" s="257"/>
      <c r="X529" s="257"/>
      <c r="Y529" s="258"/>
      <c r="Z529" s="258"/>
      <c r="AA529" s="258"/>
      <c r="AB529" s="258"/>
      <c r="AC529" s="258"/>
      <c r="AD529" s="258"/>
      <c r="AE529" s="258"/>
      <c r="AF529" s="258"/>
      <c r="AG529" s="258"/>
      <c r="AH529" s="258"/>
      <c r="AI529" s="258"/>
      <c r="AJ529" s="258"/>
      <c r="AK529" s="258"/>
      <c r="AL529" s="258"/>
      <c r="AM529" s="258"/>
      <c r="AN529" s="258"/>
      <c r="AO529" s="258"/>
    </row>
    <row r="530" spans="1:41" s="259" customFormat="1" ht="36" customHeight="1" x14ac:dyDescent="0.25">
      <c r="A530" s="259">
        <v>1</v>
      </c>
      <c r="B530" s="135">
        <f>SUBTOTAL(103,$A$16:A530)</f>
        <v>452</v>
      </c>
      <c r="C530" s="94" t="s">
        <v>217</v>
      </c>
      <c r="D530" s="124">
        <v>1974</v>
      </c>
      <c r="E530" s="124"/>
      <c r="F530" s="129" t="s">
        <v>269</v>
      </c>
      <c r="G530" s="124">
        <v>5</v>
      </c>
      <c r="H530" s="124" t="s">
        <v>310</v>
      </c>
      <c r="I530" s="128">
        <v>3601.7</v>
      </c>
      <c r="J530" s="128">
        <v>3307.8</v>
      </c>
      <c r="K530" s="128">
        <v>3307.8</v>
      </c>
      <c r="L530" s="126">
        <v>143</v>
      </c>
      <c r="M530" s="124" t="s">
        <v>267</v>
      </c>
      <c r="N530" s="124" t="s">
        <v>271</v>
      </c>
      <c r="O530" s="127" t="s">
        <v>334</v>
      </c>
      <c r="P530" s="128">
        <v>7319741.4200000009</v>
      </c>
      <c r="Q530" s="128">
        <v>0</v>
      </c>
      <c r="R530" s="128">
        <v>0</v>
      </c>
      <c r="S530" s="128">
        <f t="shared" ref="S530:S535" si="133">P530-Q530-R530</f>
        <v>7319741.4200000009</v>
      </c>
      <c r="T530" s="128">
        <f t="shared" si="131"/>
        <v>2032.3018074798015</v>
      </c>
      <c r="U530" s="128">
        <v>2032.3018074798015</v>
      </c>
      <c r="V530" s="257">
        <f t="shared" si="114"/>
        <v>0</v>
      </c>
      <c r="W530" s="257">
        <f t="shared" ref="W530:W534" si="134">X530+Y530+Z530+AA530+AB530+AD530+AF530+AH530+AJ530+AL530+AN530+AO530</f>
        <v>1831.0699374462058</v>
      </c>
      <c r="X530" s="257">
        <v>0</v>
      </c>
      <c r="Y530" s="258">
        <v>0</v>
      </c>
      <c r="Z530" s="258">
        <v>0</v>
      </c>
      <c r="AA530" s="258">
        <v>0</v>
      </c>
      <c r="AB530" s="258">
        <v>0</v>
      </c>
      <c r="AC530" s="258">
        <v>0</v>
      </c>
      <c r="AD530" s="258">
        <v>0</v>
      </c>
      <c r="AE530" s="258">
        <v>1057.07</v>
      </c>
      <c r="AF530" s="257">
        <f>6238.91*AE530/I530</f>
        <v>1831.0699374462058</v>
      </c>
      <c r="AG530" s="258">
        <v>0</v>
      </c>
      <c r="AH530" s="257">
        <v>0</v>
      </c>
      <c r="AI530" s="258">
        <v>0</v>
      </c>
      <c r="AJ530" s="257">
        <v>0</v>
      </c>
      <c r="AK530" s="258">
        <v>0</v>
      </c>
      <c r="AL530" s="258">
        <v>0</v>
      </c>
      <c r="AM530" s="258">
        <v>0</v>
      </c>
      <c r="AN530" s="258"/>
      <c r="AO530" s="258">
        <v>0</v>
      </c>
    </row>
    <row r="531" spans="1:41" s="259" customFormat="1" ht="36" customHeight="1" x14ac:dyDescent="0.25">
      <c r="A531" s="259">
        <v>1</v>
      </c>
      <c r="B531" s="135">
        <f>SUBTOTAL(103,$A$16:A531)</f>
        <v>453</v>
      </c>
      <c r="C531" s="94" t="s">
        <v>1277</v>
      </c>
      <c r="D531" s="124">
        <v>1967</v>
      </c>
      <c r="E531" s="124"/>
      <c r="F531" s="129" t="s">
        <v>269</v>
      </c>
      <c r="G531" s="124">
        <v>4</v>
      </c>
      <c r="H531" s="124" t="s">
        <v>306</v>
      </c>
      <c r="I531" s="128">
        <v>2162.6999999999998</v>
      </c>
      <c r="J531" s="128">
        <v>1343.3</v>
      </c>
      <c r="K531" s="128">
        <v>1343.3</v>
      </c>
      <c r="L531" s="126">
        <v>138</v>
      </c>
      <c r="M531" s="124" t="s">
        <v>267</v>
      </c>
      <c r="N531" s="124" t="s">
        <v>271</v>
      </c>
      <c r="O531" s="127" t="s">
        <v>1305</v>
      </c>
      <c r="P531" s="128">
        <v>2639000</v>
      </c>
      <c r="Q531" s="128">
        <v>0</v>
      </c>
      <c r="R531" s="128">
        <v>0</v>
      </c>
      <c r="S531" s="128">
        <f t="shared" si="133"/>
        <v>2639000</v>
      </c>
      <c r="T531" s="128">
        <f t="shared" si="131"/>
        <v>1220.2339668007585</v>
      </c>
      <c r="U531" s="128">
        <v>3259.66</v>
      </c>
      <c r="V531" s="257">
        <f t="shared" ref="V531:V538" si="135">U531-T531</f>
        <v>2039.4260331992414</v>
      </c>
      <c r="W531" s="257">
        <f t="shared" si="134"/>
        <v>3259.66</v>
      </c>
      <c r="X531" s="257">
        <v>0</v>
      </c>
      <c r="Y531" s="258">
        <v>0</v>
      </c>
      <c r="Z531" s="258">
        <v>3259.66</v>
      </c>
      <c r="AA531" s="258">
        <v>0</v>
      </c>
      <c r="AB531" s="258">
        <v>0</v>
      </c>
      <c r="AC531" s="258">
        <v>0</v>
      </c>
      <c r="AD531" s="258">
        <v>0</v>
      </c>
      <c r="AE531" s="258">
        <v>0</v>
      </c>
      <c r="AF531" s="257">
        <v>0</v>
      </c>
      <c r="AG531" s="258">
        <v>0</v>
      </c>
      <c r="AH531" s="257">
        <v>0</v>
      </c>
      <c r="AI531" s="258">
        <v>0</v>
      </c>
      <c r="AJ531" s="257">
        <v>0</v>
      </c>
      <c r="AK531" s="258">
        <v>0</v>
      </c>
      <c r="AL531" s="258">
        <v>0</v>
      </c>
      <c r="AM531" s="258">
        <v>0</v>
      </c>
      <c r="AN531" s="258"/>
      <c r="AO531" s="258">
        <v>0</v>
      </c>
    </row>
    <row r="532" spans="1:41" s="259" customFormat="1" ht="36" customHeight="1" x14ac:dyDescent="0.25">
      <c r="A532" s="259">
        <v>1</v>
      </c>
      <c r="B532" s="135">
        <f>SUBTOTAL(103,$A$16:A532)</f>
        <v>454</v>
      </c>
      <c r="C532" s="94" t="s">
        <v>1278</v>
      </c>
      <c r="D532" s="124">
        <v>1980</v>
      </c>
      <c r="E532" s="124"/>
      <c r="F532" s="129" t="s">
        <v>269</v>
      </c>
      <c r="G532" s="124">
        <v>2</v>
      </c>
      <c r="H532" s="124" t="s">
        <v>314</v>
      </c>
      <c r="I532" s="128">
        <v>955</v>
      </c>
      <c r="J532" s="128">
        <v>869.8</v>
      </c>
      <c r="K532" s="128">
        <v>869.8</v>
      </c>
      <c r="L532" s="126">
        <v>47</v>
      </c>
      <c r="M532" s="124" t="s">
        <v>267</v>
      </c>
      <c r="N532" s="124" t="s">
        <v>271</v>
      </c>
      <c r="O532" s="127" t="s">
        <v>1305</v>
      </c>
      <c r="P532" s="128">
        <v>229229.19</v>
      </c>
      <c r="Q532" s="128">
        <v>0</v>
      </c>
      <c r="R532" s="128">
        <v>0</v>
      </c>
      <c r="S532" s="128">
        <f t="shared" si="133"/>
        <v>229229.19</v>
      </c>
      <c r="T532" s="128">
        <f t="shared" si="131"/>
        <v>240.03056544502618</v>
      </c>
      <c r="U532" s="128">
        <v>3259.66</v>
      </c>
      <c r="V532" s="257">
        <f t="shared" si="135"/>
        <v>3019.6294345549736</v>
      </c>
      <c r="W532" s="257">
        <f t="shared" si="134"/>
        <v>3259.66</v>
      </c>
      <c r="X532" s="257">
        <v>0</v>
      </c>
      <c r="Y532" s="258">
        <v>0</v>
      </c>
      <c r="Z532" s="258">
        <v>3259.66</v>
      </c>
      <c r="AA532" s="258">
        <v>0</v>
      </c>
      <c r="AB532" s="258">
        <v>0</v>
      </c>
      <c r="AC532" s="258">
        <v>0</v>
      </c>
      <c r="AD532" s="258">
        <v>0</v>
      </c>
      <c r="AE532" s="258">
        <v>0</v>
      </c>
      <c r="AF532" s="257">
        <v>0</v>
      </c>
      <c r="AG532" s="258">
        <v>0</v>
      </c>
      <c r="AH532" s="257">
        <v>0</v>
      </c>
      <c r="AI532" s="258">
        <v>0</v>
      </c>
      <c r="AJ532" s="257">
        <v>0</v>
      </c>
      <c r="AK532" s="258">
        <v>0</v>
      </c>
      <c r="AL532" s="258">
        <v>0</v>
      </c>
      <c r="AM532" s="258">
        <v>0</v>
      </c>
      <c r="AN532" s="258"/>
      <c r="AO532" s="258">
        <v>0</v>
      </c>
    </row>
    <row r="533" spans="1:41" s="259" customFormat="1" ht="36" customHeight="1" x14ac:dyDescent="0.25">
      <c r="A533" s="259">
        <v>1</v>
      </c>
      <c r="B533" s="135">
        <f>SUBTOTAL(103,$A$16:A533)</f>
        <v>455</v>
      </c>
      <c r="C533" s="94" t="s">
        <v>1279</v>
      </c>
      <c r="D533" s="124">
        <v>1967</v>
      </c>
      <c r="E533" s="124"/>
      <c r="F533" s="129" t="s">
        <v>269</v>
      </c>
      <c r="G533" s="124">
        <v>2</v>
      </c>
      <c r="H533" s="124" t="s">
        <v>305</v>
      </c>
      <c r="I533" s="128">
        <v>783.4</v>
      </c>
      <c r="J533" s="128">
        <v>725.6</v>
      </c>
      <c r="K533" s="128">
        <v>725.6</v>
      </c>
      <c r="L533" s="126">
        <v>35</v>
      </c>
      <c r="M533" s="124" t="s">
        <v>267</v>
      </c>
      <c r="N533" s="124" t="s">
        <v>271</v>
      </c>
      <c r="O533" s="127" t="s">
        <v>1305</v>
      </c>
      <c r="P533" s="128">
        <v>1879750.53</v>
      </c>
      <c r="Q533" s="128">
        <v>0</v>
      </c>
      <c r="R533" s="128">
        <v>0</v>
      </c>
      <c r="S533" s="128">
        <f t="shared" si="133"/>
        <v>1879750.53</v>
      </c>
      <c r="T533" s="128">
        <f t="shared" si="131"/>
        <v>2399.4773168241004</v>
      </c>
      <c r="U533" s="128">
        <v>3259.66</v>
      </c>
      <c r="V533" s="257">
        <f t="shared" si="135"/>
        <v>860.18268317589946</v>
      </c>
      <c r="W533" s="257">
        <f>T533</f>
        <v>2399.4773168241004</v>
      </c>
      <c r="X533" s="257">
        <v>0</v>
      </c>
      <c r="Y533" s="258">
        <v>0</v>
      </c>
      <c r="Z533" s="258">
        <v>3626.97</v>
      </c>
      <c r="AA533" s="258">
        <v>0</v>
      </c>
      <c r="AB533" s="258">
        <v>0</v>
      </c>
      <c r="AC533" s="258">
        <v>0</v>
      </c>
      <c r="AD533" s="258">
        <v>0</v>
      </c>
      <c r="AE533" s="258">
        <v>0</v>
      </c>
      <c r="AF533" s="257">
        <v>0</v>
      </c>
      <c r="AG533" s="258">
        <v>0</v>
      </c>
      <c r="AH533" s="257">
        <v>0</v>
      </c>
      <c r="AI533" s="258">
        <v>0</v>
      </c>
      <c r="AJ533" s="257">
        <v>0</v>
      </c>
      <c r="AK533" s="258">
        <v>0</v>
      </c>
      <c r="AL533" s="258">
        <v>0</v>
      </c>
      <c r="AM533" s="258">
        <v>0</v>
      </c>
      <c r="AN533" s="258"/>
      <c r="AO533" s="258">
        <v>0</v>
      </c>
    </row>
    <row r="534" spans="1:41" s="259" customFormat="1" ht="36" customHeight="1" x14ac:dyDescent="0.25">
      <c r="A534" s="259">
        <v>1</v>
      </c>
      <c r="B534" s="135">
        <f>SUBTOTAL(103,$A$16:A534)</f>
        <v>456</v>
      </c>
      <c r="C534" s="94" t="s">
        <v>218</v>
      </c>
      <c r="D534" s="124">
        <v>1992</v>
      </c>
      <c r="E534" s="124"/>
      <c r="F534" s="129" t="s">
        <v>313</v>
      </c>
      <c r="G534" s="124">
        <v>2</v>
      </c>
      <c r="H534" s="124" t="s">
        <v>305</v>
      </c>
      <c r="I534" s="128">
        <v>690.3</v>
      </c>
      <c r="J534" s="128">
        <v>630.29999999999995</v>
      </c>
      <c r="K534" s="128">
        <v>564.4</v>
      </c>
      <c r="L534" s="126">
        <v>29</v>
      </c>
      <c r="M534" s="124" t="s">
        <v>267</v>
      </c>
      <c r="N534" s="124" t="s">
        <v>271</v>
      </c>
      <c r="O534" s="127" t="s">
        <v>334</v>
      </c>
      <c r="P534" s="128">
        <v>57236.97</v>
      </c>
      <c r="Q534" s="128">
        <v>0</v>
      </c>
      <c r="R534" s="128">
        <v>0</v>
      </c>
      <c r="S534" s="128">
        <f t="shared" si="133"/>
        <v>57236.97</v>
      </c>
      <c r="T534" s="128">
        <f t="shared" si="131"/>
        <v>82.916079965232512</v>
      </c>
      <c r="U534" s="128">
        <v>82.916079965232512</v>
      </c>
      <c r="V534" s="257">
        <f t="shared" si="135"/>
        <v>0</v>
      </c>
      <c r="W534" s="257">
        <f t="shared" si="134"/>
        <v>3259.66</v>
      </c>
      <c r="X534" s="257">
        <v>0</v>
      </c>
      <c r="Y534" s="258">
        <v>0</v>
      </c>
      <c r="Z534" s="258">
        <v>3259.66</v>
      </c>
      <c r="AA534" s="258">
        <v>0</v>
      </c>
      <c r="AB534" s="258">
        <v>0</v>
      </c>
      <c r="AC534" s="258">
        <v>0</v>
      </c>
      <c r="AD534" s="258">
        <v>0</v>
      </c>
      <c r="AE534" s="258">
        <v>0</v>
      </c>
      <c r="AF534" s="257">
        <v>0</v>
      </c>
      <c r="AG534" s="258">
        <v>0</v>
      </c>
      <c r="AH534" s="257">
        <v>0</v>
      </c>
      <c r="AI534" s="258">
        <v>0</v>
      </c>
      <c r="AJ534" s="257">
        <v>0</v>
      </c>
      <c r="AK534" s="258">
        <v>0</v>
      </c>
      <c r="AL534" s="258">
        <v>0</v>
      </c>
      <c r="AM534" s="258">
        <v>0</v>
      </c>
      <c r="AN534" s="258"/>
      <c r="AO534" s="258">
        <v>0</v>
      </c>
    </row>
    <row r="535" spans="1:41" s="259" customFormat="1" ht="36" customHeight="1" x14ac:dyDescent="0.25">
      <c r="A535" s="259">
        <v>1</v>
      </c>
      <c r="B535" s="135">
        <f>SUBTOTAL(103,$A$16:A535)</f>
        <v>457</v>
      </c>
      <c r="C535" s="94" t="s">
        <v>1570</v>
      </c>
      <c r="D535" s="124">
        <v>1981</v>
      </c>
      <c r="E535" s="124"/>
      <c r="F535" s="129" t="s">
        <v>1585</v>
      </c>
      <c r="G535" s="124">
        <v>2</v>
      </c>
      <c r="H535" s="124" t="s">
        <v>314</v>
      </c>
      <c r="I535" s="128">
        <v>922.9</v>
      </c>
      <c r="J535" s="128">
        <v>838.7</v>
      </c>
      <c r="K535" s="128">
        <v>838.7</v>
      </c>
      <c r="L535" s="126">
        <v>43</v>
      </c>
      <c r="M535" s="124" t="s">
        <v>267</v>
      </c>
      <c r="N535" s="124" t="s">
        <v>268</v>
      </c>
      <c r="O535" s="127" t="s">
        <v>270</v>
      </c>
      <c r="P535" s="128">
        <v>60862.57</v>
      </c>
      <c r="Q535" s="128">
        <v>0</v>
      </c>
      <c r="R535" s="128">
        <v>0</v>
      </c>
      <c r="S535" s="128">
        <f t="shared" si="133"/>
        <v>60862.57</v>
      </c>
      <c r="T535" s="128">
        <f t="shared" si="131"/>
        <v>65.947090692382702</v>
      </c>
      <c r="U535" s="128">
        <v>65.947090692382702</v>
      </c>
      <c r="V535" s="257">
        <f t="shared" si="135"/>
        <v>0</v>
      </c>
      <c r="W535" s="257">
        <f t="shared" ref="W535:W538" si="136">T535</f>
        <v>65.947090692382702</v>
      </c>
      <c r="X535" s="257">
        <v>0</v>
      </c>
      <c r="Y535" s="258">
        <v>0</v>
      </c>
      <c r="Z535" s="258">
        <v>0</v>
      </c>
      <c r="AA535" s="258">
        <v>0</v>
      </c>
      <c r="AB535" s="258">
        <v>0</v>
      </c>
      <c r="AC535" s="258">
        <v>0</v>
      </c>
      <c r="AD535" s="258">
        <v>0</v>
      </c>
      <c r="AE535" s="258">
        <v>0</v>
      </c>
      <c r="AF535" s="257">
        <v>0</v>
      </c>
      <c r="AG535" s="258">
        <v>0</v>
      </c>
      <c r="AH535" s="257">
        <v>0</v>
      </c>
      <c r="AI535" s="258">
        <v>0</v>
      </c>
      <c r="AJ535" s="257">
        <v>0</v>
      </c>
      <c r="AK535" s="258">
        <v>0</v>
      </c>
      <c r="AL535" s="258">
        <v>0</v>
      </c>
      <c r="AM535" s="258">
        <v>0</v>
      </c>
      <c r="AN535" s="258"/>
      <c r="AO535" s="258">
        <v>0</v>
      </c>
    </row>
    <row r="536" spans="1:41" s="259" customFormat="1" ht="36" customHeight="1" x14ac:dyDescent="0.25">
      <c r="A536" s="259">
        <v>1</v>
      </c>
      <c r="B536" s="135">
        <f>SUBTOTAL(103,$A$16:A536)</f>
        <v>458</v>
      </c>
      <c r="C536" s="94" t="s">
        <v>1571</v>
      </c>
      <c r="D536" s="124">
        <v>1980</v>
      </c>
      <c r="E536" s="124"/>
      <c r="F536" s="129" t="s">
        <v>1585</v>
      </c>
      <c r="G536" s="124">
        <v>2</v>
      </c>
      <c r="H536" s="124" t="s">
        <v>314</v>
      </c>
      <c r="I536" s="128">
        <v>1035.4000000000001</v>
      </c>
      <c r="J536" s="128">
        <v>947.5</v>
      </c>
      <c r="K536" s="128">
        <v>947.5</v>
      </c>
      <c r="L536" s="126">
        <v>35</v>
      </c>
      <c r="M536" s="124" t="s">
        <v>267</v>
      </c>
      <c r="N536" s="124" t="s">
        <v>268</v>
      </c>
      <c r="O536" s="127" t="s">
        <v>270</v>
      </c>
      <c r="P536" s="128">
        <v>64885.78</v>
      </c>
      <c r="Q536" s="128">
        <v>0</v>
      </c>
      <c r="R536" s="128">
        <v>0</v>
      </c>
      <c r="S536" s="128">
        <f>P536-R536-Q536</f>
        <v>64885.78</v>
      </c>
      <c r="T536" s="128">
        <f t="shared" si="131"/>
        <v>62.66735561135792</v>
      </c>
      <c r="U536" s="128">
        <v>62.66735561135792</v>
      </c>
      <c r="V536" s="257">
        <f t="shared" ref="V536" si="137">U536-T536</f>
        <v>0</v>
      </c>
      <c r="W536" s="257">
        <f t="shared" ref="W536" si="138">T536</f>
        <v>62.66735561135792</v>
      </c>
      <c r="X536" s="257">
        <v>0</v>
      </c>
      <c r="Y536" s="258">
        <v>0</v>
      </c>
      <c r="Z536" s="258">
        <v>0</v>
      </c>
      <c r="AA536" s="258">
        <v>0</v>
      </c>
      <c r="AB536" s="258">
        <v>0</v>
      </c>
      <c r="AC536" s="258">
        <v>0</v>
      </c>
      <c r="AD536" s="258">
        <v>0</v>
      </c>
      <c r="AE536" s="258">
        <v>0</v>
      </c>
      <c r="AF536" s="257">
        <v>0</v>
      </c>
      <c r="AG536" s="258">
        <v>0</v>
      </c>
      <c r="AH536" s="257">
        <v>0</v>
      </c>
      <c r="AI536" s="258">
        <v>0</v>
      </c>
      <c r="AJ536" s="257">
        <v>0</v>
      </c>
      <c r="AK536" s="258">
        <v>0</v>
      </c>
      <c r="AL536" s="258">
        <v>0</v>
      </c>
      <c r="AM536" s="258">
        <v>0</v>
      </c>
      <c r="AN536" s="258"/>
      <c r="AO536" s="258">
        <v>0</v>
      </c>
    </row>
    <row r="537" spans="1:41" s="259" customFormat="1" ht="36" customHeight="1" x14ac:dyDescent="0.25">
      <c r="A537" s="259">
        <v>1</v>
      </c>
      <c r="B537" s="135">
        <f>SUBTOTAL(103,$A$16:A537)</f>
        <v>459</v>
      </c>
      <c r="C537" s="94" t="s">
        <v>212</v>
      </c>
      <c r="D537" s="124">
        <v>1938</v>
      </c>
      <c r="E537" s="124"/>
      <c r="F537" s="129" t="s">
        <v>269</v>
      </c>
      <c r="G537" s="124">
        <v>3</v>
      </c>
      <c r="H537" s="124" t="s">
        <v>310</v>
      </c>
      <c r="I537" s="128">
        <v>1645.1</v>
      </c>
      <c r="J537" s="128">
        <v>1444.2</v>
      </c>
      <c r="K537" s="128">
        <v>1314.2</v>
      </c>
      <c r="L537" s="126">
        <v>58</v>
      </c>
      <c r="M537" s="124" t="s">
        <v>267</v>
      </c>
      <c r="N537" s="124" t="s">
        <v>268</v>
      </c>
      <c r="O537" s="127" t="s">
        <v>270</v>
      </c>
      <c r="P537" s="128">
        <v>77010.039999999994</v>
      </c>
      <c r="Q537" s="128">
        <v>0</v>
      </c>
      <c r="R537" s="128">
        <v>0</v>
      </c>
      <c r="S537" s="128">
        <f>P537-R537-Q537</f>
        <v>77010.039999999994</v>
      </c>
      <c r="T537" s="128">
        <f t="shared" si="131"/>
        <v>46.811768281563431</v>
      </c>
      <c r="U537" s="128">
        <v>90.9053735335238</v>
      </c>
      <c r="V537" s="257">
        <f t="shared" si="135"/>
        <v>44.093605251960369</v>
      </c>
      <c r="W537" s="257">
        <f t="shared" si="136"/>
        <v>46.811768281563431</v>
      </c>
      <c r="X537" s="257">
        <v>0</v>
      </c>
      <c r="Y537" s="258">
        <v>0</v>
      </c>
      <c r="Z537" s="258">
        <v>0</v>
      </c>
      <c r="AA537" s="258">
        <v>0</v>
      </c>
      <c r="AB537" s="258">
        <v>0</v>
      </c>
      <c r="AC537" s="258">
        <v>0</v>
      </c>
      <c r="AD537" s="258">
        <v>0</v>
      </c>
      <c r="AE537" s="258">
        <v>0</v>
      </c>
      <c r="AF537" s="257">
        <v>0</v>
      </c>
      <c r="AG537" s="258">
        <v>0</v>
      </c>
      <c r="AH537" s="257">
        <v>0</v>
      </c>
      <c r="AI537" s="258">
        <v>0</v>
      </c>
      <c r="AJ537" s="257">
        <v>0</v>
      </c>
      <c r="AK537" s="258">
        <v>0</v>
      </c>
      <c r="AL537" s="258">
        <v>0</v>
      </c>
      <c r="AM537" s="258">
        <v>0</v>
      </c>
      <c r="AN537" s="258"/>
      <c r="AO537" s="258">
        <v>0</v>
      </c>
    </row>
    <row r="538" spans="1:41" s="259" customFormat="1" ht="36" customHeight="1" x14ac:dyDescent="0.25">
      <c r="A538" s="259">
        <v>1</v>
      </c>
      <c r="B538" s="135">
        <f>SUBTOTAL(103,$A$16:A538)</f>
        <v>460</v>
      </c>
      <c r="C538" s="94" t="s">
        <v>213</v>
      </c>
      <c r="D538" s="124">
        <v>1974</v>
      </c>
      <c r="E538" s="124"/>
      <c r="F538" s="129" t="s">
        <v>269</v>
      </c>
      <c r="G538" s="124">
        <v>2</v>
      </c>
      <c r="H538" s="124" t="s">
        <v>305</v>
      </c>
      <c r="I538" s="128">
        <v>749.6</v>
      </c>
      <c r="J538" s="128">
        <v>685.4</v>
      </c>
      <c r="K538" s="128">
        <v>685.4</v>
      </c>
      <c r="L538" s="126">
        <v>36</v>
      </c>
      <c r="M538" s="124" t="s">
        <v>267</v>
      </c>
      <c r="N538" s="124" t="s">
        <v>271</v>
      </c>
      <c r="O538" s="127" t="s">
        <v>334</v>
      </c>
      <c r="P538" s="128">
        <v>34177.35</v>
      </c>
      <c r="Q538" s="128">
        <v>0</v>
      </c>
      <c r="R538" s="128">
        <v>0</v>
      </c>
      <c r="S538" s="128">
        <f>P538-R538-Q538</f>
        <v>34177.35</v>
      </c>
      <c r="T538" s="128">
        <f t="shared" si="131"/>
        <v>45.594116862326572</v>
      </c>
      <c r="U538" s="128">
        <v>88.540795090715037</v>
      </c>
      <c r="V538" s="257">
        <f t="shared" si="135"/>
        <v>42.946678228388464</v>
      </c>
      <c r="W538" s="257">
        <f t="shared" si="136"/>
        <v>45.594116862326572</v>
      </c>
      <c r="X538" s="257">
        <v>0</v>
      </c>
      <c r="Y538" s="258">
        <v>0</v>
      </c>
      <c r="Z538" s="258">
        <v>0</v>
      </c>
      <c r="AA538" s="258">
        <v>0</v>
      </c>
      <c r="AB538" s="258">
        <v>0</v>
      </c>
      <c r="AC538" s="258">
        <v>0</v>
      </c>
      <c r="AD538" s="258">
        <v>0</v>
      </c>
      <c r="AE538" s="258">
        <v>0</v>
      </c>
      <c r="AF538" s="257">
        <v>0</v>
      </c>
      <c r="AG538" s="258">
        <v>0</v>
      </c>
      <c r="AH538" s="257">
        <v>0</v>
      </c>
      <c r="AI538" s="258">
        <v>0</v>
      </c>
      <c r="AJ538" s="257">
        <v>0</v>
      </c>
      <c r="AK538" s="258">
        <v>0</v>
      </c>
      <c r="AL538" s="258">
        <v>0</v>
      </c>
      <c r="AM538" s="258">
        <v>0</v>
      </c>
      <c r="AN538" s="258"/>
      <c r="AO538" s="258">
        <v>0</v>
      </c>
    </row>
    <row r="539" spans="1:41" s="259" customFormat="1" ht="36" customHeight="1" x14ac:dyDescent="0.25">
      <c r="B539" s="94" t="s">
        <v>869</v>
      </c>
      <c r="C539" s="94"/>
      <c r="D539" s="124" t="s">
        <v>896</v>
      </c>
      <c r="E539" s="124" t="s">
        <v>896</v>
      </c>
      <c r="F539" s="124" t="s">
        <v>896</v>
      </c>
      <c r="G539" s="124" t="s">
        <v>896</v>
      </c>
      <c r="H539" s="124" t="s">
        <v>896</v>
      </c>
      <c r="I539" s="125">
        <f>SUM(I540:I543)</f>
        <v>2975.2</v>
      </c>
      <c r="J539" s="125">
        <f>SUM(J540:J543)</f>
        <v>2622.3</v>
      </c>
      <c r="K539" s="125">
        <f>SUM(K540:K543)</f>
        <v>2622.3</v>
      </c>
      <c r="L539" s="126">
        <f>SUM(L540:L543)</f>
        <v>130</v>
      </c>
      <c r="M539" s="124" t="s">
        <v>896</v>
      </c>
      <c r="N539" s="124" t="s">
        <v>896</v>
      </c>
      <c r="O539" s="127" t="s">
        <v>896</v>
      </c>
      <c r="P539" s="128">
        <v>3506290.42</v>
      </c>
      <c r="Q539" s="128">
        <f>SUM(Q540:Q543)</f>
        <v>0</v>
      </c>
      <c r="R539" s="128">
        <f>SUM(R540:R543)</f>
        <v>0</v>
      </c>
      <c r="S539" s="128">
        <f>SUM(S540:S543)</f>
        <v>3506290.42</v>
      </c>
      <c r="T539" s="128">
        <f t="shared" si="131"/>
        <v>1178.5057878461953</v>
      </c>
      <c r="U539" s="128">
        <f>MAX(U540:U543)</f>
        <v>4983.9844926006945</v>
      </c>
      <c r="V539" s="257">
        <f t="shared" ref="V539:V594" si="139">U539-T539</f>
        <v>3805.4787047544992</v>
      </c>
      <c r="W539" s="257"/>
      <c r="X539" s="257"/>
      <c r="Y539" s="258"/>
      <c r="Z539" s="258"/>
      <c r="AA539" s="258"/>
      <c r="AB539" s="258"/>
      <c r="AC539" s="258"/>
      <c r="AD539" s="258"/>
      <c r="AE539" s="258"/>
      <c r="AF539" s="258"/>
      <c r="AG539" s="258"/>
      <c r="AH539" s="258"/>
      <c r="AI539" s="258"/>
      <c r="AJ539" s="258"/>
      <c r="AK539" s="258"/>
      <c r="AL539" s="258"/>
      <c r="AM539" s="258"/>
      <c r="AN539" s="258"/>
      <c r="AO539" s="258"/>
    </row>
    <row r="540" spans="1:41" s="259" customFormat="1" ht="36" customHeight="1" x14ac:dyDescent="0.25">
      <c r="A540" s="259">
        <v>1</v>
      </c>
      <c r="B540" s="135">
        <f>SUBTOTAL(103,$A$16:A540)</f>
        <v>461</v>
      </c>
      <c r="C540" s="94" t="s">
        <v>221</v>
      </c>
      <c r="D540" s="124">
        <v>1971</v>
      </c>
      <c r="E540" s="124"/>
      <c r="F540" s="129" t="s">
        <v>269</v>
      </c>
      <c r="G540" s="124">
        <v>2</v>
      </c>
      <c r="H540" s="124" t="s">
        <v>305</v>
      </c>
      <c r="I540" s="128">
        <v>777.1</v>
      </c>
      <c r="J540" s="128">
        <v>718.2</v>
      </c>
      <c r="K540" s="128">
        <v>718.2</v>
      </c>
      <c r="L540" s="126">
        <v>38</v>
      </c>
      <c r="M540" s="124" t="s">
        <v>267</v>
      </c>
      <c r="N540" s="124" t="s">
        <v>271</v>
      </c>
      <c r="O540" s="127" t="s">
        <v>334</v>
      </c>
      <c r="P540" s="128">
        <v>2426341.25</v>
      </c>
      <c r="Q540" s="128">
        <v>0</v>
      </c>
      <c r="R540" s="128">
        <v>0</v>
      </c>
      <c r="S540" s="128">
        <f>P540-Q540-R540</f>
        <v>2426341.25</v>
      </c>
      <c r="T540" s="128">
        <f t="shared" si="131"/>
        <v>3122.3024707244886</v>
      </c>
      <c r="U540" s="128">
        <v>4983.9844926006945</v>
      </c>
      <c r="V540" s="257">
        <f t="shared" si="139"/>
        <v>1861.6820218762059</v>
      </c>
      <c r="W540" s="257">
        <f>T540</f>
        <v>3122.3024707244886</v>
      </c>
      <c r="X540" s="257">
        <v>0</v>
      </c>
      <c r="Y540" s="258">
        <v>0</v>
      </c>
      <c r="Z540" s="258">
        <v>0</v>
      </c>
      <c r="AA540" s="258">
        <v>184.98</v>
      </c>
      <c r="AB540" s="258">
        <v>0</v>
      </c>
      <c r="AC540" s="258">
        <v>0</v>
      </c>
      <c r="AD540" s="258">
        <v>0</v>
      </c>
      <c r="AE540" s="258">
        <v>0</v>
      </c>
      <c r="AF540" s="257">
        <v>0</v>
      </c>
      <c r="AG540" s="258">
        <v>0</v>
      </c>
      <c r="AH540" s="257">
        <v>0</v>
      </c>
      <c r="AI540" s="258">
        <v>0</v>
      </c>
      <c r="AJ540" s="257">
        <v>0</v>
      </c>
      <c r="AK540" s="258">
        <v>0</v>
      </c>
      <c r="AL540" s="258">
        <v>0</v>
      </c>
      <c r="AM540" s="258">
        <v>0</v>
      </c>
      <c r="AN540" s="258"/>
      <c r="AO540" s="258">
        <v>0</v>
      </c>
    </row>
    <row r="541" spans="1:41" s="259" customFormat="1" ht="36" customHeight="1" x14ac:dyDescent="0.25">
      <c r="A541" s="259">
        <v>1</v>
      </c>
      <c r="B541" s="135">
        <f>SUBTOTAL(103,$A$16:A541)</f>
        <v>462</v>
      </c>
      <c r="C541" s="94" t="s">
        <v>226</v>
      </c>
      <c r="D541" s="124">
        <v>1978</v>
      </c>
      <c r="E541" s="124"/>
      <c r="F541" s="129" t="s">
        <v>313</v>
      </c>
      <c r="G541" s="124">
        <v>3</v>
      </c>
      <c r="H541" s="124" t="s">
        <v>305</v>
      </c>
      <c r="I541" s="128">
        <v>1015.3</v>
      </c>
      <c r="J541" s="128">
        <v>929.3</v>
      </c>
      <c r="K541" s="128">
        <v>929.3</v>
      </c>
      <c r="L541" s="126">
        <v>37</v>
      </c>
      <c r="M541" s="124" t="s">
        <v>267</v>
      </c>
      <c r="N541" s="124" t="s">
        <v>271</v>
      </c>
      <c r="O541" s="127" t="s">
        <v>334</v>
      </c>
      <c r="P541" s="128">
        <v>112884.08</v>
      </c>
      <c r="Q541" s="128">
        <v>0</v>
      </c>
      <c r="R541" s="128">
        <v>0</v>
      </c>
      <c r="S541" s="128">
        <f>P541-Q541-R541</f>
        <v>112884.08</v>
      </c>
      <c r="T541" s="128">
        <f t="shared" si="131"/>
        <v>111.18298039988181</v>
      </c>
      <c r="U541" s="128">
        <v>111.18298039988181</v>
      </c>
      <c r="V541" s="257">
        <f t="shared" si="139"/>
        <v>0</v>
      </c>
      <c r="W541" s="257">
        <f t="shared" ref="W541:W543" si="140">X541+Y541+Z541+AA541+AB541+AD541+AF541+AH541+AJ541+AL541+AN541+AO541</f>
        <v>3801.7224847828224</v>
      </c>
      <c r="X541" s="257">
        <v>0</v>
      </c>
      <c r="Y541" s="258">
        <v>0</v>
      </c>
      <c r="Z541" s="258">
        <v>0</v>
      </c>
      <c r="AA541" s="258">
        <v>0</v>
      </c>
      <c r="AB541" s="258">
        <v>0</v>
      </c>
      <c r="AC541" s="258">
        <v>0</v>
      </c>
      <c r="AD541" s="258">
        <v>0</v>
      </c>
      <c r="AE541" s="258">
        <v>618.67999999999995</v>
      </c>
      <c r="AF541" s="257">
        <f>6238.91*AE541/I541</f>
        <v>3801.7224847828224</v>
      </c>
      <c r="AG541" s="258">
        <v>0</v>
      </c>
      <c r="AH541" s="257">
        <v>0</v>
      </c>
      <c r="AI541" s="258">
        <v>0</v>
      </c>
      <c r="AJ541" s="257">
        <v>0</v>
      </c>
      <c r="AK541" s="258">
        <v>0</v>
      </c>
      <c r="AL541" s="258">
        <v>0</v>
      </c>
      <c r="AM541" s="258">
        <v>0</v>
      </c>
      <c r="AN541" s="258"/>
      <c r="AO541" s="258">
        <v>0</v>
      </c>
    </row>
    <row r="542" spans="1:41" s="259" customFormat="1" ht="36" customHeight="1" x14ac:dyDescent="0.25">
      <c r="A542" s="259">
        <v>1</v>
      </c>
      <c r="B542" s="135">
        <f>SUBTOTAL(103,$A$16:A542)</f>
        <v>463</v>
      </c>
      <c r="C542" s="94" t="s">
        <v>1095</v>
      </c>
      <c r="D542" s="124">
        <v>1938</v>
      </c>
      <c r="E542" s="124"/>
      <c r="F542" s="129" t="s">
        <v>332</v>
      </c>
      <c r="G542" s="124">
        <v>2</v>
      </c>
      <c r="H542" s="124" t="s">
        <v>306</v>
      </c>
      <c r="I542" s="128">
        <v>369.2</v>
      </c>
      <c r="J542" s="128">
        <v>222.5</v>
      </c>
      <c r="K542" s="128">
        <v>222.5</v>
      </c>
      <c r="L542" s="126">
        <v>16</v>
      </c>
      <c r="M542" s="124" t="s">
        <v>267</v>
      </c>
      <c r="N542" s="124" t="s">
        <v>268</v>
      </c>
      <c r="O542" s="127" t="s">
        <v>270</v>
      </c>
      <c r="P542" s="128">
        <v>930608.30999999994</v>
      </c>
      <c r="Q542" s="128">
        <v>0</v>
      </c>
      <c r="R542" s="128">
        <v>0</v>
      </c>
      <c r="S542" s="128">
        <f>P542-Q542-R542</f>
        <v>930608.30999999994</v>
      </c>
      <c r="T542" s="128">
        <f t="shared" si="131"/>
        <v>2520.6075568797401</v>
      </c>
      <c r="U542" s="128">
        <v>3245.3964409534128</v>
      </c>
      <c r="V542" s="257">
        <f t="shared" si="139"/>
        <v>724.78888407367276</v>
      </c>
      <c r="W542" s="257">
        <f>T542</f>
        <v>2520.6075568797401</v>
      </c>
      <c r="X542" s="257">
        <v>0</v>
      </c>
      <c r="Y542" s="258">
        <v>0</v>
      </c>
      <c r="Z542" s="258">
        <v>0</v>
      </c>
      <c r="AA542" s="258">
        <v>0</v>
      </c>
      <c r="AB542" s="258">
        <v>0</v>
      </c>
      <c r="AC542" s="258">
        <v>0</v>
      </c>
      <c r="AD542" s="258">
        <v>0</v>
      </c>
      <c r="AE542" s="258">
        <v>0</v>
      </c>
      <c r="AF542" s="257">
        <v>0</v>
      </c>
      <c r="AG542" s="258">
        <v>0</v>
      </c>
      <c r="AH542" s="257">
        <v>0</v>
      </c>
      <c r="AI542" s="258">
        <v>0</v>
      </c>
      <c r="AJ542" s="257">
        <v>0</v>
      </c>
      <c r="AK542" s="258">
        <v>0</v>
      </c>
      <c r="AL542" s="258">
        <v>0</v>
      </c>
      <c r="AM542" s="258">
        <v>384</v>
      </c>
      <c r="AN542" s="258">
        <f>6984.52*AM542/I542</f>
        <v>7264.5061755146271</v>
      </c>
      <c r="AO542" s="258">
        <v>0</v>
      </c>
    </row>
    <row r="543" spans="1:41" s="259" customFormat="1" ht="36" customHeight="1" x14ac:dyDescent="0.25">
      <c r="A543" s="259">
        <v>1</v>
      </c>
      <c r="B543" s="135">
        <f>SUBTOTAL(103,$A$16:A543)</f>
        <v>464</v>
      </c>
      <c r="C543" s="94" t="s">
        <v>225</v>
      </c>
      <c r="D543" s="124">
        <v>1973</v>
      </c>
      <c r="E543" s="124"/>
      <c r="F543" s="129" t="s">
        <v>269</v>
      </c>
      <c r="G543" s="124">
        <v>2</v>
      </c>
      <c r="H543" s="124" t="s">
        <v>305</v>
      </c>
      <c r="I543" s="128">
        <v>813.6</v>
      </c>
      <c r="J543" s="128">
        <v>752.3</v>
      </c>
      <c r="K543" s="128">
        <v>752.3</v>
      </c>
      <c r="L543" s="126">
        <v>39</v>
      </c>
      <c r="M543" s="124" t="s">
        <v>267</v>
      </c>
      <c r="N543" s="124" t="s">
        <v>268</v>
      </c>
      <c r="O543" s="127" t="s">
        <v>270</v>
      </c>
      <c r="P543" s="128">
        <v>36456.78</v>
      </c>
      <c r="Q543" s="128">
        <v>0</v>
      </c>
      <c r="R543" s="128">
        <v>0</v>
      </c>
      <c r="S543" s="128">
        <f>P543-Q543-R543</f>
        <v>36456.78</v>
      </c>
      <c r="T543" s="128">
        <f t="shared" si="131"/>
        <v>44.809218289085543</v>
      </c>
      <c r="U543" s="128">
        <v>87.016543756145524</v>
      </c>
      <c r="V543" s="257">
        <f t="shared" si="139"/>
        <v>42.207325467059981</v>
      </c>
      <c r="W543" s="257">
        <f t="shared" si="140"/>
        <v>1467.7081784660768</v>
      </c>
      <c r="X543" s="257">
        <v>0</v>
      </c>
      <c r="Y543" s="258">
        <v>0</v>
      </c>
      <c r="Z543" s="258">
        <v>0</v>
      </c>
      <c r="AA543" s="258">
        <v>0</v>
      </c>
      <c r="AB543" s="258">
        <v>0</v>
      </c>
      <c r="AC543" s="258">
        <v>0</v>
      </c>
      <c r="AD543" s="258">
        <v>0</v>
      </c>
      <c r="AE543" s="258">
        <v>191.4</v>
      </c>
      <c r="AF543" s="257">
        <f>6238.91*AE543/I543</f>
        <v>1467.7081784660768</v>
      </c>
      <c r="AG543" s="258">
        <v>0</v>
      </c>
      <c r="AH543" s="257">
        <v>0</v>
      </c>
      <c r="AI543" s="258">
        <v>0</v>
      </c>
      <c r="AJ543" s="257">
        <v>0</v>
      </c>
      <c r="AK543" s="258">
        <v>0</v>
      </c>
      <c r="AL543" s="258">
        <v>0</v>
      </c>
      <c r="AM543" s="258">
        <v>0</v>
      </c>
      <c r="AN543" s="258"/>
      <c r="AO543" s="258">
        <v>0</v>
      </c>
    </row>
    <row r="544" spans="1:41" s="259" customFormat="1" ht="36" customHeight="1" x14ac:dyDescent="0.25">
      <c r="B544" s="94" t="s">
        <v>870</v>
      </c>
      <c r="C544" s="94"/>
      <c r="D544" s="124" t="s">
        <v>896</v>
      </c>
      <c r="E544" s="124" t="s">
        <v>896</v>
      </c>
      <c r="F544" s="124" t="s">
        <v>896</v>
      </c>
      <c r="G544" s="124" t="s">
        <v>896</v>
      </c>
      <c r="H544" s="124" t="s">
        <v>896</v>
      </c>
      <c r="I544" s="125">
        <f>SUM(I545:I546)</f>
        <v>1422.8</v>
      </c>
      <c r="J544" s="125">
        <f>SUM(J545:J546)</f>
        <v>1303.8000000000002</v>
      </c>
      <c r="K544" s="125">
        <f>SUM(K545:K546)</f>
        <v>1303.8000000000002</v>
      </c>
      <c r="L544" s="126">
        <f>SUM(L545:L546)</f>
        <v>64</v>
      </c>
      <c r="M544" s="124" t="s">
        <v>896</v>
      </c>
      <c r="N544" s="124" t="s">
        <v>896</v>
      </c>
      <c r="O544" s="127" t="s">
        <v>896</v>
      </c>
      <c r="P544" s="128">
        <v>736217.99</v>
      </c>
      <c r="Q544" s="128">
        <f>SUM(Q545:Q546)</f>
        <v>0</v>
      </c>
      <c r="R544" s="128">
        <f>SUM(R545:R546)</f>
        <v>0</v>
      </c>
      <c r="S544" s="128">
        <f>SUM(S545:S546)</f>
        <v>736217.99</v>
      </c>
      <c r="T544" s="128">
        <f t="shared" si="131"/>
        <v>517.44306297441665</v>
      </c>
      <c r="U544" s="128">
        <f>MAX(U545:U546)</f>
        <v>5427.1975948891395</v>
      </c>
      <c r="V544" s="257">
        <f>U544-T544</f>
        <v>4909.754531914723</v>
      </c>
      <c r="W544" s="257"/>
      <c r="X544" s="257"/>
      <c r="Y544" s="258"/>
      <c r="Z544" s="258"/>
      <c r="AA544" s="258"/>
      <c r="AB544" s="258"/>
      <c r="AC544" s="258"/>
      <c r="AD544" s="258"/>
      <c r="AE544" s="258"/>
      <c r="AF544" s="258"/>
      <c r="AG544" s="258"/>
      <c r="AH544" s="258"/>
      <c r="AI544" s="258"/>
      <c r="AJ544" s="258"/>
      <c r="AK544" s="258"/>
      <c r="AL544" s="258"/>
      <c r="AM544" s="258"/>
      <c r="AN544" s="258"/>
      <c r="AO544" s="258"/>
    </row>
    <row r="545" spans="1:41" s="259" customFormat="1" ht="36" customHeight="1" x14ac:dyDescent="0.25">
      <c r="A545" s="259">
        <v>1</v>
      </c>
      <c r="B545" s="135">
        <f>SUBTOTAL(103,$A$16:A545)</f>
        <v>465</v>
      </c>
      <c r="C545" s="94" t="s">
        <v>1293</v>
      </c>
      <c r="D545" s="124">
        <v>1976</v>
      </c>
      <c r="E545" s="124"/>
      <c r="F545" s="129" t="s">
        <v>269</v>
      </c>
      <c r="G545" s="124">
        <v>2</v>
      </c>
      <c r="H545" s="124" t="s">
        <v>305</v>
      </c>
      <c r="I545" s="128">
        <v>798.3</v>
      </c>
      <c r="J545" s="128">
        <v>736.7</v>
      </c>
      <c r="K545" s="128">
        <v>736.7</v>
      </c>
      <c r="L545" s="126">
        <v>32</v>
      </c>
      <c r="M545" s="124" t="s">
        <v>267</v>
      </c>
      <c r="N545" s="124" t="s">
        <v>268</v>
      </c>
      <c r="O545" s="127" t="s">
        <v>270</v>
      </c>
      <c r="P545" s="128">
        <v>306353.95</v>
      </c>
      <c r="Q545" s="128">
        <v>0</v>
      </c>
      <c r="R545" s="128">
        <v>0</v>
      </c>
      <c r="S545" s="128">
        <f>P545-Q545-R545</f>
        <v>306353.95</v>
      </c>
      <c r="T545" s="128">
        <f t="shared" si="131"/>
        <v>383.75792308655895</v>
      </c>
      <c r="U545" s="128">
        <v>5427.1975948891395</v>
      </c>
      <c r="V545" s="257">
        <f t="shared" ref="V545:V546" si="141">U545-T545</f>
        <v>5043.439671802581</v>
      </c>
      <c r="W545" s="257">
        <f>T545</f>
        <v>383.75792308655895</v>
      </c>
      <c r="X545" s="257">
        <v>0</v>
      </c>
      <c r="Y545" s="258">
        <v>0</v>
      </c>
      <c r="Z545" s="258">
        <v>0</v>
      </c>
      <c r="AA545" s="258">
        <v>184.98</v>
      </c>
      <c r="AB545" s="258">
        <v>0</v>
      </c>
      <c r="AC545" s="258">
        <v>0</v>
      </c>
      <c r="AD545" s="258">
        <v>0</v>
      </c>
      <c r="AE545" s="258">
        <v>0</v>
      </c>
      <c r="AF545" s="257">
        <v>0</v>
      </c>
      <c r="AG545" s="258">
        <v>0</v>
      </c>
      <c r="AH545" s="257">
        <v>0</v>
      </c>
      <c r="AI545" s="258">
        <v>0</v>
      </c>
      <c r="AJ545" s="257">
        <v>0</v>
      </c>
      <c r="AK545" s="258">
        <v>0</v>
      </c>
      <c r="AL545" s="258">
        <v>0</v>
      </c>
      <c r="AM545" s="258">
        <v>0</v>
      </c>
      <c r="AN545" s="258"/>
      <c r="AO545" s="258">
        <v>0</v>
      </c>
    </row>
    <row r="546" spans="1:41" s="259" customFormat="1" ht="36" customHeight="1" x14ac:dyDescent="0.25">
      <c r="A546" s="259">
        <v>1</v>
      </c>
      <c r="B546" s="135">
        <f>SUBTOTAL(103,$A$16:A546)</f>
        <v>466</v>
      </c>
      <c r="C546" s="94" t="s">
        <v>1294</v>
      </c>
      <c r="D546" s="124">
        <v>1986</v>
      </c>
      <c r="E546" s="124"/>
      <c r="F546" s="129" t="s">
        <v>320</v>
      </c>
      <c r="G546" s="124">
        <v>2</v>
      </c>
      <c r="H546" s="124" t="s">
        <v>305</v>
      </c>
      <c r="I546" s="128">
        <v>624.5</v>
      </c>
      <c r="J546" s="128">
        <v>567.1</v>
      </c>
      <c r="K546" s="128">
        <v>567.1</v>
      </c>
      <c r="L546" s="126">
        <v>32</v>
      </c>
      <c r="M546" s="124" t="s">
        <v>267</v>
      </c>
      <c r="N546" s="124" t="s">
        <v>268</v>
      </c>
      <c r="O546" s="127" t="s">
        <v>270</v>
      </c>
      <c r="P546" s="128">
        <v>429864.04</v>
      </c>
      <c r="Q546" s="128">
        <v>0</v>
      </c>
      <c r="R546" s="128">
        <v>0</v>
      </c>
      <c r="S546" s="128">
        <f>P546-Q546-R546</f>
        <v>429864.04</v>
      </c>
      <c r="T546" s="128">
        <f t="shared" si="131"/>
        <v>688.33313050440347</v>
      </c>
      <c r="U546" s="128">
        <v>3738.4767846277018</v>
      </c>
      <c r="V546" s="257">
        <f t="shared" si="141"/>
        <v>3050.1436541232983</v>
      </c>
      <c r="W546" s="257">
        <f t="shared" ref="W546" si="142">X546+Y546+Z546+AA546+AB546+AD546+AF546+AH546+AJ546+AL546+AN546+AO546</f>
        <v>6937.6010248198554</v>
      </c>
      <c r="X546" s="257">
        <v>0</v>
      </c>
      <c r="Y546" s="258">
        <v>0</v>
      </c>
      <c r="Z546" s="258">
        <v>0</v>
      </c>
      <c r="AA546" s="258">
        <v>0</v>
      </c>
      <c r="AB546" s="258">
        <v>0</v>
      </c>
      <c r="AC546" s="258">
        <v>0</v>
      </c>
      <c r="AD546" s="258">
        <v>0</v>
      </c>
      <c r="AE546" s="258">
        <v>0</v>
      </c>
      <c r="AF546" s="257">
        <v>0</v>
      </c>
      <c r="AG546" s="258">
        <v>0</v>
      </c>
      <c r="AH546" s="257">
        <v>0</v>
      </c>
      <c r="AI546" s="258">
        <v>582.4</v>
      </c>
      <c r="AJ546" s="257">
        <f>7439.1*AI546/I546</f>
        <v>6937.6010248198554</v>
      </c>
      <c r="AK546" s="258">
        <v>0</v>
      </c>
      <c r="AL546" s="258">
        <v>0</v>
      </c>
      <c r="AM546" s="258">
        <v>0</v>
      </c>
      <c r="AN546" s="258"/>
      <c r="AO546" s="258">
        <v>0</v>
      </c>
    </row>
    <row r="547" spans="1:41" s="259" customFormat="1" ht="36" customHeight="1" x14ac:dyDescent="0.25">
      <c r="B547" s="94" t="s">
        <v>871</v>
      </c>
      <c r="C547" s="94"/>
      <c r="D547" s="124" t="s">
        <v>896</v>
      </c>
      <c r="E547" s="124" t="s">
        <v>896</v>
      </c>
      <c r="F547" s="124" t="s">
        <v>896</v>
      </c>
      <c r="G547" s="124" t="s">
        <v>896</v>
      </c>
      <c r="H547" s="124" t="s">
        <v>896</v>
      </c>
      <c r="I547" s="125">
        <f>SUM(I548:I549)</f>
        <v>1109.3</v>
      </c>
      <c r="J547" s="125">
        <f>SUM(J548:J549)</f>
        <v>1034.5999999999999</v>
      </c>
      <c r="K547" s="125">
        <f>SUM(K548:K549)</f>
        <v>1034.5999999999999</v>
      </c>
      <c r="L547" s="126">
        <f>SUM(L548:L549)</f>
        <v>49</v>
      </c>
      <c r="M547" s="124" t="s">
        <v>896</v>
      </c>
      <c r="N547" s="124" t="s">
        <v>896</v>
      </c>
      <c r="O547" s="127" t="s">
        <v>896</v>
      </c>
      <c r="P547" s="128">
        <v>1270143.08</v>
      </c>
      <c r="Q547" s="128">
        <f>SUM(Q548:Q549)</f>
        <v>0</v>
      </c>
      <c r="R547" s="128">
        <f>SUM(R548:R549)</f>
        <v>0</v>
      </c>
      <c r="S547" s="128">
        <f>SUM(S548:S549)</f>
        <v>1270143.08</v>
      </c>
      <c r="T547" s="128">
        <f t="shared" si="131"/>
        <v>1144.9951140358785</v>
      </c>
      <c r="U547" s="128">
        <f>MAX(U548:U549)</f>
        <v>5857.8337429111534</v>
      </c>
      <c r="V547" s="257">
        <f t="shared" si="139"/>
        <v>4712.8386288752754</v>
      </c>
      <c r="W547" s="257"/>
      <c r="X547" s="257"/>
      <c r="Y547" s="258"/>
      <c r="Z547" s="258"/>
      <c r="AA547" s="258"/>
      <c r="AB547" s="258"/>
      <c r="AC547" s="258"/>
      <c r="AD547" s="258"/>
      <c r="AE547" s="258"/>
      <c r="AF547" s="258"/>
      <c r="AG547" s="258"/>
      <c r="AH547" s="258"/>
      <c r="AI547" s="258"/>
      <c r="AJ547" s="258"/>
      <c r="AK547" s="258"/>
      <c r="AL547" s="258"/>
      <c r="AM547" s="258"/>
      <c r="AN547" s="258"/>
      <c r="AO547" s="258"/>
    </row>
    <row r="548" spans="1:41" s="259" customFormat="1" ht="36" customHeight="1" x14ac:dyDescent="0.25">
      <c r="A548" s="259">
        <v>1</v>
      </c>
      <c r="B548" s="135">
        <f>SUBTOTAL(103,$A$16:A548)</f>
        <v>467</v>
      </c>
      <c r="C548" s="94" t="s">
        <v>223</v>
      </c>
      <c r="D548" s="124">
        <v>1966</v>
      </c>
      <c r="E548" s="124"/>
      <c r="F548" s="129" t="s">
        <v>269</v>
      </c>
      <c r="G548" s="124">
        <v>2</v>
      </c>
      <c r="H548" s="124" t="s">
        <v>306</v>
      </c>
      <c r="I548" s="128">
        <v>317.39999999999998</v>
      </c>
      <c r="J548" s="128">
        <v>297.7</v>
      </c>
      <c r="K548" s="128">
        <v>297.7</v>
      </c>
      <c r="L548" s="126">
        <v>22</v>
      </c>
      <c r="M548" s="124" t="s">
        <v>267</v>
      </c>
      <c r="N548" s="124" t="s">
        <v>268</v>
      </c>
      <c r="O548" s="127" t="s">
        <v>270</v>
      </c>
      <c r="P548" s="128">
        <v>1234425.4500000002</v>
      </c>
      <c r="Q548" s="128">
        <v>0</v>
      </c>
      <c r="R548" s="128">
        <v>0</v>
      </c>
      <c r="S548" s="128">
        <f>P548-Q548-R548</f>
        <v>1234425.4500000002</v>
      </c>
      <c r="T548" s="128">
        <f t="shared" si="131"/>
        <v>3889.1791115311917</v>
      </c>
      <c r="U548" s="128">
        <v>5857.8337429111534</v>
      </c>
      <c r="V548" s="257">
        <f>U548-T548</f>
        <v>1968.6546313799618</v>
      </c>
      <c r="W548" s="257">
        <f>X548+Y548+Z548+AA548+AB548+AD548+AF548+AH548+AJ548+AL548+AN548+AO548</f>
        <v>5837.9214555765602</v>
      </c>
      <c r="X548" s="257">
        <v>0</v>
      </c>
      <c r="Y548" s="258">
        <v>0</v>
      </c>
      <c r="Z548" s="258">
        <v>0</v>
      </c>
      <c r="AA548" s="258">
        <v>0</v>
      </c>
      <c r="AB548" s="258">
        <v>0</v>
      </c>
      <c r="AC548" s="258">
        <v>0</v>
      </c>
      <c r="AD548" s="258">
        <v>0</v>
      </c>
      <c r="AE548" s="258">
        <v>297</v>
      </c>
      <c r="AF548" s="257">
        <f>6238.91*AE548/I548</f>
        <v>5837.9214555765602</v>
      </c>
      <c r="AG548" s="258">
        <v>0</v>
      </c>
      <c r="AH548" s="257">
        <v>0</v>
      </c>
      <c r="AI548" s="258">
        <v>0</v>
      </c>
      <c r="AJ548" s="257">
        <v>0</v>
      </c>
      <c r="AK548" s="258">
        <v>0</v>
      </c>
      <c r="AL548" s="258">
        <v>0</v>
      </c>
      <c r="AM548" s="258">
        <v>0</v>
      </c>
      <c r="AN548" s="258"/>
      <c r="AO548" s="258">
        <v>0</v>
      </c>
    </row>
    <row r="549" spans="1:41" s="259" customFormat="1" ht="36" customHeight="1" x14ac:dyDescent="0.25">
      <c r="A549" s="259">
        <v>1</v>
      </c>
      <c r="B549" s="135">
        <f>SUBTOTAL(103,$A$16:A549)</f>
        <v>468</v>
      </c>
      <c r="C549" s="94" t="s">
        <v>219</v>
      </c>
      <c r="D549" s="124">
        <v>1979</v>
      </c>
      <c r="E549" s="124"/>
      <c r="F549" s="129" t="s">
        <v>269</v>
      </c>
      <c r="G549" s="124">
        <v>2</v>
      </c>
      <c r="H549" s="124" t="s">
        <v>305</v>
      </c>
      <c r="I549" s="128">
        <v>791.9</v>
      </c>
      <c r="J549" s="128">
        <v>736.9</v>
      </c>
      <c r="K549" s="128">
        <v>736.9</v>
      </c>
      <c r="L549" s="126">
        <v>27</v>
      </c>
      <c r="M549" s="124" t="s">
        <v>267</v>
      </c>
      <c r="N549" s="124" t="s">
        <v>268</v>
      </c>
      <c r="O549" s="127" t="s">
        <v>270</v>
      </c>
      <c r="P549" s="128">
        <v>35717.629999999997</v>
      </c>
      <c r="Q549" s="128">
        <v>0</v>
      </c>
      <c r="R549" s="128">
        <v>0</v>
      </c>
      <c r="S549" s="128">
        <f>P549-Q549-R549</f>
        <v>35717.629999999997</v>
      </c>
      <c r="T549" s="128">
        <f t="shared" si="131"/>
        <v>45.103712589973476</v>
      </c>
      <c r="U549" s="128">
        <v>87.588458138653877</v>
      </c>
      <c r="V549" s="257">
        <f>U549-T549</f>
        <v>42.484745548680401</v>
      </c>
      <c r="W549" s="257">
        <f>X549+Y549+Z549+AA549+AB549+AD549+AF549+AH549+AJ549+AL549+AN549+AO549</f>
        <v>2339.8866902386667</v>
      </c>
      <c r="X549" s="257">
        <v>0</v>
      </c>
      <c r="Y549" s="258">
        <v>0</v>
      </c>
      <c r="Z549" s="258">
        <v>0</v>
      </c>
      <c r="AA549" s="258">
        <v>0</v>
      </c>
      <c r="AB549" s="258">
        <v>0</v>
      </c>
      <c r="AC549" s="258">
        <v>0</v>
      </c>
      <c r="AD549" s="258">
        <v>0</v>
      </c>
      <c r="AE549" s="258">
        <v>297</v>
      </c>
      <c r="AF549" s="257">
        <f>6238.91*AE549/I549</f>
        <v>2339.8866902386667</v>
      </c>
      <c r="AG549" s="258">
        <v>0</v>
      </c>
      <c r="AH549" s="257">
        <v>0</v>
      </c>
      <c r="AI549" s="258">
        <v>0</v>
      </c>
      <c r="AJ549" s="257">
        <v>0</v>
      </c>
      <c r="AK549" s="258">
        <v>0</v>
      </c>
      <c r="AL549" s="258">
        <v>0</v>
      </c>
      <c r="AM549" s="258">
        <v>0</v>
      </c>
      <c r="AN549" s="258"/>
      <c r="AO549" s="258">
        <v>0</v>
      </c>
    </row>
    <row r="550" spans="1:41" s="259" customFormat="1" ht="36" customHeight="1" x14ac:dyDescent="0.25">
      <c r="B550" s="94" t="s">
        <v>760</v>
      </c>
      <c r="C550" s="94"/>
      <c r="D550" s="124" t="s">
        <v>896</v>
      </c>
      <c r="E550" s="124" t="s">
        <v>896</v>
      </c>
      <c r="F550" s="124" t="s">
        <v>896</v>
      </c>
      <c r="G550" s="124" t="s">
        <v>896</v>
      </c>
      <c r="H550" s="124" t="s">
        <v>896</v>
      </c>
      <c r="I550" s="125">
        <f>I551+I641+I672+I712+I731+I739+I765+I773+I781+I786+I788+I792+I794+I796+I811+I822+I829+I831+I833+I835+I837+I839+I846+I861+I865+I868+I871+I874+I883+I887+I889+I893+I895+I897+I899+I907+I909+I919+I915+I921+I929+I935+I938+I940+I944+I948+I954+I960+I964+I966+I970+I972+I978+I982+I989+I996+I904+I980+I825+I844+I858+I933+I942+I968+I994</f>
        <v>828435.12999999966</v>
      </c>
      <c r="J550" s="125">
        <f t="shared" ref="J550:L550" si="143">J551+J641+J672+J712+J731+J739+J765+J773+J781+J786+J788+J792+J794+J796+J811+J822+J829+J831+J833+J835+J837+J839+J846+J861+J865+J868+J871+J874+J883+J887+J889+J893+J895+J897+J899+J907+J909+J919+J915+J921+J929+J935+J938+J940+J944+J948+J954+J960+J964+J966+J970+J972+J978+J982+J989+J996+J904+J980+J825+J844+J858+J933+J942+J968+J994</f>
        <v>681243.48</v>
      </c>
      <c r="K550" s="125">
        <f t="shared" si="143"/>
        <v>631457.77999999968</v>
      </c>
      <c r="L550" s="126">
        <f t="shared" si="143"/>
        <v>32081</v>
      </c>
      <c r="M550" s="124" t="s">
        <v>896</v>
      </c>
      <c r="N550" s="124" t="s">
        <v>896</v>
      </c>
      <c r="O550" s="127" t="s">
        <v>896</v>
      </c>
      <c r="P550" s="125">
        <v>1363886777.0699999</v>
      </c>
      <c r="Q550" s="125">
        <f t="shared" ref="Q550:S550" si="144">Q551+Q641+Q672+Q712+Q731+Q739+Q765+Q773+Q781+Q786+Q788+Q792+Q794+Q796+Q811+Q822+Q829+Q831+Q833+Q835+Q837+Q839+Q846+Q861+Q865+Q868+Q871+Q874+Q883+Q887+Q889+Q893+Q895+Q897+Q899+Q907+Q909+Q919+Q915+Q921+Q929+Q935+Q938+Q940+Q944+Q948+Q954+Q960+Q964+Q966+Q970+Q972+Q978+Q982+Q989+Q996+Q904+Q980+Q825+Q844+Q858+Q933+Q942+Q968+Q994</f>
        <v>0</v>
      </c>
      <c r="R550" s="125">
        <f t="shared" si="144"/>
        <v>3015567.51</v>
      </c>
      <c r="S550" s="125">
        <f t="shared" si="144"/>
        <v>1360871209.5599999</v>
      </c>
      <c r="T550" s="128">
        <f t="shared" si="131"/>
        <v>1646.3410684551734</v>
      </c>
      <c r="U550" s="128">
        <f>MAX(U551:U996)</f>
        <v>24013.858784215474</v>
      </c>
      <c r="V550" s="257">
        <f t="shared" si="139"/>
        <v>22367.517715760299</v>
      </c>
      <c r="W550" s="257"/>
      <c r="X550" s="257"/>
      <c r="Y550" s="258"/>
      <c r="Z550" s="258"/>
      <c r="AA550" s="258"/>
      <c r="AB550" s="258"/>
      <c r="AC550" s="258"/>
      <c r="AD550" s="258"/>
      <c r="AE550" s="258"/>
      <c r="AF550" s="258"/>
      <c r="AG550" s="258"/>
      <c r="AH550" s="258"/>
      <c r="AI550" s="258"/>
      <c r="AJ550" s="258"/>
      <c r="AK550" s="258"/>
      <c r="AL550" s="258"/>
      <c r="AM550" s="258"/>
      <c r="AN550" s="258"/>
      <c r="AO550" s="258"/>
    </row>
    <row r="551" spans="1:41" s="259" customFormat="1" ht="36" customHeight="1" x14ac:dyDescent="0.25">
      <c r="B551" s="94" t="s">
        <v>1094</v>
      </c>
      <c r="C551" s="261"/>
      <c r="D551" s="124" t="s">
        <v>896</v>
      </c>
      <c r="E551" s="124" t="s">
        <v>896</v>
      </c>
      <c r="F551" s="124" t="s">
        <v>896</v>
      </c>
      <c r="G551" s="124" t="s">
        <v>896</v>
      </c>
      <c r="H551" s="124" t="s">
        <v>896</v>
      </c>
      <c r="I551" s="125">
        <f>SUM(I552:I640)</f>
        <v>261863.27999999988</v>
      </c>
      <c r="J551" s="125">
        <f>SUM(J552:J640)</f>
        <v>215423.35000000003</v>
      </c>
      <c r="K551" s="125">
        <f>SUM(K552:K640)</f>
        <v>205365.95000000004</v>
      </c>
      <c r="L551" s="126">
        <f>SUM(L552:L640)</f>
        <v>10358</v>
      </c>
      <c r="M551" s="124" t="s">
        <v>896</v>
      </c>
      <c r="N551" s="124" t="s">
        <v>896</v>
      </c>
      <c r="O551" s="127" t="s">
        <v>896</v>
      </c>
      <c r="P551" s="125">
        <v>300973468.33999985</v>
      </c>
      <c r="Q551" s="125">
        <f>SUM(Q552:Q640)</f>
        <v>0</v>
      </c>
      <c r="R551" s="125">
        <f>SUM(R552:R640)</f>
        <v>0</v>
      </c>
      <c r="S551" s="125">
        <f>SUM(S552:S640)</f>
        <v>300973468.33999985</v>
      </c>
      <c r="T551" s="128">
        <f t="shared" si="131"/>
        <v>1149.3534654419664</v>
      </c>
      <c r="U551" s="128">
        <f>MAX(U552:U640)</f>
        <v>9722.3030380039272</v>
      </c>
      <c r="V551" s="257">
        <f t="shared" si="139"/>
        <v>8572.9495725619599</v>
      </c>
      <c r="W551" s="257"/>
      <c r="X551" s="257"/>
      <c r="Y551" s="258"/>
      <c r="Z551" s="258"/>
      <c r="AA551" s="258"/>
      <c r="AB551" s="258"/>
      <c r="AC551" s="258"/>
      <c r="AD551" s="258"/>
      <c r="AE551" s="258"/>
      <c r="AF551" s="258"/>
      <c r="AG551" s="258"/>
      <c r="AH551" s="258"/>
      <c r="AI551" s="258"/>
      <c r="AJ551" s="258"/>
      <c r="AK551" s="258"/>
      <c r="AL551" s="258"/>
      <c r="AM551" s="258"/>
      <c r="AN551" s="258"/>
      <c r="AO551" s="258"/>
    </row>
    <row r="552" spans="1:41" s="259" customFormat="1" ht="36" customHeight="1" x14ac:dyDescent="0.25">
      <c r="A552" s="259">
        <v>1</v>
      </c>
      <c r="B552" s="135">
        <f>SUBTOTAL(103,$A$552:A552)</f>
        <v>1</v>
      </c>
      <c r="C552" s="94" t="s">
        <v>531</v>
      </c>
      <c r="D552" s="124" t="s">
        <v>354</v>
      </c>
      <c r="E552" s="124"/>
      <c r="F552" s="129" t="s">
        <v>313</v>
      </c>
      <c r="G552" s="124" t="s">
        <v>353</v>
      </c>
      <c r="H552" s="124" t="s">
        <v>310</v>
      </c>
      <c r="I552" s="125">
        <v>3788.4</v>
      </c>
      <c r="J552" s="125">
        <v>3520.9</v>
      </c>
      <c r="K552" s="125">
        <v>3520.9</v>
      </c>
      <c r="L552" s="126">
        <v>100</v>
      </c>
      <c r="M552" s="124" t="s">
        <v>267</v>
      </c>
      <c r="N552" s="124" t="s">
        <v>271</v>
      </c>
      <c r="O552" s="127" t="s">
        <v>1078</v>
      </c>
      <c r="P552" s="128">
        <v>4549323.9899999993</v>
      </c>
      <c r="Q552" s="128">
        <v>0</v>
      </c>
      <c r="R552" s="128">
        <v>0</v>
      </c>
      <c r="S552" s="128">
        <f t="shared" ref="S552:S615" si="145">P552-Q552-R552</f>
        <v>4549323.9899999993</v>
      </c>
      <c r="T552" s="128">
        <f t="shared" si="131"/>
        <v>1200.8562955337343</v>
      </c>
      <c r="U552" s="128">
        <v>1586.3642698764647</v>
      </c>
      <c r="V552" s="257">
        <f t="shared" si="139"/>
        <v>385.50797434273045</v>
      </c>
      <c r="W552" s="257">
        <f t="shared" ref="W552:W615" si="146">X552+Y552+Z552+AA552+AB552+AD552+AF552+AH552+AJ552+AL552+AN552+AO552</f>
        <v>1580.9718086791256</v>
      </c>
      <c r="X552" s="257">
        <v>0</v>
      </c>
      <c r="Y552" s="258">
        <v>0</v>
      </c>
      <c r="Z552" s="258">
        <v>0</v>
      </c>
      <c r="AA552" s="258">
        <v>0</v>
      </c>
      <c r="AB552" s="258">
        <v>0</v>
      </c>
      <c r="AC552" s="258">
        <v>0</v>
      </c>
      <c r="AD552" s="258">
        <v>0</v>
      </c>
      <c r="AE552" s="258">
        <v>960</v>
      </c>
      <c r="AF552" s="257">
        <f t="shared" ref="AF552:AF568" si="147">6238.91*AE552/I552</f>
        <v>1580.9718086791256</v>
      </c>
      <c r="AG552" s="258">
        <v>0</v>
      </c>
      <c r="AH552" s="257">
        <v>0</v>
      </c>
      <c r="AI552" s="258">
        <v>0</v>
      </c>
      <c r="AJ552" s="257">
        <v>0</v>
      </c>
      <c r="AK552" s="258">
        <v>0</v>
      </c>
      <c r="AL552" s="258">
        <v>0</v>
      </c>
      <c r="AM552" s="258">
        <v>0</v>
      </c>
      <c r="AN552" s="258"/>
      <c r="AO552" s="258">
        <v>0</v>
      </c>
    </row>
    <row r="553" spans="1:41" s="259" customFormat="1" ht="36" customHeight="1" x14ac:dyDescent="0.25">
      <c r="A553" s="259">
        <v>1</v>
      </c>
      <c r="B553" s="135">
        <f>SUBTOTAL(103,$A$552:A553)</f>
        <v>2</v>
      </c>
      <c r="C553" s="94" t="s">
        <v>532</v>
      </c>
      <c r="D553" s="124" t="s">
        <v>316</v>
      </c>
      <c r="E553" s="124"/>
      <c r="F553" s="129" t="s">
        <v>313</v>
      </c>
      <c r="G553" s="124" t="s">
        <v>353</v>
      </c>
      <c r="H553" s="124" t="s">
        <v>310</v>
      </c>
      <c r="I553" s="125">
        <v>3837.6</v>
      </c>
      <c r="J553" s="125">
        <v>3516.3</v>
      </c>
      <c r="K553" s="125">
        <v>3516.3</v>
      </c>
      <c r="L553" s="126">
        <v>162</v>
      </c>
      <c r="M553" s="124" t="s">
        <v>267</v>
      </c>
      <c r="N553" s="124" t="s">
        <v>271</v>
      </c>
      <c r="O553" s="127" t="s">
        <v>1078</v>
      </c>
      <c r="P553" s="128">
        <v>4549323.9899999993</v>
      </c>
      <c r="Q553" s="128">
        <v>0</v>
      </c>
      <c r="R553" s="128">
        <v>0</v>
      </c>
      <c r="S553" s="128">
        <f t="shared" si="145"/>
        <v>4549323.9899999993</v>
      </c>
      <c r="T553" s="128">
        <f t="shared" si="131"/>
        <v>1185.4607020012506</v>
      </c>
      <c r="U553" s="128">
        <v>1566.0262664165102</v>
      </c>
      <c r="V553" s="257">
        <f t="shared" si="139"/>
        <v>380.56556441525959</v>
      </c>
      <c r="W553" s="257">
        <f t="shared" si="146"/>
        <v>1560.7029393370856</v>
      </c>
      <c r="X553" s="257">
        <v>0</v>
      </c>
      <c r="Y553" s="258">
        <v>0</v>
      </c>
      <c r="Z553" s="258">
        <v>0</v>
      </c>
      <c r="AA553" s="258">
        <v>0</v>
      </c>
      <c r="AB553" s="258">
        <v>0</v>
      </c>
      <c r="AC553" s="258">
        <v>0</v>
      </c>
      <c r="AD553" s="258">
        <v>0</v>
      </c>
      <c r="AE553" s="258">
        <v>960</v>
      </c>
      <c r="AF553" s="257">
        <f t="shared" si="147"/>
        <v>1560.7029393370856</v>
      </c>
      <c r="AG553" s="258">
        <v>0</v>
      </c>
      <c r="AH553" s="257">
        <v>0</v>
      </c>
      <c r="AI553" s="258">
        <v>0</v>
      </c>
      <c r="AJ553" s="257">
        <v>0</v>
      </c>
      <c r="AK553" s="258">
        <v>0</v>
      </c>
      <c r="AL553" s="258">
        <v>0</v>
      </c>
      <c r="AM553" s="258">
        <v>0</v>
      </c>
      <c r="AN553" s="258"/>
      <c r="AO553" s="258">
        <v>0</v>
      </c>
    </row>
    <row r="554" spans="1:41" s="259" customFormat="1" ht="36" customHeight="1" x14ac:dyDescent="0.25">
      <c r="A554" s="259">
        <v>1</v>
      </c>
      <c r="B554" s="135">
        <f>SUBTOTAL(103,$A$552:A554)</f>
        <v>3</v>
      </c>
      <c r="C554" s="94" t="s">
        <v>533</v>
      </c>
      <c r="D554" s="124" t="s">
        <v>312</v>
      </c>
      <c r="E554" s="124"/>
      <c r="F554" s="129" t="s">
        <v>313</v>
      </c>
      <c r="G554" s="124" t="s">
        <v>353</v>
      </c>
      <c r="H554" s="124" t="s">
        <v>314</v>
      </c>
      <c r="I554" s="125">
        <v>2494.5</v>
      </c>
      <c r="J554" s="125">
        <v>2290.6</v>
      </c>
      <c r="K554" s="125">
        <v>2290.6</v>
      </c>
      <c r="L554" s="126">
        <v>117</v>
      </c>
      <c r="M554" s="124" t="s">
        <v>267</v>
      </c>
      <c r="N554" s="124" t="s">
        <v>271</v>
      </c>
      <c r="O554" s="127" t="s">
        <v>1079</v>
      </c>
      <c r="P554" s="128">
        <v>3263607.5799999996</v>
      </c>
      <c r="Q554" s="128">
        <v>0</v>
      </c>
      <c r="R554" s="128">
        <v>0</v>
      </c>
      <c r="S554" s="128">
        <f t="shared" si="145"/>
        <v>3263607.5799999996</v>
      </c>
      <c r="T554" s="128">
        <f t="shared" si="131"/>
        <v>1308.3213389456803</v>
      </c>
      <c r="U554" s="128">
        <v>1649.0562633794348</v>
      </c>
      <c r="V554" s="257">
        <f t="shared" si="139"/>
        <v>340.73492443375449</v>
      </c>
      <c r="W554" s="257">
        <f t="shared" si="146"/>
        <v>1643.4506959310484</v>
      </c>
      <c r="X554" s="257">
        <v>0</v>
      </c>
      <c r="Y554" s="258">
        <v>0</v>
      </c>
      <c r="Z554" s="258">
        <v>0</v>
      </c>
      <c r="AA554" s="258">
        <v>0</v>
      </c>
      <c r="AB554" s="258">
        <v>0</v>
      </c>
      <c r="AC554" s="258">
        <v>0</v>
      </c>
      <c r="AD554" s="258">
        <v>0</v>
      </c>
      <c r="AE554" s="258">
        <v>657.1</v>
      </c>
      <c r="AF554" s="257">
        <f t="shared" si="147"/>
        <v>1643.4506959310484</v>
      </c>
      <c r="AG554" s="258">
        <v>0</v>
      </c>
      <c r="AH554" s="257">
        <v>0</v>
      </c>
      <c r="AI554" s="258">
        <v>0</v>
      </c>
      <c r="AJ554" s="257">
        <v>0</v>
      </c>
      <c r="AK554" s="258">
        <v>0</v>
      </c>
      <c r="AL554" s="258">
        <v>0</v>
      </c>
      <c r="AM554" s="258">
        <v>0</v>
      </c>
      <c r="AN554" s="258"/>
      <c r="AO554" s="258">
        <v>0</v>
      </c>
    </row>
    <row r="555" spans="1:41" s="259" customFormat="1" ht="36" customHeight="1" x14ac:dyDescent="0.25">
      <c r="A555" s="259">
        <v>1</v>
      </c>
      <c r="B555" s="135">
        <f>SUBTOTAL(103,$A$552:A555)</f>
        <v>4</v>
      </c>
      <c r="C555" s="94" t="s">
        <v>537</v>
      </c>
      <c r="D555" s="124" t="s">
        <v>355</v>
      </c>
      <c r="E555" s="124"/>
      <c r="F555" s="129" t="s">
        <v>269</v>
      </c>
      <c r="G555" s="124" t="s">
        <v>353</v>
      </c>
      <c r="H555" s="124" t="s">
        <v>305</v>
      </c>
      <c r="I555" s="125">
        <v>1965.7</v>
      </c>
      <c r="J555" s="125">
        <v>1789.7</v>
      </c>
      <c r="K555" s="125">
        <v>1702</v>
      </c>
      <c r="L555" s="126">
        <v>80</v>
      </c>
      <c r="M555" s="124" t="s">
        <v>267</v>
      </c>
      <c r="N555" s="124" t="s">
        <v>271</v>
      </c>
      <c r="O555" s="127" t="s">
        <v>1093</v>
      </c>
      <c r="P555" s="128">
        <v>3518296.02</v>
      </c>
      <c r="Q555" s="128">
        <v>0</v>
      </c>
      <c r="R555" s="128">
        <v>0</v>
      </c>
      <c r="S555" s="128">
        <f t="shared" si="145"/>
        <v>3518296.02</v>
      </c>
      <c r="T555" s="128">
        <f t="shared" si="131"/>
        <v>1789.8438317138932</v>
      </c>
      <c r="U555" s="128">
        <v>2261.1461057129773</v>
      </c>
      <c r="V555" s="257">
        <f t="shared" si="139"/>
        <v>471.30227399908404</v>
      </c>
      <c r="W555" s="257">
        <f t="shared" si="146"/>
        <v>2253.4598870631326</v>
      </c>
      <c r="X555" s="257">
        <v>0</v>
      </c>
      <c r="Y555" s="258">
        <v>0</v>
      </c>
      <c r="Z555" s="258">
        <v>0</v>
      </c>
      <c r="AA555" s="258">
        <v>0</v>
      </c>
      <c r="AB555" s="258">
        <v>0</v>
      </c>
      <c r="AC555" s="258">
        <v>0</v>
      </c>
      <c r="AD555" s="258">
        <v>0</v>
      </c>
      <c r="AE555" s="258">
        <v>710</v>
      </c>
      <c r="AF555" s="257">
        <f t="shared" si="147"/>
        <v>2253.4598870631326</v>
      </c>
      <c r="AG555" s="258">
        <v>0</v>
      </c>
      <c r="AH555" s="257">
        <v>0</v>
      </c>
      <c r="AI555" s="258">
        <v>0</v>
      </c>
      <c r="AJ555" s="257">
        <v>0</v>
      </c>
      <c r="AK555" s="258">
        <v>0</v>
      </c>
      <c r="AL555" s="258">
        <v>0</v>
      </c>
      <c r="AM555" s="258">
        <v>0</v>
      </c>
      <c r="AN555" s="258"/>
      <c r="AO555" s="258">
        <v>0</v>
      </c>
    </row>
    <row r="556" spans="1:41" s="259" customFormat="1" ht="36" customHeight="1" x14ac:dyDescent="0.25">
      <c r="A556" s="259">
        <v>1</v>
      </c>
      <c r="B556" s="135">
        <f>SUBTOTAL(103,$A$552:A556)</f>
        <v>5</v>
      </c>
      <c r="C556" s="94" t="s">
        <v>538</v>
      </c>
      <c r="D556" s="124" t="s">
        <v>356</v>
      </c>
      <c r="E556" s="124"/>
      <c r="F556" s="129" t="s">
        <v>269</v>
      </c>
      <c r="G556" s="124" t="s">
        <v>314</v>
      </c>
      <c r="H556" s="124" t="s">
        <v>305</v>
      </c>
      <c r="I556" s="125">
        <v>944.2</v>
      </c>
      <c r="J556" s="125">
        <v>863.6</v>
      </c>
      <c r="K556" s="125">
        <v>863.6</v>
      </c>
      <c r="L556" s="126">
        <v>47</v>
      </c>
      <c r="M556" s="124" t="s">
        <v>267</v>
      </c>
      <c r="N556" s="124" t="s">
        <v>271</v>
      </c>
      <c r="O556" s="127" t="s">
        <v>1401</v>
      </c>
      <c r="P556" s="128">
        <v>2570383.31</v>
      </c>
      <c r="Q556" s="128">
        <v>0</v>
      </c>
      <c r="R556" s="128">
        <v>0</v>
      </c>
      <c r="S556" s="128">
        <f t="shared" si="145"/>
        <v>2570383.31</v>
      </c>
      <c r="T556" s="128">
        <f t="shared" si="131"/>
        <v>2722.2869201440371</v>
      </c>
      <c r="U556" s="128">
        <v>3447.6793052319422</v>
      </c>
      <c r="V556" s="257">
        <f t="shared" si="139"/>
        <v>725.39238508790504</v>
      </c>
      <c r="W556" s="257">
        <f t="shared" si="146"/>
        <v>3435.9597542893448</v>
      </c>
      <c r="X556" s="257">
        <v>0</v>
      </c>
      <c r="Y556" s="258">
        <v>0</v>
      </c>
      <c r="Z556" s="258">
        <v>0</v>
      </c>
      <c r="AA556" s="258">
        <v>0</v>
      </c>
      <c r="AB556" s="258">
        <v>0</v>
      </c>
      <c r="AC556" s="258">
        <v>0</v>
      </c>
      <c r="AD556" s="258">
        <v>0</v>
      </c>
      <c r="AE556" s="258">
        <v>520</v>
      </c>
      <c r="AF556" s="257">
        <f t="shared" si="147"/>
        <v>3435.9597542893448</v>
      </c>
      <c r="AG556" s="258">
        <v>0</v>
      </c>
      <c r="AH556" s="257">
        <v>0</v>
      </c>
      <c r="AI556" s="258">
        <v>0</v>
      </c>
      <c r="AJ556" s="257">
        <v>0</v>
      </c>
      <c r="AK556" s="258">
        <v>0</v>
      </c>
      <c r="AL556" s="258">
        <v>0</v>
      </c>
      <c r="AM556" s="258">
        <v>0</v>
      </c>
      <c r="AN556" s="258"/>
      <c r="AO556" s="258">
        <v>0</v>
      </c>
    </row>
    <row r="557" spans="1:41" s="259" customFormat="1" ht="36" customHeight="1" x14ac:dyDescent="0.25">
      <c r="A557" s="259">
        <v>1</v>
      </c>
      <c r="B557" s="135">
        <f>SUBTOTAL(103,$A$552:A557)</f>
        <v>6</v>
      </c>
      <c r="C557" s="94" t="s">
        <v>539</v>
      </c>
      <c r="D557" s="124" t="s">
        <v>357</v>
      </c>
      <c r="E557" s="124"/>
      <c r="F557" s="129" t="s">
        <v>269</v>
      </c>
      <c r="G557" s="124" t="s">
        <v>353</v>
      </c>
      <c r="H557" s="124" t="s">
        <v>306</v>
      </c>
      <c r="I557" s="125">
        <v>5616.2</v>
      </c>
      <c r="J557" s="125">
        <v>2949.2</v>
      </c>
      <c r="K557" s="125">
        <v>2949.2</v>
      </c>
      <c r="L557" s="126">
        <v>186</v>
      </c>
      <c r="M557" s="124" t="s">
        <v>267</v>
      </c>
      <c r="N557" s="124" t="s">
        <v>271</v>
      </c>
      <c r="O557" s="127" t="s">
        <v>1387</v>
      </c>
      <c r="P557" s="128">
        <v>4554037.87</v>
      </c>
      <c r="Q557" s="128">
        <v>0</v>
      </c>
      <c r="R557" s="128">
        <v>0</v>
      </c>
      <c r="S557" s="128">
        <f t="shared" si="145"/>
        <v>4554037.87</v>
      </c>
      <c r="T557" s="128">
        <f t="shared" si="131"/>
        <v>810.87530180549129</v>
      </c>
      <c r="U557" s="128">
        <v>1031.2114195897582</v>
      </c>
      <c r="V557" s="257">
        <f t="shared" si="139"/>
        <v>220.33611778426689</v>
      </c>
      <c r="W557" s="257">
        <f t="shared" si="146"/>
        <v>1027.7060660767067</v>
      </c>
      <c r="X557" s="257">
        <v>0</v>
      </c>
      <c r="Y557" s="258">
        <v>0</v>
      </c>
      <c r="Z557" s="258">
        <v>0</v>
      </c>
      <c r="AA557" s="258">
        <v>0</v>
      </c>
      <c r="AB557" s="258">
        <v>0</v>
      </c>
      <c r="AC557" s="258">
        <v>0</v>
      </c>
      <c r="AD557" s="258">
        <v>0</v>
      </c>
      <c r="AE557" s="258">
        <v>925.13</v>
      </c>
      <c r="AF557" s="257">
        <f t="shared" si="147"/>
        <v>1027.7060660767067</v>
      </c>
      <c r="AG557" s="258">
        <v>0</v>
      </c>
      <c r="AH557" s="257">
        <v>0</v>
      </c>
      <c r="AI557" s="258">
        <v>0</v>
      </c>
      <c r="AJ557" s="257">
        <v>0</v>
      </c>
      <c r="AK557" s="258">
        <v>0</v>
      </c>
      <c r="AL557" s="258">
        <v>0</v>
      </c>
      <c r="AM557" s="258">
        <v>0</v>
      </c>
      <c r="AN557" s="258"/>
      <c r="AO557" s="258">
        <v>0</v>
      </c>
    </row>
    <row r="558" spans="1:41" s="259" customFormat="1" ht="36" customHeight="1" x14ac:dyDescent="0.25">
      <c r="A558" s="259">
        <v>1</v>
      </c>
      <c r="B558" s="135">
        <f>SUBTOTAL(103,$A$552:A558)</f>
        <v>7</v>
      </c>
      <c r="C558" s="94" t="s">
        <v>540</v>
      </c>
      <c r="D558" s="124">
        <v>1985</v>
      </c>
      <c r="E558" s="124"/>
      <c r="F558" s="129" t="s">
        <v>269</v>
      </c>
      <c r="G558" s="124" t="s">
        <v>353</v>
      </c>
      <c r="H558" s="124" t="s">
        <v>373</v>
      </c>
      <c r="I558" s="125">
        <v>5781</v>
      </c>
      <c r="J558" s="125">
        <v>5781</v>
      </c>
      <c r="K558" s="125">
        <v>5781</v>
      </c>
      <c r="L558" s="126">
        <v>208</v>
      </c>
      <c r="M558" s="124" t="s">
        <v>267</v>
      </c>
      <c r="N558" s="124" t="s">
        <v>271</v>
      </c>
      <c r="O558" s="127" t="s">
        <v>1078</v>
      </c>
      <c r="P558" s="128">
        <v>3759019.5700000003</v>
      </c>
      <c r="Q558" s="128">
        <v>0</v>
      </c>
      <c r="R558" s="128">
        <v>0</v>
      </c>
      <c r="S558" s="128">
        <f t="shared" si="145"/>
        <v>3759019.5700000003</v>
      </c>
      <c r="T558" s="128">
        <f t="shared" si="131"/>
        <v>650.23690883930124</v>
      </c>
      <c r="U558" s="128">
        <v>822.99678256357026</v>
      </c>
      <c r="V558" s="257">
        <f t="shared" si="139"/>
        <v>172.75987372426903</v>
      </c>
      <c r="W558" s="257">
        <f t="shared" si="146"/>
        <v>820.1992042899152</v>
      </c>
      <c r="X558" s="257">
        <v>0</v>
      </c>
      <c r="Y558" s="258">
        <v>0</v>
      </c>
      <c r="Z558" s="258">
        <v>0</v>
      </c>
      <c r="AA558" s="258">
        <v>0</v>
      </c>
      <c r="AB558" s="258">
        <v>0</v>
      </c>
      <c r="AC558" s="258">
        <v>0</v>
      </c>
      <c r="AD558" s="258">
        <v>0</v>
      </c>
      <c r="AE558" s="258">
        <v>760</v>
      </c>
      <c r="AF558" s="257">
        <f t="shared" si="147"/>
        <v>820.1992042899152</v>
      </c>
      <c r="AG558" s="258">
        <v>0</v>
      </c>
      <c r="AH558" s="257">
        <v>0</v>
      </c>
      <c r="AI558" s="258">
        <v>0</v>
      </c>
      <c r="AJ558" s="257">
        <v>0</v>
      </c>
      <c r="AK558" s="258">
        <v>0</v>
      </c>
      <c r="AL558" s="258">
        <v>0</v>
      </c>
      <c r="AM558" s="258">
        <v>0</v>
      </c>
      <c r="AN558" s="258"/>
      <c r="AO558" s="258">
        <v>0</v>
      </c>
    </row>
    <row r="559" spans="1:41" s="259" customFormat="1" ht="36" customHeight="1" x14ac:dyDescent="0.25">
      <c r="A559" s="259">
        <v>1</v>
      </c>
      <c r="B559" s="135">
        <f>SUBTOTAL(103,$A$552:A559)</f>
        <v>8</v>
      </c>
      <c r="C559" s="94" t="s">
        <v>541</v>
      </c>
      <c r="D559" s="124" t="s">
        <v>309</v>
      </c>
      <c r="E559" s="124"/>
      <c r="F559" s="129" t="s">
        <v>269</v>
      </c>
      <c r="G559" s="124" t="s">
        <v>314</v>
      </c>
      <c r="H559" s="124" t="s">
        <v>306</v>
      </c>
      <c r="I559" s="125">
        <v>761.1</v>
      </c>
      <c r="J559" s="125">
        <v>761.1</v>
      </c>
      <c r="K559" s="125">
        <v>625.20000000000005</v>
      </c>
      <c r="L559" s="126">
        <v>54</v>
      </c>
      <c r="M559" s="124" t="s">
        <v>267</v>
      </c>
      <c r="N559" s="124" t="s">
        <v>271</v>
      </c>
      <c r="O559" s="127" t="s">
        <v>1387</v>
      </c>
      <c r="P559" s="128">
        <v>3604386.26</v>
      </c>
      <c r="Q559" s="128">
        <v>0</v>
      </c>
      <c r="R559" s="128">
        <v>0</v>
      </c>
      <c r="S559" s="128">
        <f t="shared" si="145"/>
        <v>3604386.26</v>
      </c>
      <c r="T559" s="128">
        <f t="shared" si="131"/>
        <v>4735.7591118118507</v>
      </c>
      <c r="U559" s="128">
        <v>4735.7591118118507</v>
      </c>
      <c r="V559" s="257">
        <f t="shared" si="139"/>
        <v>0</v>
      </c>
      <c r="W559" s="257">
        <f t="shared" si="146"/>
        <v>4295.3473130994607</v>
      </c>
      <c r="X559" s="257">
        <v>0</v>
      </c>
      <c r="Y559" s="258">
        <v>0</v>
      </c>
      <c r="Z559" s="258">
        <v>0</v>
      </c>
      <c r="AA559" s="258">
        <v>0</v>
      </c>
      <c r="AB559" s="258">
        <v>0</v>
      </c>
      <c r="AC559" s="258">
        <v>0</v>
      </c>
      <c r="AD559" s="258">
        <v>0</v>
      </c>
      <c r="AE559" s="258">
        <v>524</v>
      </c>
      <c r="AF559" s="257">
        <f t="shared" si="147"/>
        <v>4295.3473130994607</v>
      </c>
      <c r="AG559" s="258">
        <v>0</v>
      </c>
      <c r="AH559" s="257">
        <v>0</v>
      </c>
      <c r="AI559" s="258">
        <v>0</v>
      </c>
      <c r="AJ559" s="257">
        <v>0</v>
      </c>
      <c r="AK559" s="258">
        <v>0</v>
      </c>
      <c r="AL559" s="258">
        <v>0</v>
      </c>
      <c r="AM559" s="258">
        <v>0</v>
      </c>
      <c r="AN559" s="258"/>
      <c r="AO559" s="258">
        <v>0</v>
      </c>
    </row>
    <row r="560" spans="1:41" s="259" customFormat="1" ht="36" customHeight="1" x14ac:dyDescent="0.25">
      <c r="A560" s="259">
        <v>1</v>
      </c>
      <c r="B560" s="135">
        <f>SUBTOTAL(103,$A$552:A560)</f>
        <v>9</v>
      </c>
      <c r="C560" s="94" t="s">
        <v>542</v>
      </c>
      <c r="D560" s="124" t="s">
        <v>358</v>
      </c>
      <c r="E560" s="124"/>
      <c r="F560" s="129" t="s">
        <v>269</v>
      </c>
      <c r="G560" s="124" t="s">
        <v>359</v>
      </c>
      <c r="H560" s="124" t="s">
        <v>306</v>
      </c>
      <c r="I560" s="125">
        <v>7585.7</v>
      </c>
      <c r="J560" s="125">
        <v>5261.8</v>
      </c>
      <c r="K560" s="125">
        <v>4715.1000000000004</v>
      </c>
      <c r="L560" s="126">
        <v>348</v>
      </c>
      <c r="M560" s="124" t="s">
        <v>267</v>
      </c>
      <c r="N560" s="124" t="s">
        <v>271</v>
      </c>
      <c r="O560" s="127" t="s">
        <v>1387</v>
      </c>
      <c r="P560" s="128">
        <v>5092635.92</v>
      </c>
      <c r="Q560" s="128">
        <v>0</v>
      </c>
      <c r="R560" s="128">
        <v>0</v>
      </c>
      <c r="S560" s="128">
        <f t="shared" si="145"/>
        <v>5092635.92</v>
      </c>
      <c r="T560" s="128">
        <f t="shared" si="131"/>
        <v>671.34686581330664</v>
      </c>
      <c r="U560" s="128">
        <v>855.79670037043377</v>
      </c>
      <c r="V560" s="257">
        <f t="shared" si="139"/>
        <v>184.44983455712713</v>
      </c>
      <c r="W560" s="257">
        <f t="shared" si="146"/>
        <v>852.88762671869438</v>
      </c>
      <c r="X560" s="257">
        <v>0</v>
      </c>
      <c r="Y560" s="258">
        <v>0</v>
      </c>
      <c r="Z560" s="258">
        <v>0</v>
      </c>
      <c r="AA560" s="258">
        <v>0</v>
      </c>
      <c r="AB560" s="258">
        <v>0</v>
      </c>
      <c r="AC560" s="258">
        <v>0</v>
      </c>
      <c r="AD560" s="258">
        <v>0</v>
      </c>
      <c r="AE560" s="258">
        <v>1037</v>
      </c>
      <c r="AF560" s="257">
        <f t="shared" si="147"/>
        <v>852.88762671869438</v>
      </c>
      <c r="AG560" s="258">
        <v>0</v>
      </c>
      <c r="AH560" s="257">
        <v>0</v>
      </c>
      <c r="AI560" s="258">
        <v>0</v>
      </c>
      <c r="AJ560" s="257">
        <v>0</v>
      </c>
      <c r="AK560" s="258">
        <v>0</v>
      </c>
      <c r="AL560" s="258">
        <v>0</v>
      </c>
      <c r="AM560" s="258">
        <v>0</v>
      </c>
      <c r="AN560" s="258"/>
      <c r="AO560" s="258">
        <v>0</v>
      </c>
    </row>
    <row r="561" spans="1:41" s="259" customFormat="1" ht="36" customHeight="1" x14ac:dyDescent="0.25">
      <c r="A561" s="259">
        <v>1</v>
      </c>
      <c r="B561" s="135">
        <f>SUBTOTAL(103,$A$552:A561)</f>
        <v>10</v>
      </c>
      <c r="C561" s="94" t="s">
        <v>545</v>
      </c>
      <c r="D561" s="124">
        <v>1968</v>
      </c>
      <c r="E561" s="124"/>
      <c r="F561" s="129" t="s">
        <v>269</v>
      </c>
      <c r="G561" s="124" t="s">
        <v>353</v>
      </c>
      <c r="H561" s="124" t="s">
        <v>310</v>
      </c>
      <c r="I561" s="125">
        <v>3511.62</v>
      </c>
      <c r="J561" s="125">
        <v>3241.9</v>
      </c>
      <c r="K561" s="125">
        <v>2726.1</v>
      </c>
      <c r="L561" s="126">
        <v>238</v>
      </c>
      <c r="M561" s="124" t="s">
        <v>267</v>
      </c>
      <c r="N561" s="124" t="s">
        <v>271</v>
      </c>
      <c r="O561" s="127" t="s">
        <v>1389</v>
      </c>
      <c r="P561" s="128">
        <v>5145091.9399999995</v>
      </c>
      <c r="Q561" s="128">
        <v>0</v>
      </c>
      <c r="R561" s="128">
        <v>0</v>
      </c>
      <c r="S561" s="128">
        <f t="shared" si="145"/>
        <v>5145091.9399999995</v>
      </c>
      <c r="T561" s="128">
        <f t="shared" si="131"/>
        <v>1465.1619309606392</v>
      </c>
      <c r="U561" s="128">
        <v>1893.2349684760877</v>
      </c>
      <c r="V561" s="257">
        <f t="shared" si="139"/>
        <v>428.0730375154485</v>
      </c>
      <c r="W561" s="257">
        <f t="shared" si="146"/>
        <v>1886.7993746475986</v>
      </c>
      <c r="X561" s="257">
        <v>0</v>
      </c>
      <c r="Y561" s="258">
        <v>0</v>
      </c>
      <c r="Z561" s="258">
        <v>0</v>
      </c>
      <c r="AA561" s="258">
        <v>0</v>
      </c>
      <c r="AB561" s="258">
        <v>0</v>
      </c>
      <c r="AC561" s="258">
        <v>0</v>
      </c>
      <c r="AD561" s="258">
        <v>0</v>
      </c>
      <c r="AE561" s="258">
        <v>1062</v>
      </c>
      <c r="AF561" s="257">
        <f t="shared" si="147"/>
        <v>1886.7993746475986</v>
      </c>
      <c r="AG561" s="258">
        <v>0</v>
      </c>
      <c r="AH561" s="257">
        <v>0</v>
      </c>
      <c r="AI561" s="258">
        <v>0</v>
      </c>
      <c r="AJ561" s="257">
        <v>0</v>
      </c>
      <c r="AK561" s="258">
        <v>0</v>
      </c>
      <c r="AL561" s="258">
        <v>0</v>
      </c>
      <c r="AM561" s="258">
        <v>0</v>
      </c>
      <c r="AN561" s="258"/>
      <c r="AO561" s="258">
        <v>0</v>
      </c>
    </row>
    <row r="562" spans="1:41" s="259" customFormat="1" ht="36" customHeight="1" x14ac:dyDescent="0.25">
      <c r="A562" s="259">
        <v>1</v>
      </c>
      <c r="B562" s="135">
        <f>SUBTOTAL(103,$A$552:A562)</f>
        <v>11</v>
      </c>
      <c r="C562" s="94" t="s">
        <v>544</v>
      </c>
      <c r="D562" s="124">
        <v>1970</v>
      </c>
      <c r="E562" s="124"/>
      <c r="F562" s="129" t="s">
        <v>269</v>
      </c>
      <c r="G562" s="124">
        <v>5</v>
      </c>
      <c r="H562" s="124" t="s">
        <v>310</v>
      </c>
      <c r="I562" s="125">
        <v>4104.5</v>
      </c>
      <c r="J562" s="125">
        <v>3361</v>
      </c>
      <c r="K562" s="125">
        <v>2986.4</v>
      </c>
      <c r="L562" s="126">
        <v>141</v>
      </c>
      <c r="M562" s="124" t="s">
        <v>267</v>
      </c>
      <c r="N562" s="124" t="s">
        <v>271</v>
      </c>
      <c r="O562" s="127" t="s">
        <v>1655</v>
      </c>
      <c r="P562" s="128">
        <v>5398710.1299999999</v>
      </c>
      <c r="Q562" s="128">
        <v>0</v>
      </c>
      <c r="R562" s="128">
        <v>0</v>
      </c>
      <c r="S562" s="128">
        <f t="shared" si="145"/>
        <v>5398710.1299999999</v>
      </c>
      <c r="T562" s="128">
        <f t="shared" si="131"/>
        <v>1315.3149299549275</v>
      </c>
      <c r="U562" s="128">
        <v>1628.9153173346326</v>
      </c>
      <c r="V562" s="257">
        <f t="shared" si="139"/>
        <v>313.60038737970513</v>
      </c>
      <c r="W562" s="257">
        <f t="shared" si="146"/>
        <v>1623.3782141551956</v>
      </c>
      <c r="X562" s="257">
        <v>0</v>
      </c>
      <c r="Y562" s="258">
        <v>0</v>
      </c>
      <c r="Z562" s="258">
        <v>0</v>
      </c>
      <c r="AA562" s="258">
        <v>0</v>
      </c>
      <c r="AB562" s="258">
        <v>0</v>
      </c>
      <c r="AC562" s="258">
        <v>0</v>
      </c>
      <c r="AD562" s="258">
        <v>0</v>
      </c>
      <c r="AE562" s="258">
        <v>1068</v>
      </c>
      <c r="AF562" s="257">
        <f t="shared" si="147"/>
        <v>1623.3782141551956</v>
      </c>
      <c r="AG562" s="258">
        <v>0</v>
      </c>
      <c r="AH562" s="257">
        <v>0</v>
      </c>
      <c r="AI562" s="258">
        <v>0</v>
      </c>
      <c r="AJ562" s="257">
        <v>0</v>
      </c>
      <c r="AK562" s="258">
        <v>0</v>
      </c>
      <c r="AL562" s="258">
        <v>0</v>
      </c>
      <c r="AM562" s="258">
        <v>0</v>
      </c>
      <c r="AN562" s="258"/>
      <c r="AO562" s="258">
        <v>0</v>
      </c>
    </row>
    <row r="563" spans="1:41" s="259" customFormat="1" ht="36" customHeight="1" x14ac:dyDescent="0.25">
      <c r="A563" s="259">
        <v>1</v>
      </c>
      <c r="B563" s="135">
        <f>SUBTOTAL(103,$A$552:A563)</f>
        <v>12</v>
      </c>
      <c r="C563" s="94" t="s">
        <v>803</v>
      </c>
      <c r="D563" s="124">
        <v>1961</v>
      </c>
      <c r="E563" s="124"/>
      <c r="F563" s="129" t="s">
        <v>269</v>
      </c>
      <c r="G563" s="124">
        <v>4</v>
      </c>
      <c r="H563" s="124" t="s">
        <v>305</v>
      </c>
      <c r="I563" s="125">
        <v>1116.9000000000001</v>
      </c>
      <c r="J563" s="125">
        <v>860.4</v>
      </c>
      <c r="K563" s="125">
        <v>748.8</v>
      </c>
      <c r="L563" s="126">
        <v>36</v>
      </c>
      <c r="M563" s="124" t="s">
        <v>267</v>
      </c>
      <c r="N563" s="124" t="s">
        <v>271</v>
      </c>
      <c r="O563" s="127" t="s">
        <v>1602</v>
      </c>
      <c r="P563" s="128">
        <v>2799900</v>
      </c>
      <c r="Q563" s="128">
        <v>0</v>
      </c>
      <c r="R563" s="128">
        <v>0</v>
      </c>
      <c r="S563" s="128">
        <f t="shared" si="145"/>
        <v>2799900</v>
      </c>
      <c r="T563" s="128">
        <f t="shared" si="131"/>
        <v>2506.8493150684931</v>
      </c>
      <c r="U563" s="128">
        <v>3559.1553854418476</v>
      </c>
      <c r="V563" s="257">
        <f t="shared" si="139"/>
        <v>1052.3060703733545</v>
      </c>
      <c r="W563" s="257">
        <f t="shared" si="146"/>
        <v>3547.0568985585101</v>
      </c>
      <c r="X563" s="257">
        <v>0</v>
      </c>
      <c r="Y563" s="258">
        <v>0</v>
      </c>
      <c r="Z563" s="258">
        <v>0</v>
      </c>
      <c r="AA563" s="258">
        <v>0</v>
      </c>
      <c r="AB563" s="258">
        <v>0</v>
      </c>
      <c r="AC563" s="258">
        <v>0</v>
      </c>
      <c r="AD563" s="258">
        <v>0</v>
      </c>
      <c r="AE563" s="258">
        <v>635</v>
      </c>
      <c r="AF563" s="257">
        <f t="shared" si="147"/>
        <v>3547.0568985585101</v>
      </c>
      <c r="AG563" s="258">
        <v>0</v>
      </c>
      <c r="AH563" s="257">
        <v>0</v>
      </c>
      <c r="AI563" s="258">
        <v>0</v>
      </c>
      <c r="AJ563" s="257">
        <v>0</v>
      </c>
      <c r="AK563" s="258">
        <v>0</v>
      </c>
      <c r="AL563" s="258">
        <v>0</v>
      </c>
      <c r="AM563" s="258">
        <v>0</v>
      </c>
      <c r="AN563" s="258"/>
      <c r="AO563" s="258">
        <v>0</v>
      </c>
    </row>
    <row r="564" spans="1:41" s="259" customFormat="1" ht="36" customHeight="1" x14ac:dyDescent="0.25">
      <c r="A564" s="259">
        <v>1</v>
      </c>
      <c r="B564" s="135">
        <f>SUBTOTAL(103,$A$552:A564)</f>
        <v>13</v>
      </c>
      <c r="C564" s="94" t="s">
        <v>547</v>
      </c>
      <c r="D564" s="124" t="s">
        <v>309</v>
      </c>
      <c r="E564" s="124"/>
      <c r="F564" s="129" t="s">
        <v>313</v>
      </c>
      <c r="G564" s="124" t="s">
        <v>353</v>
      </c>
      <c r="H564" s="124" t="s">
        <v>310</v>
      </c>
      <c r="I564" s="125">
        <v>3904.9</v>
      </c>
      <c r="J564" s="125">
        <v>3572.7</v>
      </c>
      <c r="K564" s="125">
        <v>3572.7</v>
      </c>
      <c r="L564" s="126">
        <v>170</v>
      </c>
      <c r="M564" s="124" t="s">
        <v>267</v>
      </c>
      <c r="N564" s="124" t="s">
        <v>271</v>
      </c>
      <c r="O564" s="127" t="s">
        <v>1078</v>
      </c>
      <c r="P564" s="128">
        <v>5017349.92</v>
      </c>
      <c r="Q564" s="128">
        <v>0</v>
      </c>
      <c r="R564" s="128">
        <v>0</v>
      </c>
      <c r="S564" s="128">
        <f t="shared" si="145"/>
        <v>5017349.92</v>
      </c>
      <c r="T564" s="128">
        <f t="shared" si="131"/>
        <v>1284.8856359958002</v>
      </c>
      <c r="U564" s="128">
        <v>1539.0361853056415</v>
      </c>
      <c r="V564" s="257">
        <f t="shared" si="139"/>
        <v>254.15054930984138</v>
      </c>
      <c r="W564" s="257">
        <f t="shared" si="146"/>
        <v>1533.8046044713051</v>
      </c>
      <c r="X564" s="257">
        <v>0</v>
      </c>
      <c r="Y564" s="258">
        <v>0</v>
      </c>
      <c r="Z564" s="258">
        <v>0</v>
      </c>
      <c r="AA564" s="258">
        <v>0</v>
      </c>
      <c r="AB564" s="258">
        <v>0</v>
      </c>
      <c r="AC564" s="258">
        <v>0</v>
      </c>
      <c r="AD564" s="258">
        <v>0</v>
      </c>
      <c r="AE564" s="258">
        <v>960</v>
      </c>
      <c r="AF564" s="257">
        <f t="shared" si="147"/>
        <v>1533.8046044713051</v>
      </c>
      <c r="AG564" s="258">
        <v>0</v>
      </c>
      <c r="AH564" s="257">
        <v>0</v>
      </c>
      <c r="AI564" s="258">
        <v>0</v>
      </c>
      <c r="AJ564" s="257">
        <v>0</v>
      </c>
      <c r="AK564" s="258">
        <v>0</v>
      </c>
      <c r="AL564" s="258">
        <v>0</v>
      </c>
      <c r="AM564" s="258">
        <v>0</v>
      </c>
      <c r="AN564" s="258"/>
      <c r="AO564" s="258">
        <v>0</v>
      </c>
    </row>
    <row r="565" spans="1:41" s="259" customFormat="1" ht="36" customHeight="1" x14ac:dyDescent="0.25">
      <c r="A565" s="259">
        <v>1</v>
      </c>
      <c r="B565" s="135">
        <f>SUBTOTAL(103,$A$552:A565)</f>
        <v>14</v>
      </c>
      <c r="C565" s="94" t="s">
        <v>548</v>
      </c>
      <c r="D565" s="124" t="s">
        <v>309</v>
      </c>
      <c r="E565" s="124"/>
      <c r="F565" s="129" t="s">
        <v>313</v>
      </c>
      <c r="G565" s="124" t="s">
        <v>353</v>
      </c>
      <c r="H565" s="124" t="s">
        <v>314</v>
      </c>
      <c r="I565" s="125">
        <v>3361</v>
      </c>
      <c r="J565" s="125">
        <v>2572.6</v>
      </c>
      <c r="K565" s="125">
        <v>2572.6</v>
      </c>
      <c r="L565" s="126">
        <v>133</v>
      </c>
      <c r="M565" s="124" t="s">
        <v>267</v>
      </c>
      <c r="N565" s="124" t="s">
        <v>271</v>
      </c>
      <c r="O565" s="127" t="s">
        <v>1078</v>
      </c>
      <c r="P565" s="128">
        <v>4076909.2800000003</v>
      </c>
      <c r="Q565" s="128">
        <v>0</v>
      </c>
      <c r="R565" s="128">
        <v>0</v>
      </c>
      <c r="S565" s="128">
        <f t="shared" si="145"/>
        <v>4076909.2800000003</v>
      </c>
      <c r="T565" s="128">
        <f t="shared" si="131"/>
        <v>1213.0048437964892</v>
      </c>
      <c r="U565" s="128">
        <v>1365.0976646831298</v>
      </c>
      <c r="V565" s="257">
        <f t="shared" si="139"/>
        <v>152.09282088664054</v>
      </c>
      <c r="W565" s="257">
        <f t="shared" si="146"/>
        <v>1438.6061440047604</v>
      </c>
      <c r="X565" s="257">
        <v>0</v>
      </c>
      <c r="Y565" s="258">
        <v>0</v>
      </c>
      <c r="Z565" s="258">
        <v>0</v>
      </c>
      <c r="AA565" s="258">
        <v>0</v>
      </c>
      <c r="AB565" s="258">
        <v>0</v>
      </c>
      <c r="AC565" s="258">
        <v>0</v>
      </c>
      <c r="AD565" s="258">
        <v>0</v>
      </c>
      <c r="AE565" s="258">
        <v>775</v>
      </c>
      <c r="AF565" s="257">
        <f t="shared" si="147"/>
        <v>1438.6061440047604</v>
      </c>
      <c r="AG565" s="258">
        <v>0</v>
      </c>
      <c r="AH565" s="257">
        <v>0</v>
      </c>
      <c r="AI565" s="258">
        <v>0</v>
      </c>
      <c r="AJ565" s="257">
        <v>0</v>
      </c>
      <c r="AK565" s="258">
        <v>0</v>
      </c>
      <c r="AL565" s="258">
        <v>0</v>
      </c>
      <c r="AM565" s="258">
        <v>0</v>
      </c>
      <c r="AN565" s="258"/>
      <c r="AO565" s="258">
        <v>0</v>
      </c>
    </row>
    <row r="566" spans="1:41" s="259" customFormat="1" ht="36" customHeight="1" x14ac:dyDescent="0.25">
      <c r="A566" s="259">
        <v>1</v>
      </c>
      <c r="B566" s="135">
        <f>SUBTOTAL(103,$A$552:A566)</f>
        <v>15</v>
      </c>
      <c r="C566" s="94" t="s">
        <v>1405</v>
      </c>
      <c r="D566" s="124">
        <v>1965</v>
      </c>
      <c r="E566" s="124"/>
      <c r="F566" s="129" t="s">
        <v>269</v>
      </c>
      <c r="G566" s="124">
        <v>5</v>
      </c>
      <c r="H566" s="124" t="s">
        <v>310</v>
      </c>
      <c r="I566" s="125">
        <v>4215.8</v>
      </c>
      <c r="J566" s="125">
        <v>4102.3</v>
      </c>
      <c r="K566" s="125">
        <v>2512.3000000000002</v>
      </c>
      <c r="L566" s="126">
        <v>122</v>
      </c>
      <c r="M566" s="124" t="s">
        <v>267</v>
      </c>
      <c r="N566" s="124" t="s">
        <v>271</v>
      </c>
      <c r="O566" s="127" t="s">
        <v>1078</v>
      </c>
      <c r="P566" s="128">
        <v>5684659.8300000001</v>
      </c>
      <c r="Q566" s="128">
        <v>0</v>
      </c>
      <c r="R566" s="128">
        <v>0</v>
      </c>
      <c r="S566" s="128">
        <f t="shared" si="145"/>
        <v>5684659.8300000001</v>
      </c>
      <c r="T566" s="128">
        <f t="shared" si="131"/>
        <v>1348.4178163100717</v>
      </c>
      <c r="U566" s="128">
        <v>1792.46533255847</v>
      </c>
      <c r="V566" s="257">
        <f t="shared" si="139"/>
        <v>444.04751624839832</v>
      </c>
      <c r="W566" s="257">
        <f t="shared" si="146"/>
        <v>1786.3722807059155</v>
      </c>
      <c r="X566" s="257">
        <v>0</v>
      </c>
      <c r="Y566" s="258">
        <v>0</v>
      </c>
      <c r="Z566" s="258">
        <v>0</v>
      </c>
      <c r="AA566" s="258">
        <v>0</v>
      </c>
      <c r="AB566" s="258">
        <v>0</v>
      </c>
      <c r="AC566" s="258">
        <v>0</v>
      </c>
      <c r="AD566" s="258">
        <v>0</v>
      </c>
      <c r="AE566" s="258">
        <v>1207.0999999999999</v>
      </c>
      <c r="AF566" s="257">
        <f t="shared" si="147"/>
        <v>1786.3722807059155</v>
      </c>
      <c r="AG566" s="258">
        <v>0</v>
      </c>
      <c r="AH566" s="257">
        <v>0</v>
      </c>
      <c r="AI566" s="258">
        <v>0</v>
      </c>
      <c r="AJ566" s="257">
        <v>0</v>
      </c>
      <c r="AK566" s="258">
        <v>0</v>
      </c>
      <c r="AL566" s="258">
        <v>0</v>
      </c>
      <c r="AM566" s="258">
        <v>0</v>
      </c>
      <c r="AN566" s="258"/>
      <c r="AO566" s="258">
        <v>0</v>
      </c>
    </row>
    <row r="567" spans="1:41" s="259" customFormat="1" ht="36" customHeight="1" x14ac:dyDescent="0.25">
      <c r="A567" s="259">
        <v>1</v>
      </c>
      <c r="B567" s="135">
        <f>SUBTOTAL(103,$A$552:A567)</f>
        <v>16</v>
      </c>
      <c r="C567" s="94" t="s">
        <v>804</v>
      </c>
      <c r="D567" s="124">
        <v>1963</v>
      </c>
      <c r="E567" s="124"/>
      <c r="F567" s="129" t="s">
        <v>269</v>
      </c>
      <c r="G567" s="124">
        <v>4</v>
      </c>
      <c r="H567" s="124" t="s">
        <v>305</v>
      </c>
      <c r="I567" s="125">
        <v>1438.7</v>
      </c>
      <c r="J567" s="125">
        <v>1260.7</v>
      </c>
      <c r="K567" s="125">
        <v>1260.7</v>
      </c>
      <c r="L567" s="126">
        <v>54</v>
      </c>
      <c r="M567" s="124" t="s">
        <v>267</v>
      </c>
      <c r="N567" s="124" t="s">
        <v>300</v>
      </c>
      <c r="O567" s="127" t="s">
        <v>817</v>
      </c>
      <c r="P567" s="128">
        <v>3010127.71</v>
      </c>
      <c r="Q567" s="128">
        <v>0</v>
      </c>
      <c r="R567" s="128">
        <v>0</v>
      </c>
      <c r="S567" s="128">
        <f t="shared" si="145"/>
        <v>3010127.71</v>
      </c>
      <c r="T567" s="128">
        <f t="shared" si="131"/>
        <v>2092.2553068742614</v>
      </c>
      <c r="U567" s="128">
        <v>3045.8976854104399</v>
      </c>
      <c r="V567" s="257">
        <f t="shared" si="139"/>
        <v>953.64237853617851</v>
      </c>
      <c r="W567" s="257">
        <f t="shared" si="146"/>
        <v>3035.5438937930076</v>
      </c>
      <c r="X567" s="257">
        <v>0</v>
      </c>
      <c r="Y567" s="258">
        <v>0</v>
      </c>
      <c r="Z567" s="258">
        <v>0</v>
      </c>
      <c r="AA567" s="258">
        <v>0</v>
      </c>
      <c r="AB567" s="258">
        <v>0</v>
      </c>
      <c r="AC567" s="258">
        <v>0</v>
      </c>
      <c r="AD567" s="258">
        <v>0</v>
      </c>
      <c r="AE567" s="258">
        <v>700</v>
      </c>
      <c r="AF567" s="257">
        <f t="shared" si="147"/>
        <v>3035.5438937930076</v>
      </c>
      <c r="AG567" s="258">
        <v>0</v>
      </c>
      <c r="AH567" s="257">
        <v>0</v>
      </c>
      <c r="AI567" s="258">
        <v>0</v>
      </c>
      <c r="AJ567" s="257">
        <v>0</v>
      </c>
      <c r="AK567" s="258">
        <v>0</v>
      </c>
      <c r="AL567" s="258">
        <v>0</v>
      </c>
      <c r="AM567" s="258">
        <v>0</v>
      </c>
      <c r="AN567" s="258"/>
      <c r="AO567" s="258">
        <v>0</v>
      </c>
    </row>
    <row r="568" spans="1:41" s="259" customFormat="1" ht="36" customHeight="1" x14ac:dyDescent="0.25">
      <c r="A568" s="259">
        <v>1</v>
      </c>
      <c r="B568" s="135">
        <f>SUBTOTAL(103,$A$552:A568)</f>
        <v>17</v>
      </c>
      <c r="C568" s="94" t="s">
        <v>550</v>
      </c>
      <c r="D568" s="124" t="s">
        <v>312</v>
      </c>
      <c r="E568" s="124"/>
      <c r="F568" s="129" t="s">
        <v>269</v>
      </c>
      <c r="G568" s="124" t="s">
        <v>353</v>
      </c>
      <c r="H568" s="124" t="s">
        <v>306</v>
      </c>
      <c r="I568" s="125">
        <v>667.4</v>
      </c>
      <c r="J568" s="125">
        <v>629.79999999999995</v>
      </c>
      <c r="K568" s="125">
        <v>629.79999999999995</v>
      </c>
      <c r="L568" s="126">
        <v>29</v>
      </c>
      <c r="M568" s="124" t="s">
        <v>267</v>
      </c>
      <c r="N568" s="124" t="s">
        <v>271</v>
      </c>
      <c r="O568" s="127" t="s">
        <v>1387</v>
      </c>
      <c r="P568" s="128">
        <v>1126135.8999999999</v>
      </c>
      <c r="Q568" s="128">
        <v>0</v>
      </c>
      <c r="R568" s="128">
        <v>0</v>
      </c>
      <c r="S568" s="128">
        <f t="shared" si="145"/>
        <v>1126135.8999999999</v>
      </c>
      <c r="T568" s="128">
        <f t="shared" si="131"/>
        <v>1687.3477674557985</v>
      </c>
      <c r="U568" s="128">
        <v>1969.7930776146238</v>
      </c>
      <c r="V568" s="257">
        <f t="shared" si="139"/>
        <v>282.44531015882535</v>
      </c>
      <c r="W568" s="257">
        <f t="shared" si="146"/>
        <v>1963.097243032664</v>
      </c>
      <c r="X568" s="257">
        <v>0</v>
      </c>
      <c r="Y568" s="258">
        <v>0</v>
      </c>
      <c r="Z568" s="258">
        <v>0</v>
      </c>
      <c r="AA568" s="258">
        <v>0</v>
      </c>
      <c r="AB568" s="258">
        <v>0</v>
      </c>
      <c r="AC568" s="258">
        <v>0</v>
      </c>
      <c r="AD568" s="258">
        <v>0</v>
      </c>
      <c r="AE568" s="258">
        <v>210</v>
      </c>
      <c r="AF568" s="257">
        <f t="shared" si="147"/>
        <v>1963.097243032664</v>
      </c>
      <c r="AG568" s="258">
        <v>0</v>
      </c>
      <c r="AH568" s="257">
        <v>0</v>
      </c>
      <c r="AI568" s="258">
        <v>0</v>
      </c>
      <c r="AJ568" s="257">
        <v>0</v>
      </c>
      <c r="AK568" s="258">
        <v>0</v>
      </c>
      <c r="AL568" s="258">
        <v>0</v>
      </c>
      <c r="AM568" s="258">
        <v>0</v>
      </c>
      <c r="AN568" s="258"/>
      <c r="AO568" s="258">
        <v>0</v>
      </c>
    </row>
    <row r="569" spans="1:41" s="259" customFormat="1" ht="36" customHeight="1" x14ac:dyDescent="0.25">
      <c r="A569" s="259">
        <v>1</v>
      </c>
      <c r="B569" s="135">
        <f>SUBTOTAL(103,$A$552:A569)</f>
        <v>18</v>
      </c>
      <c r="C569" s="94" t="s">
        <v>806</v>
      </c>
      <c r="D569" s="124">
        <v>1987</v>
      </c>
      <c r="E569" s="124"/>
      <c r="F569" s="129" t="s">
        <v>313</v>
      </c>
      <c r="G569" s="124">
        <v>9</v>
      </c>
      <c r="H569" s="124" t="s">
        <v>353</v>
      </c>
      <c r="I569" s="125">
        <v>10923.8</v>
      </c>
      <c r="J569" s="125">
        <v>9687.5</v>
      </c>
      <c r="K569" s="125">
        <v>9446.6</v>
      </c>
      <c r="L569" s="126">
        <v>489</v>
      </c>
      <c r="M569" s="124" t="s">
        <v>267</v>
      </c>
      <c r="N569" s="124" t="s">
        <v>271</v>
      </c>
      <c r="O569" s="127" t="s">
        <v>1387</v>
      </c>
      <c r="P569" s="128">
        <v>5592560.8499999996</v>
      </c>
      <c r="Q569" s="128">
        <v>0</v>
      </c>
      <c r="R569" s="128">
        <v>0</v>
      </c>
      <c r="S569" s="128">
        <f t="shared" si="145"/>
        <v>5592560.8499999996</v>
      </c>
      <c r="T569" s="128">
        <f t="shared" si="131"/>
        <v>511.96111701056407</v>
      </c>
      <c r="U569" s="128">
        <v>797.1515672201981</v>
      </c>
      <c r="V569" s="257">
        <f t="shared" si="139"/>
        <v>285.19045020963404</v>
      </c>
      <c r="W569" s="257">
        <f t="shared" si="146"/>
        <v>640.80670810523827</v>
      </c>
      <c r="X569" s="257">
        <v>0</v>
      </c>
      <c r="Y569" s="258">
        <v>0</v>
      </c>
      <c r="Z569" s="258">
        <v>0</v>
      </c>
      <c r="AA569" s="258">
        <v>0</v>
      </c>
      <c r="AB569" s="258">
        <v>0</v>
      </c>
      <c r="AC569" s="258">
        <v>0</v>
      </c>
      <c r="AD569" s="258">
        <v>0</v>
      </c>
      <c r="AE569" s="258">
        <v>0</v>
      </c>
      <c r="AF569" s="257">
        <v>0</v>
      </c>
      <c r="AG569" s="258">
        <v>0</v>
      </c>
      <c r="AH569" s="257">
        <v>0</v>
      </c>
      <c r="AI569" s="258">
        <v>940.98</v>
      </c>
      <c r="AJ569" s="257">
        <f>7439.1*AI569/I569</f>
        <v>640.80670810523827</v>
      </c>
      <c r="AK569" s="258">
        <v>0</v>
      </c>
      <c r="AL569" s="258">
        <v>0</v>
      </c>
      <c r="AM569" s="258">
        <v>0</v>
      </c>
      <c r="AN569" s="258"/>
      <c r="AO569" s="258">
        <v>0</v>
      </c>
    </row>
    <row r="570" spans="1:41" s="259" customFormat="1" ht="36" customHeight="1" x14ac:dyDescent="0.25">
      <c r="A570" s="259">
        <v>1</v>
      </c>
      <c r="B570" s="135">
        <f>SUBTOTAL(103,$A$552:A570)</f>
        <v>19</v>
      </c>
      <c r="C570" s="94" t="s">
        <v>553</v>
      </c>
      <c r="D570" s="124" t="s">
        <v>308</v>
      </c>
      <c r="E570" s="124"/>
      <c r="F570" s="129" t="s">
        <v>269</v>
      </c>
      <c r="G570" s="124" t="s">
        <v>353</v>
      </c>
      <c r="H570" s="124" t="s">
        <v>310</v>
      </c>
      <c r="I570" s="125">
        <v>3951</v>
      </c>
      <c r="J570" s="125">
        <v>3662.3</v>
      </c>
      <c r="K570" s="125">
        <v>2494.3000000000002</v>
      </c>
      <c r="L570" s="126">
        <v>140</v>
      </c>
      <c r="M570" s="124" t="s">
        <v>267</v>
      </c>
      <c r="N570" s="124" t="s">
        <v>271</v>
      </c>
      <c r="O570" s="127" t="s">
        <v>1079</v>
      </c>
      <c r="P570" s="128">
        <v>4005106.45</v>
      </c>
      <c r="Q570" s="128">
        <v>0</v>
      </c>
      <c r="R570" s="128">
        <v>0</v>
      </c>
      <c r="S570" s="128">
        <f t="shared" si="145"/>
        <v>4005106.45</v>
      </c>
      <c r="T570" s="128">
        <f t="shared" si="131"/>
        <v>1013.6943685143002</v>
      </c>
      <c r="U570" s="128">
        <v>1302.423735763098</v>
      </c>
      <c r="V570" s="257">
        <f t="shared" si="139"/>
        <v>288.72936724879776</v>
      </c>
      <c r="W570" s="257">
        <f t="shared" si="146"/>
        <v>884.27982789167299</v>
      </c>
      <c r="X570" s="257">
        <v>0</v>
      </c>
      <c r="Y570" s="258">
        <v>0</v>
      </c>
      <c r="Z570" s="258">
        <v>0</v>
      </c>
      <c r="AA570" s="258">
        <v>0</v>
      </c>
      <c r="AB570" s="258">
        <v>0</v>
      </c>
      <c r="AC570" s="258">
        <v>0</v>
      </c>
      <c r="AD570" s="258">
        <v>0</v>
      </c>
      <c r="AE570" s="258">
        <v>560</v>
      </c>
      <c r="AF570" s="257">
        <f>6238.91*AE570/I570</f>
        <v>884.27982789167299</v>
      </c>
      <c r="AG570" s="258">
        <v>0</v>
      </c>
      <c r="AH570" s="257">
        <v>0</v>
      </c>
      <c r="AI570" s="258">
        <v>0</v>
      </c>
      <c r="AJ570" s="257">
        <v>0</v>
      </c>
      <c r="AK570" s="258">
        <v>0</v>
      </c>
      <c r="AL570" s="258">
        <v>0</v>
      </c>
      <c r="AM570" s="258">
        <v>0</v>
      </c>
      <c r="AN570" s="258"/>
      <c r="AO570" s="258">
        <v>0</v>
      </c>
    </row>
    <row r="571" spans="1:41" s="259" customFormat="1" ht="36" customHeight="1" x14ac:dyDescent="0.25">
      <c r="A571" s="259">
        <v>1</v>
      </c>
      <c r="B571" s="135">
        <f>SUBTOTAL(103,$A$552:A571)</f>
        <v>20</v>
      </c>
      <c r="C571" s="94" t="s">
        <v>1640</v>
      </c>
      <c r="D571" s="124" t="s">
        <v>364</v>
      </c>
      <c r="E571" s="124"/>
      <c r="F571" s="129" t="s">
        <v>269</v>
      </c>
      <c r="G571" s="124" t="s">
        <v>305</v>
      </c>
      <c r="H571" s="124" t="s">
        <v>314</v>
      </c>
      <c r="I571" s="125">
        <v>574.1</v>
      </c>
      <c r="J571" s="125">
        <v>444.8</v>
      </c>
      <c r="K571" s="125">
        <v>444.8</v>
      </c>
      <c r="L571" s="126">
        <v>19</v>
      </c>
      <c r="M571" s="124" t="s">
        <v>267</v>
      </c>
      <c r="N571" s="124" t="s">
        <v>271</v>
      </c>
      <c r="O571" s="127" t="s">
        <v>1657</v>
      </c>
      <c r="P571" s="128">
        <v>2397304.5699999998</v>
      </c>
      <c r="Q571" s="128">
        <v>0</v>
      </c>
      <c r="R571" s="128">
        <v>0</v>
      </c>
      <c r="S571" s="128">
        <f t="shared" si="145"/>
        <v>2397304.5699999998</v>
      </c>
      <c r="T571" s="128">
        <f t="shared" si="131"/>
        <v>4175.7613133600416</v>
      </c>
      <c r="U571" s="128">
        <v>5288.6120013934851</v>
      </c>
      <c r="V571" s="257">
        <f t="shared" si="139"/>
        <v>1112.8506880334435</v>
      </c>
      <c r="W571" s="257">
        <f t="shared" si="146"/>
        <v>15116.397509144748</v>
      </c>
      <c r="X571" s="257">
        <v>0</v>
      </c>
      <c r="Y571" s="258">
        <v>0</v>
      </c>
      <c r="Z571" s="258">
        <v>0</v>
      </c>
      <c r="AA571" s="258">
        <v>0</v>
      </c>
      <c r="AB571" s="258">
        <v>0</v>
      </c>
      <c r="AC571" s="258">
        <v>0</v>
      </c>
      <c r="AD571" s="258">
        <v>0</v>
      </c>
      <c r="AE571" s="258">
        <v>1391</v>
      </c>
      <c r="AF571" s="257">
        <f>6238.91*AE571/I571</f>
        <v>15116.397509144748</v>
      </c>
      <c r="AG571" s="258">
        <v>0</v>
      </c>
      <c r="AH571" s="257">
        <v>0</v>
      </c>
      <c r="AI571" s="258">
        <v>0</v>
      </c>
      <c r="AJ571" s="257">
        <v>0</v>
      </c>
      <c r="AK571" s="258">
        <v>0</v>
      </c>
      <c r="AL571" s="258">
        <v>0</v>
      </c>
      <c r="AM571" s="258">
        <v>0</v>
      </c>
      <c r="AN571" s="258"/>
      <c r="AO571" s="258">
        <v>0</v>
      </c>
    </row>
    <row r="572" spans="1:41" s="259" customFormat="1" ht="36" customHeight="1" x14ac:dyDescent="0.25">
      <c r="A572" s="259">
        <v>1</v>
      </c>
      <c r="B572" s="135">
        <f>SUBTOTAL(103,$A$552:A572)</f>
        <v>21</v>
      </c>
      <c r="C572" s="94" t="s">
        <v>556</v>
      </c>
      <c r="D572" s="124" t="s">
        <v>365</v>
      </c>
      <c r="E572" s="124"/>
      <c r="F572" s="129" t="s">
        <v>366</v>
      </c>
      <c r="G572" s="124" t="s">
        <v>305</v>
      </c>
      <c r="H572" s="124" t="s">
        <v>305</v>
      </c>
      <c r="I572" s="125">
        <v>583.5</v>
      </c>
      <c r="J572" s="125">
        <v>558.1</v>
      </c>
      <c r="K572" s="125">
        <v>558.1</v>
      </c>
      <c r="L572" s="126">
        <v>39</v>
      </c>
      <c r="M572" s="124" t="s">
        <v>267</v>
      </c>
      <c r="N572" s="124" t="s">
        <v>271</v>
      </c>
      <c r="O572" s="127" t="s">
        <v>1658</v>
      </c>
      <c r="P572" s="128">
        <v>2564514.5199999996</v>
      </c>
      <c r="Q572" s="128">
        <v>0</v>
      </c>
      <c r="R572" s="128">
        <v>0</v>
      </c>
      <c r="S572" s="128">
        <f t="shared" si="145"/>
        <v>2564514.5199999996</v>
      </c>
      <c r="T572" s="128">
        <f t="shared" si="131"/>
        <v>4395.0548757497854</v>
      </c>
      <c r="U572" s="128">
        <v>6501.5855012853463</v>
      </c>
      <c r="V572" s="257">
        <f t="shared" si="139"/>
        <v>2106.5306255355608</v>
      </c>
      <c r="W572" s="257">
        <f t="shared" si="146"/>
        <v>8789.0043187660667</v>
      </c>
      <c r="X572" s="257">
        <v>0</v>
      </c>
      <c r="Y572" s="258">
        <v>0</v>
      </c>
      <c r="Z572" s="258">
        <v>0</v>
      </c>
      <c r="AA572" s="258">
        <v>0</v>
      </c>
      <c r="AB572" s="258">
        <v>0</v>
      </c>
      <c r="AC572" s="258">
        <v>0</v>
      </c>
      <c r="AD572" s="258">
        <v>0</v>
      </c>
      <c r="AE572" s="258">
        <v>822</v>
      </c>
      <c r="AF572" s="257">
        <f>6238.91*AE572/I572</f>
        <v>8789.0043187660667</v>
      </c>
      <c r="AG572" s="258">
        <v>0</v>
      </c>
      <c r="AH572" s="257">
        <v>0</v>
      </c>
      <c r="AI572" s="258">
        <v>0</v>
      </c>
      <c r="AJ572" s="257">
        <v>0</v>
      </c>
      <c r="AK572" s="258">
        <v>0</v>
      </c>
      <c r="AL572" s="258">
        <v>0</v>
      </c>
      <c r="AM572" s="258">
        <v>0</v>
      </c>
      <c r="AN572" s="258"/>
      <c r="AO572" s="258">
        <v>0</v>
      </c>
    </row>
    <row r="573" spans="1:41" s="259" customFormat="1" ht="36" customHeight="1" x14ac:dyDescent="0.25">
      <c r="A573" s="259">
        <v>1</v>
      </c>
      <c r="B573" s="135">
        <f>SUBTOTAL(103,$A$552:A573)</f>
        <v>22</v>
      </c>
      <c r="C573" s="94" t="s">
        <v>559</v>
      </c>
      <c r="D573" s="124">
        <v>1985</v>
      </c>
      <c r="E573" s="124"/>
      <c r="F573" s="129" t="s">
        <v>313</v>
      </c>
      <c r="G573" s="124">
        <v>2</v>
      </c>
      <c r="H573" s="124" t="s">
        <v>305</v>
      </c>
      <c r="I573" s="125">
        <v>626.1</v>
      </c>
      <c r="J573" s="125">
        <v>568.4</v>
      </c>
      <c r="K573" s="125">
        <v>568.4</v>
      </c>
      <c r="L573" s="126">
        <v>44</v>
      </c>
      <c r="M573" s="124" t="s">
        <v>267</v>
      </c>
      <c r="N573" s="124" t="s">
        <v>271</v>
      </c>
      <c r="O573" s="127" t="s">
        <v>1387</v>
      </c>
      <c r="P573" s="128">
        <v>2201781.17</v>
      </c>
      <c r="Q573" s="128">
        <v>0</v>
      </c>
      <c r="R573" s="128">
        <v>0</v>
      </c>
      <c r="S573" s="128">
        <f t="shared" si="145"/>
        <v>2201781.17</v>
      </c>
      <c r="T573" s="128">
        <f t="shared" si="131"/>
        <v>3516.6605494329979</v>
      </c>
      <c r="U573" s="128">
        <v>4325.4403354096794</v>
      </c>
      <c r="V573" s="257">
        <f t="shared" si="139"/>
        <v>808.77978597668152</v>
      </c>
      <c r="W573" s="257">
        <f t="shared" si="146"/>
        <v>12443.056181121226</v>
      </c>
      <c r="X573" s="257">
        <v>0</v>
      </c>
      <c r="Y573" s="258">
        <v>0</v>
      </c>
      <c r="Z573" s="258">
        <v>0</v>
      </c>
      <c r="AA573" s="258">
        <v>0</v>
      </c>
      <c r="AB573" s="258">
        <v>0</v>
      </c>
      <c r="AC573" s="258">
        <v>0</v>
      </c>
      <c r="AD573" s="258">
        <v>0</v>
      </c>
      <c r="AE573" s="258">
        <v>0</v>
      </c>
      <c r="AF573" s="257">
        <v>0</v>
      </c>
      <c r="AG573" s="258">
        <v>0</v>
      </c>
      <c r="AH573" s="257">
        <v>0</v>
      </c>
      <c r="AI573" s="258">
        <v>1047.25</v>
      </c>
      <c r="AJ573" s="257">
        <f>7439.1*AI573/I573</f>
        <v>12443.056181121226</v>
      </c>
      <c r="AK573" s="258">
        <v>0</v>
      </c>
      <c r="AL573" s="258">
        <v>0</v>
      </c>
      <c r="AM573" s="258">
        <v>0</v>
      </c>
      <c r="AN573" s="258"/>
      <c r="AO573" s="258">
        <v>0</v>
      </c>
    </row>
    <row r="574" spans="1:41" s="259" customFormat="1" ht="36" customHeight="1" x14ac:dyDescent="0.25">
      <c r="A574" s="259">
        <v>1</v>
      </c>
      <c r="B574" s="135">
        <f>SUBTOTAL(103,$A$552:A574)</f>
        <v>23</v>
      </c>
      <c r="C574" s="94" t="s">
        <v>560</v>
      </c>
      <c r="D574" s="124" t="s">
        <v>304</v>
      </c>
      <c r="E574" s="124"/>
      <c r="F574" s="129" t="s">
        <v>269</v>
      </c>
      <c r="G574" s="124" t="s">
        <v>305</v>
      </c>
      <c r="H574" s="124" t="s">
        <v>305</v>
      </c>
      <c r="I574" s="125">
        <v>399.4</v>
      </c>
      <c r="J574" s="125">
        <v>301.60000000000002</v>
      </c>
      <c r="K574" s="125">
        <v>172.9</v>
      </c>
      <c r="L574" s="126">
        <v>21</v>
      </c>
      <c r="M574" s="124" t="s">
        <v>267</v>
      </c>
      <c r="N574" s="124" t="s">
        <v>271</v>
      </c>
      <c r="O574" s="127" t="s">
        <v>1659</v>
      </c>
      <c r="P574" s="128">
        <v>763048.75</v>
      </c>
      <c r="Q574" s="128">
        <v>0</v>
      </c>
      <c r="R574" s="128">
        <v>0</v>
      </c>
      <c r="S574" s="128">
        <f t="shared" si="145"/>
        <v>763048.75</v>
      </c>
      <c r="T574" s="128">
        <f t="shared" si="131"/>
        <v>1910.4876064096145</v>
      </c>
      <c r="U574" s="128">
        <v>2912.2265948923387</v>
      </c>
      <c r="V574" s="257">
        <f t="shared" si="139"/>
        <v>1001.7389884827242</v>
      </c>
      <c r="W574" s="257">
        <f t="shared" si="146"/>
        <v>7576.042438657988</v>
      </c>
      <c r="X574" s="257">
        <v>0</v>
      </c>
      <c r="Y574" s="258">
        <v>0</v>
      </c>
      <c r="Z574" s="258">
        <v>0</v>
      </c>
      <c r="AA574" s="258">
        <v>0</v>
      </c>
      <c r="AB574" s="258">
        <v>0</v>
      </c>
      <c r="AC574" s="258">
        <v>0</v>
      </c>
      <c r="AD574" s="258">
        <v>0</v>
      </c>
      <c r="AE574" s="258">
        <v>485</v>
      </c>
      <c r="AF574" s="257">
        <f>6238.91*AE574/I574</f>
        <v>7576.042438657988</v>
      </c>
      <c r="AG574" s="258">
        <v>0</v>
      </c>
      <c r="AH574" s="257">
        <v>0</v>
      </c>
      <c r="AI574" s="258">
        <v>0</v>
      </c>
      <c r="AJ574" s="257">
        <v>0</v>
      </c>
      <c r="AK574" s="258">
        <v>0</v>
      </c>
      <c r="AL574" s="258">
        <v>0</v>
      </c>
      <c r="AM574" s="258">
        <v>0</v>
      </c>
      <c r="AN574" s="258"/>
      <c r="AO574" s="258">
        <v>0</v>
      </c>
    </row>
    <row r="575" spans="1:41" s="259" customFormat="1" ht="36" customHeight="1" x14ac:dyDescent="0.25">
      <c r="A575" s="259">
        <v>1</v>
      </c>
      <c r="B575" s="135">
        <f>SUBTOTAL(103,$A$552:A575)</f>
        <v>24</v>
      </c>
      <c r="C575" s="94" t="s">
        <v>561</v>
      </c>
      <c r="D575" s="124">
        <v>1977</v>
      </c>
      <c r="E575" s="124"/>
      <c r="F575" s="129" t="s">
        <v>269</v>
      </c>
      <c r="G575" s="124">
        <v>2</v>
      </c>
      <c r="H575" s="124" t="s">
        <v>305</v>
      </c>
      <c r="I575" s="125">
        <v>814.4</v>
      </c>
      <c r="J575" s="125">
        <v>814.4</v>
      </c>
      <c r="K575" s="125">
        <v>814.4</v>
      </c>
      <c r="L575" s="126">
        <v>45</v>
      </c>
      <c r="M575" s="124" t="s">
        <v>267</v>
      </c>
      <c r="N575" s="124" t="s">
        <v>271</v>
      </c>
      <c r="O575" s="127" t="s">
        <v>1648</v>
      </c>
      <c r="P575" s="128">
        <v>2794940.58</v>
      </c>
      <c r="Q575" s="128">
        <v>0</v>
      </c>
      <c r="R575" s="128">
        <v>0</v>
      </c>
      <c r="S575" s="128">
        <f t="shared" si="145"/>
        <v>2794940.58</v>
      </c>
      <c r="T575" s="128">
        <f t="shared" si="131"/>
        <v>3431.9014980353636</v>
      </c>
      <c r="U575" s="128">
        <v>4934.9729616895866</v>
      </c>
      <c r="V575" s="257">
        <f t="shared" si="139"/>
        <v>1503.071463654223</v>
      </c>
      <c r="W575" s="257">
        <f t="shared" si="146"/>
        <v>4642.4109282907666</v>
      </c>
      <c r="X575" s="257">
        <v>0</v>
      </c>
      <c r="Y575" s="258">
        <v>0</v>
      </c>
      <c r="Z575" s="258">
        <v>0</v>
      </c>
      <c r="AA575" s="258">
        <v>0</v>
      </c>
      <c r="AB575" s="258">
        <v>0</v>
      </c>
      <c r="AC575" s="258">
        <v>0</v>
      </c>
      <c r="AD575" s="258">
        <v>0</v>
      </c>
      <c r="AE575" s="258">
        <v>606</v>
      </c>
      <c r="AF575" s="257">
        <f>6238.91*AE575/I575</f>
        <v>4642.4109282907666</v>
      </c>
      <c r="AG575" s="258">
        <v>0</v>
      </c>
      <c r="AH575" s="257">
        <v>0</v>
      </c>
      <c r="AI575" s="258">
        <v>0</v>
      </c>
      <c r="AJ575" s="257">
        <v>0</v>
      </c>
      <c r="AK575" s="258">
        <v>0</v>
      </c>
      <c r="AL575" s="258">
        <v>0</v>
      </c>
      <c r="AM575" s="258">
        <v>0</v>
      </c>
      <c r="AN575" s="258"/>
      <c r="AO575" s="258">
        <v>0</v>
      </c>
    </row>
    <row r="576" spans="1:41" s="259" customFormat="1" ht="36" customHeight="1" x14ac:dyDescent="0.25">
      <c r="A576" s="259">
        <v>1</v>
      </c>
      <c r="B576" s="135">
        <f>SUBTOTAL(103,$A$552:A576)</f>
        <v>25</v>
      </c>
      <c r="C576" s="94" t="s">
        <v>1625</v>
      </c>
      <c r="D576" s="124">
        <v>1985</v>
      </c>
      <c r="E576" s="124"/>
      <c r="F576" s="129" t="s">
        <v>269</v>
      </c>
      <c r="G576" s="124">
        <v>7</v>
      </c>
      <c r="H576" s="124" t="s">
        <v>373</v>
      </c>
      <c r="I576" s="125">
        <v>11373.5</v>
      </c>
      <c r="J576" s="125">
        <v>10283</v>
      </c>
      <c r="K576" s="125">
        <v>9429.1</v>
      </c>
      <c r="L576" s="126">
        <v>450</v>
      </c>
      <c r="M576" s="124" t="s">
        <v>267</v>
      </c>
      <c r="N576" s="124" t="s">
        <v>271</v>
      </c>
      <c r="O576" s="127" t="s">
        <v>1388</v>
      </c>
      <c r="P576" s="128">
        <v>9602513.2699999996</v>
      </c>
      <c r="Q576" s="128">
        <v>0</v>
      </c>
      <c r="R576" s="128">
        <v>0</v>
      </c>
      <c r="S576" s="128">
        <f t="shared" si="145"/>
        <v>9602513.2699999996</v>
      </c>
      <c r="T576" s="128">
        <f t="shared" si="131"/>
        <v>844.28832549347158</v>
      </c>
      <c r="U576" s="128">
        <v>1265.9635995955512</v>
      </c>
      <c r="V576" s="257">
        <f t="shared" si="139"/>
        <v>421.67527410207958</v>
      </c>
      <c r="W576" s="257">
        <f t="shared" si="146"/>
        <v>758.72475491273576</v>
      </c>
      <c r="X576" s="257">
        <v>0</v>
      </c>
      <c r="Y576" s="258">
        <v>0</v>
      </c>
      <c r="Z576" s="258">
        <v>0</v>
      </c>
      <c r="AA576" s="258">
        <v>0</v>
      </c>
      <c r="AB576" s="258">
        <v>0</v>
      </c>
      <c r="AC576" s="258">
        <v>0</v>
      </c>
      <c r="AD576" s="258">
        <v>0</v>
      </c>
      <c r="AE576" s="258">
        <v>0</v>
      </c>
      <c r="AF576" s="257">
        <v>0</v>
      </c>
      <c r="AG576" s="258">
        <v>0</v>
      </c>
      <c r="AH576" s="257">
        <v>0</v>
      </c>
      <c r="AI576" s="258">
        <v>1160</v>
      </c>
      <c r="AJ576" s="257">
        <f>7439.1*AI576/I576</f>
        <v>758.72475491273576</v>
      </c>
      <c r="AK576" s="258">
        <v>0</v>
      </c>
      <c r="AL576" s="258">
        <v>0</v>
      </c>
      <c r="AM576" s="258">
        <v>0</v>
      </c>
      <c r="AN576" s="258"/>
      <c r="AO576" s="258">
        <v>0</v>
      </c>
    </row>
    <row r="577" spans="1:41" s="259" customFormat="1" ht="36" customHeight="1" x14ac:dyDescent="0.25">
      <c r="A577" s="259">
        <v>1</v>
      </c>
      <c r="B577" s="135">
        <f>SUBTOTAL(103,$A$552:A577)</f>
        <v>26</v>
      </c>
      <c r="C577" s="94" t="s">
        <v>562</v>
      </c>
      <c r="D577" s="124" t="s">
        <v>367</v>
      </c>
      <c r="E577" s="124"/>
      <c r="F577" s="129" t="s">
        <v>269</v>
      </c>
      <c r="G577" s="124" t="s">
        <v>359</v>
      </c>
      <c r="H577" s="124" t="s">
        <v>314</v>
      </c>
      <c r="I577" s="125">
        <v>6810.7</v>
      </c>
      <c r="J577" s="125">
        <v>6388.4</v>
      </c>
      <c r="K577" s="125">
        <v>6388.4</v>
      </c>
      <c r="L577" s="126">
        <v>302</v>
      </c>
      <c r="M577" s="124" t="s">
        <v>267</v>
      </c>
      <c r="N577" s="124" t="s">
        <v>271</v>
      </c>
      <c r="O577" s="127" t="s">
        <v>1656</v>
      </c>
      <c r="P577" s="128">
        <v>5877399.3300000001</v>
      </c>
      <c r="Q577" s="128">
        <v>0</v>
      </c>
      <c r="R577" s="128">
        <v>0</v>
      </c>
      <c r="S577" s="128">
        <f t="shared" si="145"/>
        <v>5877399.3300000001</v>
      </c>
      <c r="T577" s="128">
        <f t="shared" si="131"/>
        <v>862.96552924075354</v>
      </c>
      <c r="U577" s="128">
        <v>1103.0038028396493</v>
      </c>
      <c r="V577" s="257">
        <f t="shared" si="139"/>
        <v>240.03827359889578</v>
      </c>
      <c r="W577" s="257">
        <f t="shared" si="146"/>
        <v>396.2812142657877</v>
      </c>
      <c r="X577" s="257">
        <v>0</v>
      </c>
      <c r="Y577" s="258">
        <v>0</v>
      </c>
      <c r="Z577" s="258">
        <v>0</v>
      </c>
      <c r="AA577" s="258">
        <v>0</v>
      </c>
      <c r="AB577" s="258">
        <v>0</v>
      </c>
      <c r="AC577" s="258">
        <v>0</v>
      </c>
      <c r="AD577" s="258">
        <v>0</v>
      </c>
      <c r="AE577" s="258">
        <v>432.6</v>
      </c>
      <c r="AF577" s="257">
        <f t="shared" ref="AF577:AF595" si="148">6238.91*AE577/I577</f>
        <v>396.2812142657877</v>
      </c>
      <c r="AG577" s="258">
        <v>0</v>
      </c>
      <c r="AH577" s="257">
        <v>0</v>
      </c>
      <c r="AI577" s="258">
        <v>0</v>
      </c>
      <c r="AJ577" s="257">
        <v>0</v>
      </c>
      <c r="AK577" s="258">
        <v>0</v>
      </c>
      <c r="AL577" s="258">
        <v>0</v>
      </c>
      <c r="AM577" s="258">
        <v>0</v>
      </c>
      <c r="AN577" s="258"/>
      <c r="AO577" s="258">
        <v>0</v>
      </c>
    </row>
    <row r="578" spans="1:41" s="259" customFormat="1" ht="36" customHeight="1" x14ac:dyDescent="0.25">
      <c r="A578" s="259">
        <v>1</v>
      </c>
      <c r="B578" s="135">
        <f>SUBTOTAL(103,$A$552:A578)</f>
        <v>27</v>
      </c>
      <c r="C578" s="94" t="s">
        <v>563</v>
      </c>
      <c r="D578" s="124">
        <v>1960</v>
      </c>
      <c r="E578" s="124"/>
      <c r="F578" s="129" t="s">
        <v>269</v>
      </c>
      <c r="G578" s="124">
        <v>2</v>
      </c>
      <c r="H578" s="124" t="s">
        <v>305</v>
      </c>
      <c r="I578" s="125">
        <v>614.9</v>
      </c>
      <c r="J578" s="125">
        <v>438</v>
      </c>
      <c r="K578" s="125">
        <v>438</v>
      </c>
      <c r="L578" s="126">
        <v>34</v>
      </c>
      <c r="M578" s="124" t="s">
        <v>267</v>
      </c>
      <c r="N578" s="124" t="s">
        <v>1660</v>
      </c>
      <c r="O578" s="127" t="s">
        <v>1327</v>
      </c>
      <c r="P578" s="128">
        <v>2102735.67</v>
      </c>
      <c r="Q578" s="128">
        <v>0</v>
      </c>
      <c r="R578" s="128">
        <v>0</v>
      </c>
      <c r="S578" s="128">
        <f t="shared" si="145"/>
        <v>2102735.67</v>
      </c>
      <c r="T578" s="128">
        <f t="shared" si="131"/>
        <v>3419.6384290128476</v>
      </c>
      <c r="U578" s="128">
        <v>4917.3390307367054</v>
      </c>
      <c r="V578" s="257">
        <f t="shared" si="139"/>
        <v>1497.7006017238577</v>
      </c>
      <c r="W578" s="257">
        <f t="shared" si="146"/>
        <v>1885.1674711335179</v>
      </c>
      <c r="X578" s="257">
        <v>0</v>
      </c>
      <c r="Y578" s="258">
        <v>0</v>
      </c>
      <c r="Z578" s="258">
        <v>0</v>
      </c>
      <c r="AA578" s="258">
        <v>0</v>
      </c>
      <c r="AB578" s="258">
        <v>0</v>
      </c>
      <c r="AC578" s="258">
        <v>0</v>
      </c>
      <c r="AD578" s="258">
        <v>0</v>
      </c>
      <c r="AE578" s="258">
        <v>185.8</v>
      </c>
      <c r="AF578" s="257">
        <f t="shared" si="148"/>
        <v>1885.1674711335179</v>
      </c>
      <c r="AG578" s="258">
        <v>0</v>
      </c>
      <c r="AH578" s="257">
        <v>0</v>
      </c>
      <c r="AI578" s="258">
        <v>0</v>
      </c>
      <c r="AJ578" s="257">
        <v>0</v>
      </c>
      <c r="AK578" s="258">
        <v>0</v>
      </c>
      <c r="AL578" s="258">
        <v>0</v>
      </c>
      <c r="AM578" s="258">
        <v>0</v>
      </c>
      <c r="AN578" s="258"/>
      <c r="AO578" s="258">
        <v>0</v>
      </c>
    </row>
    <row r="579" spans="1:41" s="259" customFormat="1" ht="36" customHeight="1" x14ac:dyDescent="0.25">
      <c r="A579" s="259">
        <v>1</v>
      </c>
      <c r="B579" s="135">
        <f>SUBTOTAL(103,$A$552:A579)</f>
        <v>28</v>
      </c>
      <c r="C579" s="94" t="s">
        <v>564</v>
      </c>
      <c r="D579" s="124" t="s">
        <v>368</v>
      </c>
      <c r="E579" s="124"/>
      <c r="F579" s="129" t="s">
        <v>366</v>
      </c>
      <c r="G579" s="124" t="s">
        <v>305</v>
      </c>
      <c r="H579" s="124" t="s">
        <v>305</v>
      </c>
      <c r="I579" s="125">
        <v>485.3</v>
      </c>
      <c r="J579" s="125">
        <v>337.2</v>
      </c>
      <c r="K579" s="125">
        <v>337.2</v>
      </c>
      <c r="L579" s="126">
        <v>32</v>
      </c>
      <c r="M579" s="124" t="s">
        <v>267</v>
      </c>
      <c r="N579" s="124" t="s">
        <v>271</v>
      </c>
      <c r="O579" s="127" t="s">
        <v>1659</v>
      </c>
      <c r="P579" s="128">
        <v>2323274.2000000002</v>
      </c>
      <c r="Q579" s="128">
        <v>0</v>
      </c>
      <c r="R579" s="128">
        <v>0</v>
      </c>
      <c r="S579" s="128">
        <f t="shared" si="145"/>
        <v>2323274.2000000002</v>
      </c>
      <c r="T579" s="128">
        <f t="shared" si="131"/>
        <v>4787.2948691531019</v>
      </c>
      <c r="U579" s="128">
        <v>6529.7922480939624</v>
      </c>
      <c r="V579" s="257">
        <f t="shared" si="139"/>
        <v>1742.4973789408605</v>
      </c>
      <c r="W579" s="257">
        <f t="shared" si="146"/>
        <v>8253.410715021635</v>
      </c>
      <c r="X579" s="257">
        <v>0</v>
      </c>
      <c r="Y579" s="258">
        <v>0</v>
      </c>
      <c r="Z579" s="258">
        <v>0</v>
      </c>
      <c r="AA579" s="258">
        <v>0</v>
      </c>
      <c r="AB579" s="258">
        <v>0</v>
      </c>
      <c r="AC579" s="258">
        <v>0</v>
      </c>
      <c r="AD579" s="258">
        <v>0</v>
      </c>
      <c r="AE579" s="258">
        <v>642</v>
      </c>
      <c r="AF579" s="257">
        <f t="shared" si="148"/>
        <v>8253.410715021635</v>
      </c>
      <c r="AG579" s="258">
        <v>0</v>
      </c>
      <c r="AH579" s="257">
        <v>0</v>
      </c>
      <c r="AI579" s="258">
        <v>0</v>
      </c>
      <c r="AJ579" s="257">
        <v>0</v>
      </c>
      <c r="AK579" s="258">
        <v>0</v>
      </c>
      <c r="AL579" s="258">
        <v>0</v>
      </c>
      <c r="AM579" s="258">
        <v>0</v>
      </c>
      <c r="AN579" s="258"/>
      <c r="AO579" s="258">
        <v>0</v>
      </c>
    </row>
    <row r="580" spans="1:41" s="259" customFormat="1" ht="36" customHeight="1" x14ac:dyDescent="0.25">
      <c r="A580" s="259">
        <v>1</v>
      </c>
      <c r="B580" s="135">
        <f>SUBTOTAL(103,$A$552:A580)</f>
        <v>29</v>
      </c>
      <c r="C580" s="94" t="s">
        <v>565</v>
      </c>
      <c r="D580" s="124" t="s">
        <v>369</v>
      </c>
      <c r="E580" s="124"/>
      <c r="F580" s="129" t="s">
        <v>313</v>
      </c>
      <c r="G580" s="124" t="s">
        <v>353</v>
      </c>
      <c r="H580" s="124" t="s">
        <v>310</v>
      </c>
      <c r="I580" s="125">
        <v>3872.2</v>
      </c>
      <c r="J580" s="125">
        <v>3548.7</v>
      </c>
      <c r="K580" s="125">
        <v>3548.7</v>
      </c>
      <c r="L580" s="126">
        <v>172</v>
      </c>
      <c r="M580" s="124" t="s">
        <v>267</v>
      </c>
      <c r="N580" s="124" t="s">
        <v>271</v>
      </c>
      <c r="O580" s="127" t="s">
        <v>1078</v>
      </c>
      <c r="P580" s="128">
        <v>4748603.68</v>
      </c>
      <c r="Q580" s="128">
        <v>0</v>
      </c>
      <c r="R580" s="128">
        <v>0</v>
      </c>
      <c r="S580" s="128">
        <f t="shared" si="145"/>
        <v>4748603.68</v>
      </c>
      <c r="T580" s="128">
        <f t="shared" si="131"/>
        <v>1226.3322349052219</v>
      </c>
      <c r="U580" s="128">
        <v>1552.0330561437941</v>
      </c>
      <c r="V580" s="257">
        <f t="shared" si="139"/>
        <v>325.70082123857219</v>
      </c>
      <c r="W580" s="257">
        <f t="shared" si="146"/>
        <v>3705.77268736119</v>
      </c>
      <c r="X580" s="257">
        <v>0</v>
      </c>
      <c r="Y580" s="258">
        <v>0</v>
      </c>
      <c r="Z580" s="258">
        <v>0</v>
      </c>
      <c r="AA580" s="258">
        <v>0</v>
      </c>
      <c r="AB580" s="258">
        <v>0</v>
      </c>
      <c r="AC580" s="258">
        <v>0</v>
      </c>
      <c r="AD580" s="258">
        <v>0</v>
      </c>
      <c r="AE580" s="258">
        <v>2300</v>
      </c>
      <c r="AF580" s="257">
        <f t="shared" si="148"/>
        <v>3705.77268736119</v>
      </c>
      <c r="AG580" s="258">
        <v>0</v>
      </c>
      <c r="AH580" s="257">
        <v>0</v>
      </c>
      <c r="AI580" s="258">
        <v>0</v>
      </c>
      <c r="AJ580" s="257">
        <v>0</v>
      </c>
      <c r="AK580" s="258">
        <v>0</v>
      </c>
      <c r="AL580" s="258">
        <v>0</v>
      </c>
      <c r="AM580" s="258">
        <v>0</v>
      </c>
      <c r="AN580" s="258"/>
      <c r="AO580" s="258">
        <v>0</v>
      </c>
    </row>
    <row r="581" spans="1:41" s="259" customFormat="1" ht="36" customHeight="1" x14ac:dyDescent="0.25">
      <c r="A581" s="259">
        <v>1</v>
      </c>
      <c r="B581" s="135">
        <f>SUBTOTAL(103,$A$552:A581)</f>
        <v>30</v>
      </c>
      <c r="C581" s="94" t="s">
        <v>566</v>
      </c>
      <c r="D581" s="124" t="s">
        <v>363</v>
      </c>
      <c r="E581" s="124"/>
      <c r="F581" s="129" t="s">
        <v>269</v>
      </c>
      <c r="G581" s="124" t="s">
        <v>310</v>
      </c>
      <c r="H581" s="124" t="s">
        <v>314</v>
      </c>
      <c r="I581" s="125">
        <v>2170</v>
      </c>
      <c r="J581" s="125">
        <v>2000.7</v>
      </c>
      <c r="K581" s="125">
        <v>2000.7</v>
      </c>
      <c r="L581" s="126">
        <v>125</v>
      </c>
      <c r="M581" s="124" t="s">
        <v>267</v>
      </c>
      <c r="N581" s="124" t="s">
        <v>271</v>
      </c>
      <c r="O581" s="127" t="s">
        <v>1079</v>
      </c>
      <c r="P581" s="128">
        <v>3977535.51</v>
      </c>
      <c r="Q581" s="128">
        <v>0</v>
      </c>
      <c r="R581" s="128">
        <v>0</v>
      </c>
      <c r="S581" s="128">
        <f t="shared" si="145"/>
        <v>3977535.51</v>
      </c>
      <c r="T581" s="128">
        <f t="shared" si="131"/>
        <v>1832.9656728110599</v>
      </c>
      <c r="U581" s="128">
        <v>1878.057</v>
      </c>
      <c r="V581" s="257">
        <f t="shared" si="139"/>
        <v>45.091327188940113</v>
      </c>
      <c r="W581" s="257">
        <f t="shared" si="146"/>
        <v>3450.088479262673</v>
      </c>
      <c r="X581" s="257">
        <v>0</v>
      </c>
      <c r="Y581" s="258">
        <v>0</v>
      </c>
      <c r="Z581" s="258">
        <v>0</v>
      </c>
      <c r="AA581" s="258">
        <v>0</v>
      </c>
      <c r="AB581" s="258">
        <v>0</v>
      </c>
      <c r="AC581" s="258">
        <v>0</v>
      </c>
      <c r="AD581" s="258">
        <v>0</v>
      </c>
      <c r="AE581" s="258">
        <v>1200</v>
      </c>
      <c r="AF581" s="257">
        <f t="shared" si="148"/>
        <v>3450.088479262673</v>
      </c>
      <c r="AG581" s="258">
        <v>0</v>
      </c>
      <c r="AH581" s="257">
        <v>0</v>
      </c>
      <c r="AI581" s="258">
        <v>0</v>
      </c>
      <c r="AJ581" s="257">
        <v>0</v>
      </c>
      <c r="AK581" s="258">
        <v>0</v>
      </c>
      <c r="AL581" s="258">
        <v>0</v>
      </c>
      <c r="AM581" s="258">
        <v>0</v>
      </c>
      <c r="AN581" s="258"/>
      <c r="AO581" s="258">
        <v>0</v>
      </c>
    </row>
    <row r="582" spans="1:41" s="259" customFormat="1" ht="36" customHeight="1" x14ac:dyDescent="0.25">
      <c r="A582" s="259">
        <v>1</v>
      </c>
      <c r="B582" s="135">
        <f>SUBTOTAL(103,$A$552:A582)</f>
        <v>31</v>
      </c>
      <c r="C582" s="94" t="s">
        <v>567</v>
      </c>
      <c r="D582" s="124">
        <v>1981</v>
      </c>
      <c r="E582" s="124"/>
      <c r="F582" s="129" t="s">
        <v>269</v>
      </c>
      <c r="G582" s="124" t="s">
        <v>373</v>
      </c>
      <c r="H582" s="124" t="s">
        <v>306</v>
      </c>
      <c r="I582" s="125">
        <v>1247.5999999999999</v>
      </c>
      <c r="J582" s="125">
        <v>982.4</v>
      </c>
      <c r="K582" s="125">
        <v>982.4</v>
      </c>
      <c r="L582" s="126">
        <v>40</v>
      </c>
      <c r="M582" s="124" t="s">
        <v>267</v>
      </c>
      <c r="N582" s="124" t="s">
        <v>271</v>
      </c>
      <c r="O582" s="127" t="s">
        <v>1403</v>
      </c>
      <c r="P582" s="128">
        <v>1265842.2</v>
      </c>
      <c r="Q582" s="128">
        <v>0</v>
      </c>
      <c r="R582" s="128">
        <v>0</v>
      </c>
      <c r="S582" s="128">
        <f t="shared" si="145"/>
        <v>1265842.2</v>
      </c>
      <c r="T582" s="128">
        <f t="shared" si="131"/>
        <v>1014.6218339211287</v>
      </c>
      <c r="U582" s="128">
        <v>1440.1046248797691</v>
      </c>
      <c r="V582" s="257">
        <f t="shared" si="139"/>
        <v>425.48279095864041</v>
      </c>
      <c r="W582" s="257">
        <f t="shared" si="146"/>
        <v>2415.3523004168001</v>
      </c>
      <c r="X582" s="257">
        <v>0</v>
      </c>
      <c r="Y582" s="258">
        <v>0</v>
      </c>
      <c r="Z582" s="258">
        <v>0</v>
      </c>
      <c r="AA582" s="258">
        <v>0</v>
      </c>
      <c r="AB582" s="258">
        <v>0</v>
      </c>
      <c r="AC582" s="258">
        <v>0</v>
      </c>
      <c r="AD582" s="258">
        <v>0</v>
      </c>
      <c r="AE582" s="258">
        <v>483</v>
      </c>
      <c r="AF582" s="257">
        <f t="shared" si="148"/>
        <v>2415.3523004168001</v>
      </c>
      <c r="AG582" s="258">
        <v>0</v>
      </c>
      <c r="AH582" s="257">
        <v>0</v>
      </c>
      <c r="AI582" s="258">
        <v>0</v>
      </c>
      <c r="AJ582" s="257">
        <v>0</v>
      </c>
      <c r="AK582" s="258">
        <v>0</v>
      </c>
      <c r="AL582" s="258">
        <v>0</v>
      </c>
      <c r="AM582" s="258">
        <v>0</v>
      </c>
      <c r="AN582" s="258"/>
      <c r="AO582" s="258">
        <v>0</v>
      </c>
    </row>
    <row r="583" spans="1:41" s="259" customFormat="1" ht="36" customHeight="1" x14ac:dyDescent="0.25">
      <c r="A583" s="259">
        <v>1</v>
      </c>
      <c r="B583" s="135">
        <f>SUBTOTAL(103,$A$552:A583)</f>
        <v>32</v>
      </c>
      <c r="C583" s="94" t="s">
        <v>568</v>
      </c>
      <c r="D583" s="124" t="s">
        <v>319</v>
      </c>
      <c r="E583" s="124"/>
      <c r="F583" s="129" t="s">
        <v>269</v>
      </c>
      <c r="G583" s="124" t="s">
        <v>353</v>
      </c>
      <c r="H583" s="124" t="s">
        <v>306</v>
      </c>
      <c r="I583" s="125">
        <v>2919</v>
      </c>
      <c r="J583" s="125">
        <v>1836.4</v>
      </c>
      <c r="K583" s="125">
        <v>1239.3</v>
      </c>
      <c r="L583" s="126">
        <v>128</v>
      </c>
      <c r="M583" s="124" t="s">
        <v>267</v>
      </c>
      <c r="N583" s="124" t="s">
        <v>271</v>
      </c>
      <c r="O583" s="127" t="s">
        <v>1387</v>
      </c>
      <c r="P583" s="128">
        <v>3576070.0900000003</v>
      </c>
      <c r="Q583" s="128">
        <v>0</v>
      </c>
      <c r="R583" s="128">
        <v>0</v>
      </c>
      <c r="S583" s="128">
        <f t="shared" si="145"/>
        <v>3576070.0900000003</v>
      </c>
      <c r="T583" s="128">
        <f t="shared" si="131"/>
        <v>1225.1010928400137</v>
      </c>
      <c r="U583" s="128">
        <v>1548.4265775950666</v>
      </c>
      <c r="V583" s="257">
        <f t="shared" si="139"/>
        <v>323.32548475505291</v>
      </c>
      <c r="W583" s="257">
        <f t="shared" si="146"/>
        <v>1081.9240294621445</v>
      </c>
      <c r="X583" s="257">
        <v>0</v>
      </c>
      <c r="Y583" s="258">
        <v>0</v>
      </c>
      <c r="Z583" s="258">
        <v>0</v>
      </c>
      <c r="AA583" s="258">
        <v>0</v>
      </c>
      <c r="AB583" s="258">
        <v>0</v>
      </c>
      <c r="AC583" s="258">
        <v>0</v>
      </c>
      <c r="AD583" s="258">
        <v>0</v>
      </c>
      <c r="AE583" s="258">
        <v>506.2</v>
      </c>
      <c r="AF583" s="257">
        <f t="shared" si="148"/>
        <v>1081.9240294621445</v>
      </c>
      <c r="AG583" s="258">
        <v>0</v>
      </c>
      <c r="AH583" s="257">
        <v>0</v>
      </c>
      <c r="AI583" s="258">
        <v>0</v>
      </c>
      <c r="AJ583" s="257">
        <v>0</v>
      </c>
      <c r="AK583" s="258">
        <v>0</v>
      </c>
      <c r="AL583" s="258">
        <v>0</v>
      </c>
      <c r="AM583" s="258">
        <v>0</v>
      </c>
      <c r="AN583" s="258"/>
      <c r="AO583" s="258">
        <v>0</v>
      </c>
    </row>
    <row r="584" spans="1:41" s="259" customFormat="1" ht="36" customHeight="1" x14ac:dyDescent="0.25">
      <c r="A584" s="259">
        <v>1</v>
      </c>
      <c r="B584" s="135">
        <f>SUBTOTAL(103,$A$552:A584)</f>
        <v>33</v>
      </c>
      <c r="C584" s="94" t="s">
        <v>569</v>
      </c>
      <c r="D584" s="124" t="s">
        <v>309</v>
      </c>
      <c r="E584" s="124"/>
      <c r="F584" s="129" t="s">
        <v>313</v>
      </c>
      <c r="G584" s="124" t="s">
        <v>353</v>
      </c>
      <c r="H584" s="124" t="s">
        <v>2294</v>
      </c>
      <c r="I584" s="125">
        <v>8158.5</v>
      </c>
      <c r="J584" s="125">
        <v>6419.1</v>
      </c>
      <c r="K584" s="125">
        <v>6419.1</v>
      </c>
      <c r="L584" s="126">
        <v>324</v>
      </c>
      <c r="M584" s="124" t="s">
        <v>267</v>
      </c>
      <c r="N584" s="124" t="s">
        <v>271</v>
      </c>
      <c r="O584" s="127" t="s">
        <v>1387</v>
      </c>
      <c r="P584" s="128">
        <v>5440026.9199999999</v>
      </c>
      <c r="Q584" s="128">
        <v>0</v>
      </c>
      <c r="R584" s="128">
        <v>0</v>
      </c>
      <c r="S584" s="128">
        <f t="shared" si="145"/>
        <v>5440026.9199999999</v>
      </c>
      <c r="T584" s="128">
        <f t="shared" si="131"/>
        <v>666.79253784396644</v>
      </c>
      <c r="U584" s="128">
        <v>1295.2381834896119</v>
      </c>
      <c r="V584" s="257">
        <f t="shared" si="139"/>
        <v>628.44564564564541</v>
      </c>
      <c r="W584" s="257">
        <f t="shared" si="146"/>
        <v>734.1243610957896</v>
      </c>
      <c r="X584" s="257">
        <v>0</v>
      </c>
      <c r="Y584" s="258">
        <v>0</v>
      </c>
      <c r="Z584" s="258">
        <v>0</v>
      </c>
      <c r="AA584" s="258">
        <v>0</v>
      </c>
      <c r="AB584" s="258">
        <v>0</v>
      </c>
      <c r="AC584" s="258">
        <v>0</v>
      </c>
      <c r="AD584" s="258">
        <v>0</v>
      </c>
      <c r="AE584" s="258">
        <v>960</v>
      </c>
      <c r="AF584" s="257">
        <f t="shared" si="148"/>
        <v>734.1243610957896</v>
      </c>
      <c r="AG584" s="258">
        <v>0</v>
      </c>
      <c r="AH584" s="257">
        <v>0</v>
      </c>
      <c r="AI584" s="258">
        <v>0</v>
      </c>
      <c r="AJ584" s="257">
        <v>0</v>
      </c>
      <c r="AK584" s="258">
        <v>0</v>
      </c>
      <c r="AL584" s="258">
        <v>0</v>
      </c>
      <c r="AM584" s="258">
        <v>0</v>
      </c>
      <c r="AN584" s="258"/>
      <c r="AO584" s="258">
        <v>0</v>
      </c>
    </row>
    <row r="585" spans="1:41" s="259" customFormat="1" ht="36" customHeight="1" x14ac:dyDescent="0.25">
      <c r="A585" s="259">
        <v>1</v>
      </c>
      <c r="B585" s="135">
        <f>SUBTOTAL(103,$A$552:A585)</f>
        <v>34</v>
      </c>
      <c r="C585" s="94" t="s">
        <v>570</v>
      </c>
      <c r="D585" s="124" t="s">
        <v>308</v>
      </c>
      <c r="E585" s="124"/>
      <c r="F585" s="129" t="s">
        <v>269</v>
      </c>
      <c r="G585" s="124" t="s">
        <v>310</v>
      </c>
      <c r="H585" s="124" t="s">
        <v>314</v>
      </c>
      <c r="I585" s="125">
        <v>2920</v>
      </c>
      <c r="J585" s="125">
        <v>1821.8</v>
      </c>
      <c r="K585" s="125">
        <v>1606.7</v>
      </c>
      <c r="L585" s="126">
        <v>121</v>
      </c>
      <c r="M585" s="124" t="s">
        <v>267</v>
      </c>
      <c r="N585" s="124" t="s">
        <v>271</v>
      </c>
      <c r="O585" s="127" t="s">
        <v>1387</v>
      </c>
      <c r="P585" s="128">
        <v>5458332.7699999996</v>
      </c>
      <c r="Q585" s="128">
        <v>0</v>
      </c>
      <c r="R585" s="128">
        <v>0</v>
      </c>
      <c r="S585" s="128">
        <f t="shared" si="145"/>
        <v>5458332.7699999996</v>
      </c>
      <c r="T585" s="128">
        <f t="shared" si="131"/>
        <v>1869.2920445205477</v>
      </c>
      <c r="U585" s="128">
        <v>2422.6077739726024</v>
      </c>
      <c r="V585" s="257">
        <f t="shared" si="139"/>
        <v>553.31572945205471</v>
      </c>
      <c r="W585" s="257">
        <f t="shared" si="146"/>
        <v>1390.935071917808</v>
      </c>
      <c r="X585" s="257">
        <v>0</v>
      </c>
      <c r="Y585" s="258">
        <v>0</v>
      </c>
      <c r="Z585" s="258">
        <v>0</v>
      </c>
      <c r="AA585" s="258">
        <v>0</v>
      </c>
      <c r="AB585" s="258">
        <v>0</v>
      </c>
      <c r="AC585" s="258">
        <v>0</v>
      </c>
      <c r="AD585" s="258">
        <v>0</v>
      </c>
      <c r="AE585" s="258">
        <v>651</v>
      </c>
      <c r="AF585" s="257">
        <f t="shared" si="148"/>
        <v>1390.935071917808</v>
      </c>
      <c r="AG585" s="258">
        <v>0</v>
      </c>
      <c r="AH585" s="257">
        <v>0</v>
      </c>
      <c r="AI585" s="258">
        <v>0</v>
      </c>
      <c r="AJ585" s="257">
        <v>0</v>
      </c>
      <c r="AK585" s="258">
        <v>0</v>
      </c>
      <c r="AL585" s="258">
        <v>0</v>
      </c>
      <c r="AM585" s="258">
        <v>0</v>
      </c>
      <c r="AN585" s="258"/>
      <c r="AO585" s="258">
        <v>0</v>
      </c>
    </row>
    <row r="586" spans="1:41" s="259" customFormat="1" ht="36" customHeight="1" x14ac:dyDescent="0.25">
      <c r="A586" s="259">
        <v>1</v>
      </c>
      <c r="B586" s="135">
        <f>SUBTOTAL(103,$A$552:A586)</f>
        <v>35</v>
      </c>
      <c r="C586" s="94" t="s">
        <v>1381</v>
      </c>
      <c r="D586" s="124">
        <v>1961</v>
      </c>
      <c r="E586" s="124"/>
      <c r="F586" s="129" t="s">
        <v>269</v>
      </c>
      <c r="G586" s="124" t="s">
        <v>353</v>
      </c>
      <c r="H586" s="124" t="s">
        <v>314</v>
      </c>
      <c r="I586" s="125">
        <v>2946.9</v>
      </c>
      <c r="J586" s="125">
        <v>2565.1</v>
      </c>
      <c r="K586" s="125">
        <v>2131.1999999999998</v>
      </c>
      <c r="L586" s="126">
        <v>129</v>
      </c>
      <c r="M586" s="124" t="s">
        <v>267</v>
      </c>
      <c r="N586" s="124" t="s">
        <v>271</v>
      </c>
      <c r="O586" s="127" t="s">
        <v>1388</v>
      </c>
      <c r="P586" s="128">
        <v>4022975</v>
      </c>
      <c r="Q586" s="128">
        <v>0</v>
      </c>
      <c r="R586" s="128">
        <v>0</v>
      </c>
      <c r="S586" s="128">
        <f t="shared" si="145"/>
        <v>4022975</v>
      </c>
      <c r="T586" s="128">
        <f t="shared" si="131"/>
        <v>1365.1549085479655</v>
      </c>
      <c r="U586" s="128">
        <v>1605.9939733279036</v>
      </c>
      <c r="V586" s="257">
        <f t="shared" si="139"/>
        <v>240.8390647799381</v>
      </c>
      <c r="W586" s="257">
        <f t="shared" si="146"/>
        <v>607.61042790729232</v>
      </c>
      <c r="X586" s="257">
        <v>0</v>
      </c>
      <c r="Y586" s="258">
        <v>0</v>
      </c>
      <c r="Z586" s="258">
        <v>0</v>
      </c>
      <c r="AA586" s="258">
        <v>0</v>
      </c>
      <c r="AB586" s="258">
        <v>0</v>
      </c>
      <c r="AC586" s="258">
        <v>0</v>
      </c>
      <c r="AD586" s="258">
        <v>0</v>
      </c>
      <c r="AE586" s="258">
        <v>287</v>
      </c>
      <c r="AF586" s="257">
        <f t="shared" si="148"/>
        <v>607.61042790729232</v>
      </c>
      <c r="AG586" s="258">
        <v>0</v>
      </c>
      <c r="AH586" s="257">
        <v>0</v>
      </c>
      <c r="AI586" s="258">
        <v>0</v>
      </c>
      <c r="AJ586" s="257">
        <v>0</v>
      </c>
      <c r="AK586" s="258">
        <v>0</v>
      </c>
      <c r="AL586" s="258">
        <v>0</v>
      </c>
      <c r="AM586" s="258">
        <v>0</v>
      </c>
      <c r="AN586" s="258"/>
      <c r="AO586" s="258">
        <v>0</v>
      </c>
    </row>
    <row r="587" spans="1:41" s="259" customFormat="1" ht="36" customHeight="1" x14ac:dyDescent="0.25">
      <c r="A587" s="259">
        <v>1</v>
      </c>
      <c r="B587" s="135">
        <f>SUBTOTAL(103,$A$552:A587)</f>
        <v>36</v>
      </c>
      <c r="C587" s="94" t="s">
        <v>1382</v>
      </c>
      <c r="D587" s="124">
        <v>1994</v>
      </c>
      <c r="E587" s="124"/>
      <c r="F587" s="129" t="s">
        <v>269</v>
      </c>
      <c r="G587" s="124">
        <v>4</v>
      </c>
      <c r="H587" s="124" t="s">
        <v>314</v>
      </c>
      <c r="I587" s="125">
        <v>1861.8</v>
      </c>
      <c r="J587" s="125">
        <v>1644.3</v>
      </c>
      <c r="K587" s="125">
        <v>1644.3</v>
      </c>
      <c r="L587" s="126">
        <v>71</v>
      </c>
      <c r="M587" s="124" t="s">
        <v>267</v>
      </c>
      <c r="N587" s="124" t="s">
        <v>271</v>
      </c>
      <c r="O587" s="127" t="s">
        <v>1400</v>
      </c>
      <c r="P587" s="128">
        <v>3214943.65</v>
      </c>
      <c r="Q587" s="128">
        <v>0</v>
      </c>
      <c r="R587" s="128">
        <v>0</v>
      </c>
      <c r="S587" s="128">
        <f t="shared" si="145"/>
        <v>3214943.65</v>
      </c>
      <c r="T587" s="128">
        <f t="shared" si="131"/>
        <v>1726.793237726931</v>
      </c>
      <c r="U587" s="128">
        <v>2252.8345149854977</v>
      </c>
      <c r="V587" s="257">
        <f t="shared" si="139"/>
        <v>526.04127725856665</v>
      </c>
      <c r="W587" s="257">
        <f t="shared" si="146"/>
        <v>2419.4290579009557</v>
      </c>
      <c r="X587" s="257">
        <v>0</v>
      </c>
      <c r="Y587" s="258">
        <v>0</v>
      </c>
      <c r="Z587" s="258">
        <v>0</v>
      </c>
      <c r="AA587" s="258">
        <v>0</v>
      </c>
      <c r="AB587" s="258">
        <v>0</v>
      </c>
      <c r="AC587" s="258">
        <v>0</v>
      </c>
      <c r="AD587" s="258">
        <v>0</v>
      </c>
      <c r="AE587" s="258">
        <v>722</v>
      </c>
      <c r="AF587" s="257">
        <f t="shared" si="148"/>
        <v>2419.4290579009557</v>
      </c>
      <c r="AG587" s="258">
        <v>0</v>
      </c>
      <c r="AH587" s="257">
        <v>0</v>
      </c>
      <c r="AI587" s="258">
        <v>0</v>
      </c>
      <c r="AJ587" s="257">
        <v>0</v>
      </c>
      <c r="AK587" s="258">
        <v>0</v>
      </c>
      <c r="AL587" s="258">
        <v>0</v>
      </c>
      <c r="AM587" s="258">
        <v>0</v>
      </c>
      <c r="AN587" s="258"/>
      <c r="AO587" s="258">
        <v>0</v>
      </c>
    </row>
    <row r="588" spans="1:41" s="259" customFormat="1" ht="36" customHeight="1" x14ac:dyDescent="0.25">
      <c r="A588" s="259">
        <v>1</v>
      </c>
      <c r="B588" s="135">
        <f>SUBTOTAL(103,$A$552:A588)</f>
        <v>37</v>
      </c>
      <c r="C588" s="94" t="s">
        <v>1383</v>
      </c>
      <c r="D588" s="124">
        <v>1917</v>
      </c>
      <c r="E588" s="124"/>
      <c r="F588" s="129" t="s">
        <v>269</v>
      </c>
      <c r="G588" s="124">
        <v>2</v>
      </c>
      <c r="H588" s="124" t="s">
        <v>306</v>
      </c>
      <c r="I588" s="125">
        <v>397.2</v>
      </c>
      <c r="J588" s="125">
        <v>370.5</v>
      </c>
      <c r="K588" s="125">
        <v>370.5</v>
      </c>
      <c r="L588" s="126">
        <v>19</v>
      </c>
      <c r="M588" s="124" t="s">
        <v>267</v>
      </c>
      <c r="N588" s="124" t="s">
        <v>271</v>
      </c>
      <c r="O588" s="127" t="s">
        <v>1401</v>
      </c>
      <c r="P588" s="128">
        <v>1335035.1000000001</v>
      </c>
      <c r="Q588" s="128">
        <v>0</v>
      </c>
      <c r="R588" s="128">
        <v>0</v>
      </c>
      <c r="S588" s="128">
        <f t="shared" si="145"/>
        <v>1335035.1000000001</v>
      </c>
      <c r="T588" s="128">
        <f t="shared" si="131"/>
        <v>3361.1155589123869</v>
      </c>
      <c r="U588" s="128">
        <v>4287.7258043806642</v>
      </c>
      <c r="V588" s="257">
        <f t="shared" si="139"/>
        <v>926.6102454682773</v>
      </c>
      <c r="W588" s="257">
        <f t="shared" si="146"/>
        <v>26513.796777442094</v>
      </c>
      <c r="X588" s="257">
        <v>0</v>
      </c>
      <c r="Y588" s="258">
        <v>0</v>
      </c>
      <c r="Z588" s="258">
        <v>0</v>
      </c>
      <c r="AA588" s="258">
        <v>0</v>
      </c>
      <c r="AB588" s="258">
        <v>0</v>
      </c>
      <c r="AC588" s="258">
        <v>0</v>
      </c>
      <c r="AD588" s="258">
        <v>0</v>
      </c>
      <c r="AE588" s="258">
        <v>1688</v>
      </c>
      <c r="AF588" s="257">
        <f t="shared" si="148"/>
        <v>26513.796777442094</v>
      </c>
      <c r="AG588" s="258">
        <v>0</v>
      </c>
      <c r="AH588" s="257">
        <v>0</v>
      </c>
      <c r="AI588" s="258">
        <v>0</v>
      </c>
      <c r="AJ588" s="257">
        <v>0</v>
      </c>
      <c r="AK588" s="258">
        <v>0</v>
      </c>
      <c r="AL588" s="258">
        <v>0</v>
      </c>
      <c r="AM588" s="258">
        <v>0</v>
      </c>
      <c r="AN588" s="258"/>
      <c r="AO588" s="258">
        <v>0</v>
      </c>
    </row>
    <row r="589" spans="1:41" s="259" customFormat="1" ht="36" customHeight="1" x14ac:dyDescent="0.25">
      <c r="A589" s="259">
        <v>1</v>
      </c>
      <c r="B589" s="135">
        <f>SUBTOTAL(103,$A$552:A589)</f>
        <v>38</v>
      </c>
      <c r="C589" s="94" t="s">
        <v>1384</v>
      </c>
      <c r="D589" s="124">
        <v>1917</v>
      </c>
      <c r="E589" s="124"/>
      <c r="F589" s="129" t="s">
        <v>269</v>
      </c>
      <c r="G589" s="124">
        <v>3</v>
      </c>
      <c r="H589" s="124" t="s">
        <v>305</v>
      </c>
      <c r="I589" s="125">
        <v>1376.9</v>
      </c>
      <c r="J589" s="125">
        <v>1164.9000000000001</v>
      </c>
      <c r="K589" s="125">
        <v>779.2</v>
      </c>
      <c r="L589" s="126">
        <v>40</v>
      </c>
      <c r="M589" s="124" t="s">
        <v>267</v>
      </c>
      <c r="N589" s="124" t="s">
        <v>271</v>
      </c>
      <c r="O589" s="127" t="s">
        <v>1387</v>
      </c>
      <c r="P589" s="128">
        <v>4219164.3499999996</v>
      </c>
      <c r="Q589" s="128">
        <v>0</v>
      </c>
      <c r="R589" s="128">
        <v>0</v>
      </c>
      <c r="S589" s="128">
        <f t="shared" si="145"/>
        <v>4219164.3499999996</v>
      </c>
      <c r="T589" s="128">
        <f t="shared" ref="T589:T652" si="149">P589/I589</f>
        <v>3064.2489287529952</v>
      </c>
      <c r="U589" s="128">
        <v>4028.2724526109373</v>
      </c>
      <c r="V589" s="257">
        <f t="shared" si="139"/>
        <v>964.02352385794211</v>
      </c>
      <c r="W589" s="257">
        <f t="shared" si="146"/>
        <v>5120.1745224780298</v>
      </c>
      <c r="X589" s="257">
        <v>0</v>
      </c>
      <c r="Y589" s="258">
        <v>0</v>
      </c>
      <c r="Z589" s="258">
        <v>0</v>
      </c>
      <c r="AA589" s="258">
        <v>0</v>
      </c>
      <c r="AB589" s="258">
        <v>0</v>
      </c>
      <c r="AC589" s="258">
        <v>0</v>
      </c>
      <c r="AD589" s="258">
        <v>0</v>
      </c>
      <c r="AE589" s="258">
        <v>1130</v>
      </c>
      <c r="AF589" s="257">
        <f t="shared" si="148"/>
        <v>5120.1745224780298</v>
      </c>
      <c r="AG589" s="258">
        <v>0</v>
      </c>
      <c r="AH589" s="257">
        <v>0</v>
      </c>
      <c r="AI589" s="258">
        <v>0</v>
      </c>
      <c r="AJ589" s="257">
        <v>0</v>
      </c>
      <c r="AK589" s="258">
        <v>0</v>
      </c>
      <c r="AL589" s="258">
        <v>0</v>
      </c>
      <c r="AM589" s="258">
        <v>0</v>
      </c>
      <c r="AN589" s="258"/>
      <c r="AO589" s="258">
        <v>0</v>
      </c>
    </row>
    <row r="590" spans="1:41" s="259" customFormat="1" ht="36" customHeight="1" x14ac:dyDescent="0.25">
      <c r="A590" s="259">
        <v>1</v>
      </c>
      <c r="B590" s="135">
        <f>SUBTOTAL(103,$A$552:A590)</f>
        <v>39</v>
      </c>
      <c r="C590" s="94" t="s">
        <v>1385</v>
      </c>
      <c r="D590" s="124">
        <v>1961</v>
      </c>
      <c r="E590" s="124"/>
      <c r="F590" s="129" t="s">
        <v>269</v>
      </c>
      <c r="G590" s="124" t="s">
        <v>310</v>
      </c>
      <c r="H590" s="124" t="s">
        <v>305</v>
      </c>
      <c r="I590" s="125">
        <v>1478.4</v>
      </c>
      <c r="J590" s="125">
        <v>1363.8</v>
      </c>
      <c r="K590" s="125">
        <v>1044.5999999999999</v>
      </c>
      <c r="L590" s="126">
        <v>50</v>
      </c>
      <c r="M590" s="124" t="s">
        <v>267</v>
      </c>
      <c r="N590" s="124" t="s">
        <v>271</v>
      </c>
      <c r="O590" s="127" t="s">
        <v>1402</v>
      </c>
      <c r="P590" s="128">
        <v>3434742.09</v>
      </c>
      <c r="Q590" s="128">
        <v>0</v>
      </c>
      <c r="R590" s="128">
        <v>0</v>
      </c>
      <c r="S590" s="128">
        <f t="shared" si="145"/>
        <v>3434742.09</v>
      </c>
      <c r="T590" s="128">
        <f t="shared" si="149"/>
        <v>2323.2833400974023</v>
      </c>
      <c r="U590" s="128">
        <v>2667.694602272727</v>
      </c>
      <c r="V590" s="257">
        <f t="shared" si="139"/>
        <v>344.41126217532474</v>
      </c>
      <c r="W590" s="257">
        <f t="shared" si="146"/>
        <v>3190.3517045454541</v>
      </c>
      <c r="X590" s="257">
        <v>0</v>
      </c>
      <c r="Y590" s="258">
        <v>0</v>
      </c>
      <c r="Z590" s="258">
        <v>0</v>
      </c>
      <c r="AA590" s="258">
        <v>0</v>
      </c>
      <c r="AB590" s="258">
        <v>0</v>
      </c>
      <c r="AC590" s="258">
        <v>0</v>
      </c>
      <c r="AD590" s="258">
        <v>0</v>
      </c>
      <c r="AE590" s="258">
        <v>756</v>
      </c>
      <c r="AF590" s="257">
        <f t="shared" si="148"/>
        <v>3190.3517045454541</v>
      </c>
      <c r="AG590" s="258">
        <v>0</v>
      </c>
      <c r="AH590" s="257">
        <v>0</v>
      </c>
      <c r="AI590" s="258">
        <v>0</v>
      </c>
      <c r="AJ590" s="257">
        <v>0</v>
      </c>
      <c r="AK590" s="258">
        <v>0</v>
      </c>
      <c r="AL590" s="258">
        <v>0</v>
      </c>
      <c r="AM590" s="258">
        <v>0</v>
      </c>
      <c r="AN590" s="258"/>
      <c r="AO590" s="258">
        <v>0</v>
      </c>
    </row>
    <row r="591" spans="1:41" s="259" customFormat="1" ht="36" customHeight="1" x14ac:dyDescent="0.25">
      <c r="A591" s="259">
        <v>1</v>
      </c>
      <c r="B591" s="135">
        <f>SUBTOTAL(103,$A$552:A591)</f>
        <v>40</v>
      </c>
      <c r="C591" s="94" t="s">
        <v>501</v>
      </c>
      <c r="D591" s="124">
        <v>1960</v>
      </c>
      <c r="E591" s="124"/>
      <c r="F591" s="129" t="s">
        <v>269</v>
      </c>
      <c r="G591" s="124">
        <v>5</v>
      </c>
      <c r="H591" s="124" t="s">
        <v>314</v>
      </c>
      <c r="I591" s="125">
        <v>3202.4</v>
      </c>
      <c r="J591" s="125">
        <v>2438.9</v>
      </c>
      <c r="K591" s="125">
        <v>2438.9</v>
      </c>
      <c r="L591" s="126">
        <v>120</v>
      </c>
      <c r="M591" s="124" t="s">
        <v>267</v>
      </c>
      <c r="N591" s="124" t="s">
        <v>271</v>
      </c>
      <c r="O591" s="127" t="s">
        <v>1093</v>
      </c>
      <c r="P591" s="128">
        <v>5709375</v>
      </c>
      <c r="Q591" s="128">
        <v>0</v>
      </c>
      <c r="R591" s="128">
        <v>0</v>
      </c>
      <c r="S591" s="128">
        <f t="shared" si="145"/>
        <v>5709375</v>
      </c>
      <c r="T591" s="128">
        <f t="shared" si="149"/>
        <v>1782.8425555833126</v>
      </c>
      <c r="U591" s="128">
        <v>4650.5989882588065</v>
      </c>
      <c r="V591" s="257">
        <f t="shared" si="139"/>
        <v>2867.7564326754937</v>
      </c>
      <c r="W591" s="257">
        <f t="shared" si="146"/>
        <v>1305.2928116412688</v>
      </c>
      <c r="X591" s="257">
        <v>0</v>
      </c>
      <c r="Y591" s="258">
        <v>0</v>
      </c>
      <c r="Z591" s="258">
        <v>0</v>
      </c>
      <c r="AA591" s="258">
        <v>0</v>
      </c>
      <c r="AB591" s="258">
        <v>0</v>
      </c>
      <c r="AC591" s="258">
        <v>0</v>
      </c>
      <c r="AD591" s="258">
        <v>0</v>
      </c>
      <c r="AE591" s="258">
        <v>670</v>
      </c>
      <c r="AF591" s="257">
        <f t="shared" si="148"/>
        <v>1305.2928116412688</v>
      </c>
      <c r="AG591" s="258">
        <v>0</v>
      </c>
      <c r="AH591" s="257">
        <v>0</v>
      </c>
      <c r="AI591" s="258">
        <v>0</v>
      </c>
      <c r="AJ591" s="257">
        <v>0</v>
      </c>
      <c r="AK591" s="258">
        <v>0</v>
      </c>
      <c r="AL591" s="258">
        <v>0</v>
      </c>
      <c r="AM591" s="258">
        <v>0</v>
      </c>
      <c r="AN591" s="258"/>
      <c r="AO591" s="258">
        <v>0</v>
      </c>
    </row>
    <row r="592" spans="1:41" s="259" customFormat="1" ht="36" customHeight="1" x14ac:dyDescent="0.25">
      <c r="A592" s="259">
        <v>1</v>
      </c>
      <c r="B592" s="135">
        <f>SUBTOTAL(103,$A$552:A592)</f>
        <v>41</v>
      </c>
      <c r="C592" s="94" t="s">
        <v>1071</v>
      </c>
      <c r="D592" s="124">
        <v>1941</v>
      </c>
      <c r="E592" s="124"/>
      <c r="F592" s="129" t="s">
        <v>269</v>
      </c>
      <c r="G592" s="124">
        <v>3</v>
      </c>
      <c r="H592" s="124" t="s">
        <v>305</v>
      </c>
      <c r="I592" s="125">
        <v>1265</v>
      </c>
      <c r="J592" s="125">
        <v>1152.5999999999999</v>
      </c>
      <c r="K592" s="125">
        <v>1105.5</v>
      </c>
      <c r="L592" s="126">
        <v>60</v>
      </c>
      <c r="M592" s="124" t="s">
        <v>267</v>
      </c>
      <c r="N592" s="124" t="s">
        <v>271</v>
      </c>
      <c r="O592" s="127" t="s">
        <v>1079</v>
      </c>
      <c r="P592" s="128">
        <v>2783418.81</v>
      </c>
      <c r="Q592" s="128">
        <v>0</v>
      </c>
      <c r="R592" s="128">
        <v>0</v>
      </c>
      <c r="S592" s="128">
        <f t="shared" si="145"/>
        <v>2783418.81</v>
      </c>
      <c r="T592" s="128">
        <f t="shared" si="149"/>
        <v>2200.3310750988144</v>
      </c>
      <c r="U592" s="128">
        <v>5057.4118577075096</v>
      </c>
      <c r="V592" s="257">
        <f t="shared" si="139"/>
        <v>2857.0807826086952</v>
      </c>
      <c r="W592" s="257">
        <f t="shared" si="146"/>
        <v>1341.7355458498023</v>
      </c>
      <c r="X592" s="257">
        <v>0</v>
      </c>
      <c r="Y592" s="258">
        <v>0</v>
      </c>
      <c r="Z592" s="258">
        <v>0</v>
      </c>
      <c r="AA592" s="258">
        <v>0</v>
      </c>
      <c r="AB592" s="258">
        <v>0</v>
      </c>
      <c r="AC592" s="258">
        <v>0</v>
      </c>
      <c r="AD592" s="258">
        <v>0</v>
      </c>
      <c r="AE592" s="258">
        <v>272.05</v>
      </c>
      <c r="AF592" s="257">
        <f t="shared" si="148"/>
        <v>1341.7355458498023</v>
      </c>
      <c r="AG592" s="258">
        <v>0</v>
      </c>
      <c r="AH592" s="257">
        <v>0</v>
      </c>
      <c r="AI592" s="258">
        <v>0</v>
      </c>
      <c r="AJ592" s="257">
        <v>0</v>
      </c>
      <c r="AK592" s="258">
        <v>0</v>
      </c>
      <c r="AL592" s="258">
        <v>0</v>
      </c>
      <c r="AM592" s="258">
        <v>0</v>
      </c>
      <c r="AN592" s="258"/>
      <c r="AO592" s="258">
        <v>0</v>
      </c>
    </row>
    <row r="593" spans="1:41" s="259" customFormat="1" ht="36" customHeight="1" x14ac:dyDescent="0.25">
      <c r="A593" s="259">
        <v>1</v>
      </c>
      <c r="B593" s="135">
        <f>SUBTOTAL(103,$A$552:A593)</f>
        <v>42</v>
      </c>
      <c r="C593" s="94" t="s">
        <v>1404</v>
      </c>
      <c r="D593" s="124">
        <v>1961</v>
      </c>
      <c r="E593" s="124"/>
      <c r="F593" s="129" t="s">
        <v>269</v>
      </c>
      <c r="G593" s="124" t="s">
        <v>373</v>
      </c>
      <c r="H593" s="124" t="s">
        <v>314</v>
      </c>
      <c r="I593" s="125">
        <v>2941.6</v>
      </c>
      <c r="J593" s="125">
        <v>2564.1</v>
      </c>
      <c r="K593" s="125">
        <v>2365.9</v>
      </c>
      <c r="L593" s="126">
        <v>130</v>
      </c>
      <c r="M593" s="124" t="s">
        <v>267</v>
      </c>
      <c r="N593" s="124" t="s">
        <v>271</v>
      </c>
      <c r="O593" s="127" t="s">
        <v>1388</v>
      </c>
      <c r="P593" s="128">
        <v>3863646.31</v>
      </c>
      <c r="Q593" s="128">
        <v>0</v>
      </c>
      <c r="R593" s="128">
        <v>0</v>
      </c>
      <c r="S593" s="128">
        <f t="shared" si="145"/>
        <v>3863646.31</v>
      </c>
      <c r="T593" s="128">
        <f t="shared" si="149"/>
        <v>1313.4506085123742</v>
      </c>
      <c r="U593" s="128">
        <v>1981.61317534675</v>
      </c>
      <c r="V593" s="257">
        <f t="shared" si="139"/>
        <v>668.16256683437587</v>
      </c>
      <c r="W593" s="257">
        <f t="shared" si="146"/>
        <v>1879.1386524340494</v>
      </c>
      <c r="X593" s="257">
        <v>0</v>
      </c>
      <c r="Y593" s="258">
        <v>0</v>
      </c>
      <c r="Z593" s="258">
        <v>0</v>
      </c>
      <c r="AA593" s="258">
        <v>0</v>
      </c>
      <c r="AB593" s="258">
        <v>0</v>
      </c>
      <c r="AC593" s="258">
        <v>0</v>
      </c>
      <c r="AD593" s="258">
        <v>0</v>
      </c>
      <c r="AE593" s="258">
        <v>886</v>
      </c>
      <c r="AF593" s="257">
        <f t="shared" si="148"/>
        <v>1879.1386524340494</v>
      </c>
      <c r="AG593" s="258">
        <v>0</v>
      </c>
      <c r="AH593" s="257">
        <v>0</v>
      </c>
      <c r="AI593" s="258">
        <v>0</v>
      </c>
      <c r="AJ593" s="257">
        <v>0</v>
      </c>
      <c r="AK593" s="258">
        <v>0</v>
      </c>
      <c r="AL593" s="258">
        <v>0</v>
      </c>
      <c r="AM593" s="258">
        <v>0</v>
      </c>
      <c r="AN593" s="258"/>
      <c r="AO593" s="258">
        <v>0</v>
      </c>
    </row>
    <row r="594" spans="1:41" s="259" customFormat="1" ht="36" customHeight="1" x14ac:dyDescent="0.25">
      <c r="A594" s="259">
        <v>1</v>
      </c>
      <c r="B594" s="135">
        <f>SUBTOTAL(103,$A$552:A594)</f>
        <v>43</v>
      </c>
      <c r="C594" s="94" t="s">
        <v>1377</v>
      </c>
      <c r="D594" s="124">
        <v>1973</v>
      </c>
      <c r="E594" s="124"/>
      <c r="F594" s="129" t="s">
        <v>269</v>
      </c>
      <c r="G594" s="124">
        <v>9</v>
      </c>
      <c r="H594" s="124" t="s">
        <v>306</v>
      </c>
      <c r="I594" s="125">
        <v>1958.4</v>
      </c>
      <c r="J594" s="125">
        <v>1958.4</v>
      </c>
      <c r="K594" s="125">
        <v>1941.8</v>
      </c>
      <c r="L594" s="126">
        <v>92</v>
      </c>
      <c r="M594" s="124" t="s">
        <v>267</v>
      </c>
      <c r="N594" s="124" t="s">
        <v>271</v>
      </c>
      <c r="O594" s="127" t="s">
        <v>1389</v>
      </c>
      <c r="P594" s="128">
        <v>1040953.78</v>
      </c>
      <c r="Q594" s="128">
        <v>0</v>
      </c>
      <c r="R594" s="128">
        <v>0</v>
      </c>
      <c r="S594" s="128">
        <f t="shared" si="145"/>
        <v>1040953.78</v>
      </c>
      <c r="T594" s="128">
        <f t="shared" si="149"/>
        <v>531.53277165032682</v>
      </c>
      <c r="U594" s="128">
        <v>2104.4022671568628</v>
      </c>
      <c r="V594" s="257">
        <f t="shared" si="139"/>
        <v>1572.8694955065359</v>
      </c>
      <c r="W594" s="257">
        <f t="shared" si="146"/>
        <v>2007.0022977941176</v>
      </c>
      <c r="X594" s="257">
        <v>0</v>
      </c>
      <c r="Y594" s="258">
        <v>0</v>
      </c>
      <c r="Z594" s="258">
        <v>0</v>
      </c>
      <c r="AA594" s="258">
        <v>0</v>
      </c>
      <c r="AB594" s="258">
        <v>0</v>
      </c>
      <c r="AC594" s="258">
        <v>0</v>
      </c>
      <c r="AD594" s="258">
        <v>0</v>
      </c>
      <c r="AE594" s="258">
        <v>630</v>
      </c>
      <c r="AF594" s="257">
        <f t="shared" si="148"/>
        <v>2007.0022977941176</v>
      </c>
      <c r="AG594" s="258">
        <v>0</v>
      </c>
      <c r="AH594" s="257">
        <v>0</v>
      </c>
      <c r="AI594" s="258">
        <v>0</v>
      </c>
      <c r="AJ594" s="257">
        <v>0</v>
      </c>
      <c r="AK594" s="258">
        <v>0</v>
      </c>
      <c r="AL594" s="258">
        <v>0</v>
      </c>
      <c r="AM594" s="258">
        <v>0</v>
      </c>
      <c r="AN594" s="258"/>
      <c r="AO594" s="258">
        <v>0</v>
      </c>
    </row>
    <row r="595" spans="1:41" s="259" customFormat="1" ht="36" customHeight="1" x14ac:dyDescent="0.25">
      <c r="A595" s="259">
        <v>1</v>
      </c>
      <c r="B595" s="135">
        <f>SUBTOTAL(103,$A$552:A595)</f>
        <v>44</v>
      </c>
      <c r="C595" s="94" t="s">
        <v>1119</v>
      </c>
      <c r="D595" s="124">
        <v>1950</v>
      </c>
      <c r="E595" s="124"/>
      <c r="F595" s="129" t="s">
        <v>269</v>
      </c>
      <c r="G595" s="124">
        <v>2</v>
      </c>
      <c r="H595" s="124" t="s">
        <v>305</v>
      </c>
      <c r="I595" s="125">
        <v>814.1</v>
      </c>
      <c r="J595" s="125">
        <v>739.6</v>
      </c>
      <c r="K595" s="125">
        <v>739.6</v>
      </c>
      <c r="L595" s="126">
        <v>34</v>
      </c>
      <c r="M595" s="124" t="s">
        <v>267</v>
      </c>
      <c r="N595" s="124" t="s">
        <v>271</v>
      </c>
      <c r="O595" s="127" t="s">
        <v>1402</v>
      </c>
      <c r="P595" s="128">
        <v>1338055.4100000001</v>
      </c>
      <c r="Q595" s="128">
        <v>0</v>
      </c>
      <c r="R595" s="128">
        <v>0</v>
      </c>
      <c r="S595" s="128">
        <f t="shared" si="145"/>
        <v>1338055.4100000001</v>
      </c>
      <c r="T595" s="128">
        <f t="shared" si="149"/>
        <v>1643.6007984277117</v>
      </c>
      <c r="U595" s="128">
        <v>3029.0628669696598</v>
      </c>
      <c r="V595" s="257">
        <f t="shared" ref="V595:V640" si="150">U595-T595</f>
        <v>1385.4620685419482</v>
      </c>
      <c r="W595" s="257">
        <f t="shared" si="146"/>
        <v>8350.2227441346258</v>
      </c>
      <c r="X595" s="257">
        <v>0</v>
      </c>
      <c r="Y595" s="258">
        <v>0</v>
      </c>
      <c r="Z595" s="258">
        <v>0</v>
      </c>
      <c r="AA595" s="258">
        <v>0</v>
      </c>
      <c r="AB595" s="258">
        <v>0</v>
      </c>
      <c r="AC595" s="258">
        <v>0</v>
      </c>
      <c r="AD595" s="258">
        <v>0</v>
      </c>
      <c r="AE595" s="258">
        <v>1089.5999999999999</v>
      </c>
      <c r="AF595" s="257">
        <f t="shared" si="148"/>
        <v>8350.2227441346258</v>
      </c>
      <c r="AG595" s="258">
        <v>0</v>
      </c>
      <c r="AH595" s="257">
        <v>0</v>
      </c>
      <c r="AI595" s="258">
        <v>0</v>
      </c>
      <c r="AJ595" s="257">
        <v>0</v>
      </c>
      <c r="AK595" s="258">
        <v>0</v>
      </c>
      <c r="AL595" s="258">
        <v>0</v>
      </c>
      <c r="AM595" s="258">
        <v>0</v>
      </c>
      <c r="AN595" s="258"/>
      <c r="AO595" s="258">
        <v>0</v>
      </c>
    </row>
    <row r="596" spans="1:41" s="259" customFormat="1" ht="36" customHeight="1" x14ac:dyDescent="0.25">
      <c r="A596" s="259">
        <v>1</v>
      </c>
      <c r="B596" s="135">
        <f>SUBTOTAL(103,$A$552:A596)</f>
        <v>45</v>
      </c>
      <c r="C596" s="94" t="s">
        <v>1120</v>
      </c>
      <c r="D596" s="124">
        <v>1958</v>
      </c>
      <c r="E596" s="124"/>
      <c r="F596" s="129" t="s">
        <v>269</v>
      </c>
      <c r="G596" s="124">
        <v>2</v>
      </c>
      <c r="H596" s="124" t="s">
        <v>305</v>
      </c>
      <c r="I596" s="125">
        <v>515.4</v>
      </c>
      <c r="J596" s="125">
        <v>454.3</v>
      </c>
      <c r="K596" s="125">
        <v>454.3</v>
      </c>
      <c r="L596" s="126">
        <v>21</v>
      </c>
      <c r="M596" s="124" t="s">
        <v>267</v>
      </c>
      <c r="N596" s="124" t="s">
        <v>271</v>
      </c>
      <c r="O596" s="127" t="s">
        <v>1387</v>
      </c>
      <c r="P596" s="128">
        <v>221655.15999999997</v>
      </c>
      <c r="Q596" s="128">
        <v>0</v>
      </c>
      <c r="R596" s="128">
        <v>0</v>
      </c>
      <c r="S596" s="128">
        <f t="shared" si="145"/>
        <v>221655.15999999997</v>
      </c>
      <c r="T596" s="128">
        <f t="shared" si="149"/>
        <v>430.06433837795885</v>
      </c>
      <c r="U596" s="128">
        <v>430.06433837795885</v>
      </c>
      <c r="V596" s="257">
        <f t="shared" si="150"/>
        <v>0</v>
      </c>
      <c r="W596" s="257">
        <f t="shared" si="146"/>
        <v>28896.154831199074</v>
      </c>
      <c r="X596" s="257">
        <v>0</v>
      </c>
      <c r="Y596" s="258">
        <v>0</v>
      </c>
      <c r="Z596" s="258">
        <v>0</v>
      </c>
      <c r="AA596" s="258">
        <v>0</v>
      </c>
      <c r="AB596" s="258">
        <v>0</v>
      </c>
      <c r="AC596" s="258">
        <v>0</v>
      </c>
      <c r="AD596" s="258">
        <v>0</v>
      </c>
      <c r="AE596" s="258">
        <v>0</v>
      </c>
      <c r="AF596" s="257">
        <v>0</v>
      </c>
      <c r="AG596" s="258">
        <v>0</v>
      </c>
      <c r="AH596" s="257">
        <v>0</v>
      </c>
      <c r="AI596" s="258">
        <v>2002</v>
      </c>
      <c r="AJ596" s="257">
        <f>7439.1*AI596/I596</f>
        <v>28896.154831199074</v>
      </c>
      <c r="AK596" s="258">
        <v>0</v>
      </c>
      <c r="AL596" s="258">
        <v>0</v>
      </c>
      <c r="AM596" s="258">
        <v>0</v>
      </c>
      <c r="AN596" s="258"/>
      <c r="AO596" s="258">
        <v>0</v>
      </c>
    </row>
    <row r="597" spans="1:41" s="259" customFormat="1" ht="36" customHeight="1" x14ac:dyDescent="0.25">
      <c r="A597" s="259">
        <v>1</v>
      </c>
      <c r="B597" s="135">
        <f>SUBTOTAL(103,$A$552:A597)</f>
        <v>46</v>
      </c>
      <c r="C597" s="94" t="s">
        <v>1122</v>
      </c>
      <c r="D597" s="124" t="s">
        <v>369</v>
      </c>
      <c r="E597" s="124"/>
      <c r="F597" s="129" t="s">
        <v>269</v>
      </c>
      <c r="G597" s="124" t="s">
        <v>310</v>
      </c>
      <c r="H597" s="124" t="s">
        <v>305</v>
      </c>
      <c r="I597" s="125">
        <v>1341.9</v>
      </c>
      <c r="J597" s="125">
        <v>1245.7</v>
      </c>
      <c r="K597" s="125">
        <v>1245.7</v>
      </c>
      <c r="L597" s="126">
        <v>62</v>
      </c>
      <c r="M597" s="124" t="s">
        <v>267</v>
      </c>
      <c r="N597" s="124" t="s">
        <v>271</v>
      </c>
      <c r="O597" s="127" t="s">
        <v>1654</v>
      </c>
      <c r="P597" s="128">
        <v>2839946.57</v>
      </c>
      <c r="Q597" s="128">
        <v>0</v>
      </c>
      <c r="R597" s="128">
        <v>0</v>
      </c>
      <c r="S597" s="128">
        <f t="shared" si="145"/>
        <v>2839946.57</v>
      </c>
      <c r="T597" s="128">
        <f t="shared" si="149"/>
        <v>2116.3622997242715</v>
      </c>
      <c r="U597" s="128">
        <v>2116.3622997242715</v>
      </c>
      <c r="V597" s="257">
        <f t="shared" si="150"/>
        <v>0</v>
      </c>
      <c r="W597" s="257">
        <f t="shared" si="146"/>
        <v>4767.587748714509</v>
      </c>
      <c r="X597" s="257">
        <v>0</v>
      </c>
      <c r="Y597" s="258">
        <v>0</v>
      </c>
      <c r="Z597" s="258">
        <v>0</v>
      </c>
      <c r="AA597" s="258">
        <v>0</v>
      </c>
      <c r="AB597" s="258">
        <v>0</v>
      </c>
      <c r="AC597" s="258">
        <v>0</v>
      </c>
      <c r="AD597" s="258">
        <v>0</v>
      </c>
      <c r="AE597" s="258">
        <v>0</v>
      </c>
      <c r="AF597" s="257">
        <v>0</v>
      </c>
      <c r="AG597" s="258">
        <v>0</v>
      </c>
      <c r="AH597" s="257">
        <v>0</v>
      </c>
      <c r="AI597" s="258">
        <v>860</v>
      </c>
      <c r="AJ597" s="257">
        <f>7439.1*AI597/I597</f>
        <v>4767.587748714509</v>
      </c>
      <c r="AK597" s="258">
        <v>0</v>
      </c>
      <c r="AL597" s="258">
        <v>0</v>
      </c>
      <c r="AM597" s="258">
        <v>0</v>
      </c>
      <c r="AN597" s="258"/>
      <c r="AO597" s="258">
        <v>0</v>
      </c>
    </row>
    <row r="598" spans="1:41" s="259" customFormat="1" ht="36" customHeight="1" x14ac:dyDescent="0.25">
      <c r="A598" s="259">
        <v>1</v>
      </c>
      <c r="B598" s="135">
        <f>SUBTOTAL(103,$A$552:A598)</f>
        <v>47</v>
      </c>
      <c r="C598" s="94" t="s">
        <v>1125</v>
      </c>
      <c r="D598" s="124">
        <v>1962</v>
      </c>
      <c r="E598" s="124"/>
      <c r="F598" s="129" t="s">
        <v>269</v>
      </c>
      <c r="G598" s="124">
        <v>5</v>
      </c>
      <c r="H598" s="124" t="s">
        <v>310</v>
      </c>
      <c r="I598" s="125">
        <v>3393.1</v>
      </c>
      <c r="J598" s="125">
        <v>3313.4</v>
      </c>
      <c r="K598" s="125">
        <v>2812</v>
      </c>
      <c r="L598" s="126">
        <v>148</v>
      </c>
      <c r="M598" s="124" t="s">
        <v>267</v>
      </c>
      <c r="N598" s="124" t="s">
        <v>271</v>
      </c>
      <c r="O598" s="127" t="s">
        <v>1328</v>
      </c>
      <c r="P598" s="128">
        <v>3246745.9499999997</v>
      </c>
      <c r="Q598" s="128">
        <v>0</v>
      </c>
      <c r="R598" s="128">
        <v>0</v>
      </c>
      <c r="S598" s="128">
        <f t="shared" si="145"/>
        <v>3246745.9499999997</v>
      </c>
      <c r="T598" s="128">
        <f t="shared" si="149"/>
        <v>956.86715687719186</v>
      </c>
      <c r="U598" s="128">
        <v>2016.5593911172675</v>
      </c>
      <c r="V598" s="257">
        <f t="shared" si="150"/>
        <v>1059.6922342400758</v>
      </c>
      <c r="W598" s="257">
        <f t="shared" si="146"/>
        <v>1528.1477412985175</v>
      </c>
      <c r="X598" s="257">
        <v>0</v>
      </c>
      <c r="Y598" s="258">
        <v>0</v>
      </c>
      <c r="Z598" s="258">
        <v>0</v>
      </c>
      <c r="AA598" s="258">
        <v>0</v>
      </c>
      <c r="AB598" s="258">
        <v>0</v>
      </c>
      <c r="AC598" s="258">
        <v>0</v>
      </c>
      <c r="AD598" s="258">
        <v>0</v>
      </c>
      <c r="AE598" s="258">
        <v>831.1</v>
      </c>
      <c r="AF598" s="257">
        <f>6238.91*AE598/I598</f>
        <v>1528.1477412985175</v>
      </c>
      <c r="AG598" s="258">
        <v>0</v>
      </c>
      <c r="AH598" s="257">
        <v>0</v>
      </c>
      <c r="AI598" s="258">
        <v>0</v>
      </c>
      <c r="AJ598" s="257">
        <v>0</v>
      </c>
      <c r="AK598" s="258">
        <v>0</v>
      </c>
      <c r="AL598" s="258">
        <v>0</v>
      </c>
      <c r="AM598" s="258">
        <v>0</v>
      </c>
      <c r="AN598" s="258"/>
      <c r="AO598" s="258">
        <v>0</v>
      </c>
    </row>
    <row r="599" spans="1:41" s="259" customFormat="1" ht="36" customHeight="1" x14ac:dyDescent="0.25">
      <c r="A599" s="259">
        <v>1</v>
      </c>
      <c r="B599" s="135">
        <f>SUBTOTAL(103,$A$552:A599)</f>
        <v>48</v>
      </c>
      <c r="C599" s="94" t="s">
        <v>1136</v>
      </c>
      <c r="D599" s="124">
        <v>1962</v>
      </c>
      <c r="E599" s="124"/>
      <c r="F599" s="129" t="s">
        <v>269</v>
      </c>
      <c r="G599" s="124">
        <v>2</v>
      </c>
      <c r="H599" s="124" t="s">
        <v>305</v>
      </c>
      <c r="I599" s="125">
        <v>628.29999999999995</v>
      </c>
      <c r="J599" s="125">
        <v>628.29999999999995</v>
      </c>
      <c r="K599" s="125">
        <v>628.29999999999995</v>
      </c>
      <c r="L599" s="126">
        <v>38</v>
      </c>
      <c r="M599" s="124" t="s">
        <v>267</v>
      </c>
      <c r="N599" s="124" t="s">
        <v>268</v>
      </c>
      <c r="O599" s="127" t="s">
        <v>1327</v>
      </c>
      <c r="P599" s="128">
        <v>2490072.1</v>
      </c>
      <c r="Q599" s="128">
        <v>0</v>
      </c>
      <c r="R599" s="128">
        <v>0</v>
      </c>
      <c r="S599" s="128">
        <f t="shared" si="145"/>
        <v>2490072.1</v>
      </c>
      <c r="T599" s="128">
        <f t="shared" si="149"/>
        <v>3963.1897182874427</v>
      </c>
      <c r="U599" s="128">
        <v>5414.2722361929018</v>
      </c>
      <c r="V599" s="257">
        <f t="shared" si="150"/>
        <v>1451.0825179054591</v>
      </c>
      <c r="W599" s="257">
        <f t="shared" si="146"/>
        <v>6559.3846888429107</v>
      </c>
      <c r="X599" s="257">
        <v>0</v>
      </c>
      <c r="Y599" s="258">
        <v>0</v>
      </c>
      <c r="Z599" s="258">
        <v>0</v>
      </c>
      <c r="AA599" s="258">
        <v>0</v>
      </c>
      <c r="AB599" s="258">
        <v>0</v>
      </c>
      <c r="AC599" s="258">
        <v>0</v>
      </c>
      <c r="AD599" s="258">
        <v>0</v>
      </c>
      <c r="AE599" s="258">
        <v>0</v>
      </c>
      <c r="AF599" s="257">
        <v>0</v>
      </c>
      <c r="AG599" s="258">
        <v>0</v>
      </c>
      <c r="AH599" s="257">
        <v>0</v>
      </c>
      <c r="AI599" s="258">
        <v>554</v>
      </c>
      <c r="AJ599" s="257">
        <f>7439.1*AI599/I599</f>
        <v>6559.3846888429107</v>
      </c>
      <c r="AK599" s="258">
        <v>0</v>
      </c>
      <c r="AL599" s="258">
        <v>0</v>
      </c>
      <c r="AM599" s="258">
        <v>0</v>
      </c>
      <c r="AN599" s="258"/>
      <c r="AO599" s="258">
        <v>0</v>
      </c>
    </row>
    <row r="600" spans="1:41" s="259" customFormat="1" ht="36" customHeight="1" x14ac:dyDescent="0.25">
      <c r="A600" s="259">
        <v>1</v>
      </c>
      <c r="B600" s="135">
        <f>SUBTOTAL(103,$A$552:A600)</f>
        <v>49</v>
      </c>
      <c r="C600" s="94" t="s">
        <v>1137</v>
      </c>
      <c r="D600" s="124">
        <v>1964</v>
      </c>
      <c r="E600" s="124"/>
      <c r="F600" s="129" t="s">
        <v>269</v>
      </c>
      <c r="G600" s="124">
        <v>2</v>
      </c>
      <c r="H600" s="124" t="s">
        <v>305</v>
      </c>
      <c r="I600" s="125">
        <v>669.2</v>
      </c>
      <c r="J600" s="125">
        <v>667</v>
      </c>
      <c r="K600" s="125">
        <v>667</v>
      </c>
      <c r="L600" s="126">
        <v>30</v>
      </c>
      <c r="M600" s="124" t="s">
        <v>267</v>
      </c>
      <c r="N600" s="124" t="s">
        <v>271</v>
      </c>
      <c r="O600" s="127" t="s">
        <v>1327</v>
      </c>
      <c r="P600" s="128">
        <v>2875925.36</v>
      </c>
      <c r="Q600" s="128">
        <v>0</v>
      </c>
      <c r="R600" s="128">
        <v>0</v>
      </c>
      <c r="S600" s="128">
        <f t="shared" si="145"/>
        <v>2875925.36</v>
      </c>
      <c r="T600" s="128">
        <f t="shared" si="149"/>
        <v>4297.5573221757313</v>
      </c>
      <c r="U600" s="128">
        <v>6220.9001046025096</v>
      </c>
      <c r="V600" s="257">
        <f t="shared" si="150"/>
        <v>1923.3427824267783</v>
      </c>
      <c r="W600" s="257">
        <f t="shared" si="146"/>
        <v>16944.962510460249</v>
      </c>
      <c r="X600" s="257">
        <v>0</v>
      </c>
      <c r="Y600" s="258">
        <v>0</v>
      </c>
      <c r="Z600" s="258">
        <v>0</v>
      </c>
      <c r="AA600" s="258">
        <v>0</v>
      </c>
      <c r="AB600" s="258">
        <v>0</v>
      </c>
      <c r="AC600" s="258">
        <v>0</v>
      </c>
      <c r="AD600" s="258">
        <v>0</v>
      </c>
      <c r="AE600" s="258">
        <v>0</v>
      </c>
      <c r="AF600" s="257">
        <v>0</v>
      </c>
      <c r="AG600" s="258">
        <v>0</v>
      </c>
      <c r="AH600" s="257">
        <v>0</v>
      </c>
      <c r="AI600" s="258">
        <v>1524.32</v>
      </c>
      <c r="AJ600" s="257">
        <f>7439.1*AI600/I600</f>
        <v>16944.962510460249</v>
      </c>
      <c r="AK600" s="258">
        <v>0</v>
      </c>
      <c r="AL600" s="258">
        <v>0</v>
      </c>
      <c r="AM600" s="258">
        <v>0</v>
      </c>
      <c r="AN600" s="258"/>
      <c r="AO600" s="258">
        <v>0</v>
      </c>
    </row>
    <row r="601" spans="1:41" s="259" customFormat="1" ht="36" customHeight="1" x14ac:dyDescent="0.25">
      <c r="A601" s="259">
        <v>1</v>
      </c>
      <c r="B601" s="135">
        <f>SUBTOTAL(103,$A$552:A601)</f>
        <v>50</v>
      </c>
      <c r="C601" s="94" t="s">
        <v>1626</v>
      </c>
      <c r="D601" s="124">
        <v>1966</v>
      </c>
      <c r="E601" s="124"/>
      <c r="F601" s="129" t="s">
        <v>313</v>
      </c>
      <c r="G601" s="124">
        <v>5</v>
      </c>
      <c r="H601" s="124" t="s">
        <v>310</v>
      </c>
      <c r="I601" s="125">
        <v>3858.2</v>
      </c>
      <c r="J601" s="125">
        <v>3557.3</v>
      </c>
      <c r="K601" s="125">
        <v>3557.3</v>
      </c>
      <c r="L601" s="126">
        <v>184</v>
      </c>
      <c r="M601" s="124" t="s">
        <v>267</v>
      </c>
      <c r="N601" s="124" t="s">
        <v>271</v>
      </c>
      <c r="O601" s="127" t="s">
        <v>1078</v>
      </c>
      <c r="P601" s="128">
        <v>3926550</v>
      </c>
      <c r="Q601" s="128">
        <v>0</v>
      </c>
      <c r="R601" s="128">
        <v>0</v>
      </c>
      <c r="S601" s="128">
        <f t="shared" si="145"/>
        <v>3926550</v>
      </c>
      <c r="T601" s="128">
        <f t="shared" si="149"/>
        <v>1017.7155150069981</v>
      </c>
      <c r="U601" s="128">
        <v>1460.3107666787621</v>
      </c>
      <c r="V601" s="257">
        <f t="shared" si="150"/>
        <v>442.595251671764</v>
      </c>
      <c r="W601" s="257">
        <f t="shared" si="146"/>
        <v>639.14780985952007</v>
      </c>
      <c r="X601" s="257">
        <v>0</v>
      </c>
      <c r="Y601" s="258">
        <v>0</v>
      </c>
      <c r="Z601" s="258">
        <v>0</v>
      </c>
      <c r="AA601" s="258">
        <v>0</v>
      </c>
      <c r="AB601" s="258">
        <v>0</v>
      </c>
      <c r="AC601" s="258">
        <v>0</v>
      </c>
      <c r="AD601" s="258">
        <v>0</v>
      </c>
      <c r="AE601" s="258">
        <v>0</v>
      </c>
      <c r="AF601" s="257">
        <v>0</v>
      </c>
      <c r="AG601" s="258">
        <v>278</v>
      </c>
      <c r="AH601" s="257">
        <f>8870.36*AG601/I601</f>
        <v>639.14780985952007</v>
      </c>
      <c r="AI601" s="258">
        <v>0</v>
      </c>
      <c r="AJ601" s="257">
        <v>0</v>
      </c>
      <c r="AK601" s="258">
        <v>0</v>
      </c>
      <c r="AL601" s="258">
        <v>0</v>
      </c>
      <c r="AM601" s="258">
        <v>0</v>
      </c>
      <c r="AN601" s="258"/>
      <c r="AO601" s="258">
        <v>0</v>
      </c>
    </row>
    <row r="602" spans="1:41" s="259" customFormat="1" ht="36" customHeight="1" x14ac:dyDescent="0.25">
      <c r="A602" s="259">
        <v>1</v>
      </c>
      <c r="B602" s="135">
        <f>SUBTOTAL(103,$A$552:A602)</f>
        <v>51</v>
      </c>
      <c r="C602" s="94" t="s">
        <v>1628</v>
      </c>
      <c r="D602" s="124">
        <v>1959</v>
      </c>
      <c r="E602" s="124"/>
      <c r="F602" s="129" t="s">
        <v>269</v>
      </c>
      <c r="G602" s="124">
        <v>3</v>
      </c>
      <c r="H602" s="124" t="s">
        <v>314</v>
      </c>
      <c r="I602" s="125">
        <v>1365.9</v>
      </c>
      <c r="J602" s="125">
        <v>1149.9000000000001</v>
      </c>
      <c r="K602" s="125">
        <v>1149.9000000000001</v>
      </c>
      <c r="L602" s="126">
        <v>40</v>
      </c>
      <c r="M602" s="124" t="s">
        <v>267</v>
      </c>
      <c r="N602" s="124" t="s">
        <v>271</v>
      </c>
      <c r="O602" s="127" t="s">
        <v>1401</v>
      </c>
      <c r="P602" s="128">
        <v>3158283.01</v>
      </c>
      <c r="Q602" s="128">
        <v>0</v>
      </c>
      <c r="R602" s="128">
        <v>0</v>
      </c>
      <c r="S602" s="128">
        <f t="shared" si="145"/>
        <v>3158283.01</v>
      </c>
      <c r="T602" s="128">
        <f t="shared" si="149"/>
        <v>2312.2358957463939</v>
      </c>
      <c r="U602" s="128">
        <v>7315.4690094443231</v>
      </c>
      <c r="V602" s="257">
        <f t="shared" si="150"/>
        <v>5003.2331136979292</v>
      </c>
      <c r="W602" s="257">
        <f>T602</f>
        <v>2312.2358957463939</v>
      </c>
      <c r="X602" s="257">
        <v>113.09</v>
      </c>
      <c r="Y602" s="258">
        <v>0</v>
      </c>
      <c r="Z602" s="258">
        <v>0</v>
      </c>
      <c r="AA602" s="258">
        <v>184.98</v>
      </c>
      <c r="AB602" s="258">
        <v>0</v>
      </c>
      <c r="AC602" s="258">
        <v>0</v>
      </c>
      <c r="AD602" s="258">
        <v>0</v>
      </c>
      <c r="AE602" s="258">
        <v>0</v>
      </c>
      <c r="AF602" s="257">
        <v>0</v>
      </c>
      <c r="AG602" s="258">
        <v>0</v>
      </c>
      <c r="AH602" s="257">
        <v>0</v>
      </c>
      <c r="AI602" s="258">
        <v>0</v>
      </c>
      <c r="AJ602" s="257">
        <v>0</v>
      </c>
      <c r="AK602" s="258">
        <v>0</v>
      </c>
      <c r="AL602" s="258">
        <v>0</v>
      </c>
      <c r="AM602" s="258">
        <v>0</v>
      </c>
      <c r="AN602" s="258"/>
      <c r="AO602" s="258">
        <v>0</v>
      </c>
    </row>
    <row r="603" spans="1:41" s="259" customFormat="1" ht="36" customHeight="1" x14ac:dyDescent="0.25">
      <c r="A603" s="259">
        <v>1</v>
      </c>
      <c r="B603" s="135">
        <f>SUBTOTAL(103,$A$552:A603)</f>
        <v>52</v>
      </c>
      <c r="C603" s="94" t="s">
        <v>1700</v>
      </c>
      <c r="D603" s="124">
        <v>1989</v>
      </c>
      <c r="E603" s="124"/>
      <c r="F603" s="129" t="s">
        <v>320</v>
      </c>
      <c r="G603" s="124">
        <v>7</v>
      </c>
      <c r="H603" s="124" t="s">
        <v>305</v>
      </c>
      <c r="I603" s="125">
        <v>4121.3999999999996</v>
      </c>
      <c r="J603" s="125">
        <v>3057</v>
      </c>
      <c r="K603" s="125">
        <v>3057</v>
      </c>
      <c r="L603" s="126">
        <v>163</v>
      </c>
      <c r="M603" s="124" t="s">
        <v>267</v>
      </c>
      <c r="N603" s="124" t="s">
        <v>271</v>
      </c>
      <c r="O603" s="127" t="s">
        <v>1703</v>
      </c>
      <c r="P603" s="128">
        <v>2934234.5</v>
      </c>
      <c r="Q603" s="128">
        <v>0</v>
      </c>
      <c r="R603" s="128">
        <v>0</v>
      </c>
      <c r="S603" s="128">
        <f t="shared" si="145"/>
        <v>2934234.5</v>
      </c>
      <c r="T603" s="128">
        <f t="shared" si="149"/>
        <v>711.9509147377106</v>
      </c>
      <c r="U603" s="128">
        <v>1120.7123792885914</v>
      </c>
      <c r="V603" s="257">
        <f t="shared" si="150"/>
        <v>408.76146455088076</v>
      </c>
      <c r="W603" s="257">
        <f t="shared" si="146"/>
        <v>686.34973407094674</v>
      </c>
      <c r="X603" s="257">
        <v>0</v>
      </c>
      <c r="Y603" s="258">
        <v>0</v>
      </c>
      <c r="Z603" s="258">
        <v>0</v>
      </c>
      <c r="AA603" s="258">
        <v>0</v>
      </c>
      <c r="AB603" s="258">
        <v>0</v>
      </c>
      <c r="AC603" s="258">
        <v>0</v>
      </c>
      <c r="AD603" s="258">
        <v>0</v>
      </c>
      <c r="AE603" s="258">
        <v>453.4</v>
      </c>
      <c r="AF603" s="257">
        <f>6238.91*AE603/I603</f>
        <v>686.34973407094674</v>
      </c>
      <c r="AG603" s="258">
        <v>0</v>
      </c>
      <c r="AH603" s="257">
        <v>0</v>
      </c>
      <c r="AI603" s="258">
        <v>0</v>
      </c>
      <c r="AJ603" s="257">
        <v>0</v>
      </c>
      <c r="AK603" s="258">
        <v>0</v>
      </c>
      <c r="AL603" s="258">
        <v>0</v>
      </c>
      <c r="AM603" s="258">
        <v>0</v>
      </c>
      <c r="AN603" s="258"/>
      <c r="AO603" s="258">
        <v>0</v>
      </c>
    </row>
    <row r="604" spans="1:41" s="259" customFormat="1" ht="36" customHeight="1" x14ac:dyDescent="0.25">
      <c r="A604" s="259">
        <v>1</v>
      </c>
      <c r="B604" s="135">
        <f>SUBTOTAL(103,$A$552:A604)</f>
        <v>53</v>
      </c>
      <c r="C604" s="94" t="s">
        <v>483</v>
      </c>
      <c r="D604" s="124">
        <v>1984</v>
      </c>
      <c r="E604" s="124"/>
      <c r="F604" s="129" t="s">
        <v>269</v>
      </c>
      <c r="G604" s="124">
        <v>12</v>
      </c>
      <c r="H604" s="124" t="s">
        <v>306</v>
      </c>
      <c r="I604" s="125">
        <v>6206.9</v>
      </c>
      <c r="J604" s="125">
        <v>5104.59</v>
      </c>
      <c r="K604" s="125">
        <v>5104.59</v>
      </c>
      <c r="L604" s="126">
        <v>242</v>
      </c>
      <c r="M604" s="124" t="s">
        <v>267</v>
      </c>
      <c r="N604" s="124" t="s">
        <v>271</v>
      </c>
      <c r="O604" s="127" t="s">
        <v>1078</v>
      </c>
      <c r="P604" s="128">
        <v>4050874.1399999997</v>
      </c>
      <c r="Q604" s="128">
        <v>0</v>
      </c>
      <c r="R604" s="128">
        <v>0</v>
      </c>
      <c r="S604" s="128">
        <f t="shared" si="145"/>
        <v>4050874.1399999997</v>
      </c>
      <c r="T604" s="128">
        <f t="shared" si="149"/>
        <v>652.64047108862712</v>
      </c>
      <c r="U604" s="128">
        <v>652.64047108862712</v>
      </c>
      <c r="V604" s="257">
        <f t="shared" si="150"/>
        <v>0</v>
      </c>
      <c r="W604" s="257">
        <f t="shared" si="146"/>
        <v>1746.0931044482752</v>
      </c>
      <c r="X604" s="257">
        <v>0</v>
      </c>
      <c r="Y604" s="258">
        <v>0</v>
      </c>
      <c r="Z604" s="258">
        <v>0</v>
      </c>
      <c r="AA604" s="258">
        <v>0</v>
      </c>
      <c r="AB604" s="258">
        <v>0</v>
      </c>
      <c r="AC604" s="258">
        <v>0</v>
      </c>
      <c r="AD604" s="258">
        <v>0</v>
      </c>
      <c r="AE604" s="258">
        <v>0</v>
      </c>
      <c r="AF604" s="257">
        <v>0</v>
      </c>
      <c r="AG604" s="258">
        <v>0</v>
      </c>
      <c r="AH604" s="257">
        <v>0</v>
      </c>
      <c r="AI604" s="258">
        <v>1389</v>
      </c>
      <c r="AJ604" s="257">
        <f>7802.61*AI604/I604</f>
        <v>1746.0931044482752</v>
      </c>
      <c r="AK604" s="258">
        <v>0</v>
      </c>
      <c r="AL604" s="258">
        <v>0</v>
      </c>
      <c r="AM604" s="258">
        <v>0</v>
      </c>
      <c r="AN604" s="258"/>
      <c r="AO604" s="258">
        <v>0</v>
      </c>
    </row>
    <row r="605" spans="1:41" s="259" customFormat="1" ht="36" customHeight="1" x14ac:dyDescent="0.25">
      <c r="A605" s="259">
        <v>1</v>
      </c>
      <c r="B605" s="135">
        <f>SUBTOTAL(103,$A$552:A605)</f>
        <v>54</v>
      </c>
      <c r="C605" s="94" t="s">
        <v>493</v>
      </c>
      <c r="D605" s="124">
        <v>1957</v>
      </c>
      <c r="E605" s="124"/>
      <c r="F605" s="129" t="s">
        <v>269</v>
      </c>
      <c r="G605" s="124">
        <v>2</v>
      </c>
      <c r="H605" s="124" t="s">
        <v>306</v>
      </c>
      <c r="I605" s="125">
        <v>718.26</v>
      </c>
      <c r="J605" s="125">
        <v>408.26</v>
      </c>
      <c r="K605" s="125">
        <v>408.26</v>
      </c>
      <c r="L605" s="126">
        <v>22</v>
      </c>
      <c r="M605" s="124" t="s">
        <v>267</v>
      </c>
      <c r="N605" s="124" t="s">
        <v>271</v>
      </c>
      <c r="O605" s="127" t="s">
        <v>1326</v>
      </c>
      <c r="P605" s="128">
        <v>1987488.72</v>
      </c>
      <c r="Q605" s="128">
        <v>0</v>
      </c>
      <c r="R605" s="128">
        <v>0</v>
      </c>
      <c r="S605" s="128">
        <f t="shared" si="145"/>
        <v>1987488.72</v>
      </c>
      <c r="T605" s="128">
        <f t="shared" si="149"/>
        <v>2767.0881296466459</v>
      </c>
      <c r="U605" s="128">
        <v>5612.1052627182362</v>
      </c>
      <c r="V605" s="257">
        <f t="shared" si="150"/>
        <v>2845.0171330715903</v>
      </c>
      <c r="W605" s="257">
        <f t="shared" si="146"/>
        <v>9493.9557124161165</v>
      </c>
      <c r="X605" s="257">
        <v>0</v>
      </c>
      <c r="Y605" s="258">
        <v>0</v>
      </c>
      <c r="Z605" s="258">
        <v>0</v>
      </c>
      <c r="AA605" s="258">
        <v>0</v>
      </c>
      <c r="AB605" s="258">
        <v>0</v>
      </c>
      <c r="AC605" s="258">
        <v>0</v>
      </c>
      <c r="AD605" s="258">
        <v>0</v>
      </c>
      <c r="AE605" s="258">
        <v>1093</v>
      </c>
      <c r="AF605" s="257">
        <f>6238.91*AE605/I605</f>
        <v>9493.9557124161165</v>
      </c>
      <c r="AG605" s="258">
        <v>0</v>
      </c>
      <c r="AH605" s="257">
        <v>0</v>
      </c>
      <c r="AI605" s="258">
        <v>0</v>
      </c>
      <c r="AJ605" s="257">
        <v>0</v>
      </c>
      <c r="AK605" s="258">
        <v>0</v>
      </c>
      <c r="AL605" s="258">
        <v>0</v>
      </c>
      <c r="AM605" s="258">
        <v>0</v>
      </c>
      <c r="AN605" s="258"/>
      <c r="AO605" s="258">
        <v>0</v>
      </c>
    </row>
    <row r="606" spans="1:41" s="259" customFormat="1" ht="36" customHeight="1" x14ac:dyDescent="0.25">
      <c r="A606" s="259">
        <v>1</v>
      </c>
      <c r="B606" s="135">
        <f>SUBTOTAL(103,$A$552:A606)</f>
        <v>55</v>
      </c>
      <c r="C606" s="94" t="s">
        <v>498</v>
      </c>
      <c r="D606" s="124">
        <v>1995</v>
      </c>
      <c r="E606" s="124"/>
      <c r="F606" s="129" t="s">
        <v>269</v>
      </c>
      <c r="G606" s="124">
        <v>9</v>
      </c>
      <c r="H606" s="124" t="s">
        <v>306</v>
      </c>
      <c r="I606" s="125">
        <v>6176.6</v>
      </c>
      <c r="J606" s="125">
        <v>5017.5</v>
      </c>
      <c r="K606" s="125">
        <v>5017.5</v>
      </c>
      <c r="L606" s="126">
        <v>299</v>
      </c>
      <c r="M606" s="124" t="s">
        <v>267</v>
      </c>
      <c r="N606" s="124" t="s">
        <v>271</v>
      </c>
      <c r="O606" s="127" t="s">
        <v>1078</v>
      </c>
      <c r="P606" s="128">
        <v>2420368.62</v>
      </c>
      <c r="Q606" s="128">
        <v>0</v>
      </c>
      <c r="R606" s="128">
        <v>0</v>
      </c>
      <c r="S606" s="128">
        <f t="shared" si="145"/>
        <v>2420368.62</v>
      </c>
      <c r="T606" s="128">
        <f t="shared" si="149"/>
        <v>391.86099472201533</v>
      </c>
      <c r="U606" s="128">
        <v>1033.8040022018586</v>
      </c>
      <c r="V606" s="257">
        <f t="shared" si="150"/>
        <v>641.94300747984323</v>
      </c>
      <c r="W606" s="257">
        <f t="shared" si="146"/>
        <v>548.8818595991321</v>
      </c>
      <c r="X606" s="257">
        <v>0</v>
      </c>
      <c r="Y606" s="258">
        <v>0</v>
      </c>
      <c r="Z606" s="258">
        <v>0</v>
      </c>
      <c r="AA606" s="258">
        <v>0</v>
      </c>
      <c r="AB606" s="258">
        <v>0</v>
      </c>
      <c r="AC606" s="258">
        <v>0</v>
      </c>
      <c r="AD606" s="258">
        <v>0</v>
      </c>
      <c r="AE606" s="258">
        <v>543.4</v>
      </c>
      <c r="AF606" s="257">
        <f>6238.91*AE606/I606</f>
        <v>548.8818595991321</v>
      </c>
      <c r="AG606" s="258">
        <v>0</v>
      </c>
      <c r="AH606" s="257">
        <v>0</v>
      </c>
      <c r="AI606" s="258">
        <v>0</v>
      </c>
      <c r="AJ606" s="257">
        <v>0</v>
      </c>
      <c r="AK606" s="258">
        <v>0</v>
      </c>
      <c r="AL606" s="258">
        <v>0</v>
      </c>
      <c r="AM606" s="258">
        <v>0</v>
      </c>
      <c r="AN606" s="258"/>
      <c r="AO606" s="258">
        <v>0</v>
      </c>
    </row>
    <row r="607" spans="1:41" s="259" customFormat="1" ht="36" customHeight="1" x14ac:dyDescent="0.25">
      <c r="A607" s="259">
        <v>1</v>
      </c>
      <c r="B607" s="135">
        <f>SUBTOTAL(103,$A$552:A607)</f>
        <v>56</v>
      </c>
      <c r="C607" s="94" t="s">
        <v>499</v>
      </c>
      <c r="D607" s="124">
        <v>1988</v>
      </c>
      <c r="E607" s="124"/>
      <c r="F607" s="129" t="s">
        <v>269</v>
      </c>
      <c r="G607" s="124">
        <v>5</v>
      </c>
      <c r="H607" s="124" t="s">
        <v>305</v>
      </c>
      <c r="I607" s="125">
        <v>1410.8</v>
      </c>
      <c r="J607" s="125">
        <v>1242.3</v>
      </c>
      <c r="K607" s="125">
        <v>1242.3</v>
      </c>
      <c r="L607" s="126">
        <v>70</v>
      </c>
      <c r="M607" s="124" t="s">
        <v>267</v>
      </c>
      <c r="N607" s="124" t="s">
        <v>271</v>
      </c>
      <c r="O607" s="127" t="s">
        <v>1078</v>
      </c>
      <c r="P607" s="128">
        <v>1273022.3799999999</v>
      </c>
      <c r="Q607" s="128">
        <v>0</v>
      </c>
      <c r="R607" s="128">
        <v>0</v>
      </c>
      <c r="S607" s="128">
        <f t="shared" si="145"/>
        <v>1273022.3799999999</v>
      </c>
      <c r="T607" s="128">
        <f t="shared" si="149"/>
        <v>902.34078537000278</v>
      </c>
      <c r="U607" s="128">
        <v>1553.0666997448257</v>
      </c>
      <c r="V607" s="257">
        <f t="shared" si="150"/>
        <v>650.72591437482288</v>
      </c>
      <c r="W607" s="257">
        <f t="shared" si="146"/>
        <v>2940.7961085908705</v>
      </c>
      <c r="X607" s="257">
        <v>0</v>
      </c>
      <c r="Y607" s="258">
        <v>0</v>
      </c>
      <c r="Z607" s="258">
        <v>0</v>
      </c>
      <c r="AA607" s="258">
        <v>0</v>
      </c>
      <c r="AB607" s="258">
        <v>0</v>
      </c>
      <c r="AC607" s="258">
        <v>0</v>
      </c>
      <c r="AD607" s="258">
        <v>0</v>
      </c>
      <c r="AE607" s="258">
        <v>665</v>
      </c>
      <c r="AF607" s="257">
        <f>6238.91*AE607/I607</f>
        <v>2940.7961085908705</v>
      </c>
      <c r="AG607" s="258">
        <v>0</v>
      </c>
      <c r="AH607" s="257">
        <v>0</v>
      </c>
      <c r="AI607" s="258">
        <v>0</v>
      </c>
      <c r="AJ607" s="257">
        <v>0</v>
      </c>
      <c r="AK607" s="258">
        <v>0</v>
      </c>
      <c r="AL607" s="258">
        <v>0</v>
      </c>
      <c r="AM607" s="258">
        <v>0</v>
      </c>
      <c r="AN607" s="258"/>
      <c r="AO607" s="258">
        <v>0</v>
      </c>
    </row>
    <row r="608" spans="1:41" s="259" customFormat="1" ht="36" customHeight="1" x14ac:dyDescent="0.25">
      <c r="A608" s="259">
        <v>1</v>
      </c>
      <c r="B608" s="135">
        <f>SUBTOTAL(103,$A$552:A608)</f>
        <v>57</v>
      </c>
      <c r="C608" s="94" t="s">
        <v>505</v>
      </c>
      <c r="D608" s="124">
        <v>1985</v>
      </c>
      <c r="E608" s="124"/>
      <c r="F608" s="129" t="s">
        <v>313</v>
      </c>
      <c r="G608" s="124">
        <v>2</v>
      </c>
      <c r="H608" s="124" t="s">
        <v>305</v>
      </c>
      <c r="I608" s="125">
        <v>617.79999999999995</v>
      </c>
      <c r="J608" s="125">
        <v>560.5</v>
      </c>
      <c r="K608" s="125">
        <v>560.5</v>
      </c>
      <c r="L608" s="126">
        <v>38</v>
      </c>
      <c r="M608" s="124" t="s">
        <v>267</v>
      </c>
      <c r="N608" s="124" t="s">
        <v>271</v>
      </c>
      <c r="O608" s="127" t="s">
        <v>1387</v>
      </c>
      <c r="P608" s="128">
        <v>2536990.1700000004</v>
      </c>
      <c r="Q608" s="128">
        <v>0</v>
      </c>
      <c r="R608" s="128">
        <v>0</v>
      </c>
      <c r="S608" s="128">
        <f t="shared" si="145"/>
        <v>2536990.1700000004</v>
      </c>
      <c r="T608" s="128">
        <f t="shared" si="149"/>
        <v>4106.4910488831347</v>
      </c>
      <c r="U608" s="128">
        <v>4955.0548883133697</v>
      </c>
      <c r="V608" s="257">
        <f t="shared" si="150"/>
        <v>848.56383943023502</v>
      </c>
      <c r="W608" s="257">
        <f t="shared" si="146"/>
        <v>10114.671414697314</v>
      </c>
      <c r="X608" s="257">
        <v>0</v>
      </c>
      <c r="Y608" s="258">
        <v>0</v>
      </c>
      <c r="Z608" s="258">
        <v>0</v>
      </c>
      <c r="AA608" s="258">
        <v>0</v>
      </c>
      <c r="AB608" s="258">
        <v>0</v>
      </c>
      <c r="AC608" s="258">
        <v>0</v>
      </c>
      <c r="AD608" s="258">
        <v>0</v>
      </c>
      <c r="AE608" s="258">
        <v>0</v>
      </c>
      <c r="AF608" s="257">
        <v>0</v>
      </c>
      <c r="AG608" s="258">
        <v>0</v>
      </c>
      <c r="AH608" s="257">
        <v>0</v>
      </c>
      <c r="AI608" s="258">
        <v>840</v>
      </c>
      <c r="AJ608" s="257">
        <f>7439.1*AI608/I608</f>
        <v>10114.671414697314</v>
      </c>
      <c r="AK608" s="258">
        <v>0</v>
      </c>
      <c r="AL608" s="258">
        <v>0</v>
      </c>
      <c r="AM608" s="258">
        <v>0</v>
      </c>
      <c r="AN608" s="258"/>
      <c r="AO608" s="258">
        <v>0</v>
      </c>
    </row>
    <row r="609" spans="1:41" s="259" customFormat="1" ht="36" customHeight="1" x14ac:dyDescent="0.25">
      <c r="A609" s="259">
        <v>1</v>
      </c>
      <c r="B609" s="135">
        <f>SUBTOTAL(103,$A$552:A609)</f>
        <v>58</v>
      </c>
      <c r="C609" s="94" t="s">
        <v>1624</v>
      </c>
      <c r="D609" s="124">
        <v>1962</v>
      </c>
      <c r="E609" s="124"/>
      <c r="F609" s="129" t="s">
        <v>269</v>
      </c>
      <c r="G609" s="124">
        <v>2</v>
      </c>
      <c r="H609" s="124" t="s">
        <v>305</v>
      </c>
      <c r="I609" s="125">
        <v>682.9</v>
      </c>
      <c r="J609" s="125">
        <v>653.4</v>
      </c>
      <c r="K609" s="125">
        <v>653.4</v>
      </c>
      <c r="L609" s="126">
        <v>36</v>
      </c>
      <c r="M609" s="124" t="s">
        <v>267</v>
      </c>
      <c r="N609" s="124" t="s">
        <v>271</v>
      </c>
      <c r="O609" s="127" t="s">
        <v>1390</v>
      </c>
      <c r="P609" s="128">
        <v>2380804.91</v>
      </c>
      <c r="Q609" s="128">
        <v>0</v>
      </c>
      <c r="R609" s="128">
        <v>0</v>
      </c>
      <c r="S609" s="128">
        <f t="shared" si="145"/>
        <v>2380804.91</v>
      </c>
      <c r="T609" s="128">
        <f t="shared" si="149"/>
        <v>3486.3155806120958</v>
      </c>
      <c r="U609" s="128">
        <v>5252.7293454385708</v>
      </c>
      <c r="V609" s="257">
        <f t="shared" si="150"/>
        <v>1766.413764826475</v>
      </c>
      <c r="W609" s="257">
        <f t="shared" si="146"/>
        <v>8222.3151266656914</v>
      </c>
      <c r="X609" s="257">
        <v>0</v>
      </c>
      <c r="Y609" s="258">
        <v>0</v>
      </c>
      <c r="Z609" s="258">
        <v>0</v>
      </c>
      <c r="AA609" s="258">
        <v>0</v>
      </c>
      <c r="AB609" s="258">
        <v>0</v>
      </c>
      <c r="AC609" s="258">
        <v>0</v>
      </c>
      <c r="AD609" s="258">
        <v>0</v>
      </c>
      <c r="AE609" s="258">
        <v>900</v>
      </c>
      <c r="AF609" s="257">
        <f>6238.91*AE609/I609</f>
        <v>8222.3151266656914</v>
      </c>
      <c r="AG609" s="258">
        <v>0</v>
      </c>
      <c r="AH609" s="257">
        <v>0</v>
      </c>
      <c r="AI609" s="258">
        <v>0</v>
      </c>
      <c r="AJ609" s="257">
        <v>0</v>
      </c>
      <c r="AK609" s="258">
        <v>0</v>
      </c>
      <c r="AL609" s="258">
        <v>0</v>
      </c>
      <c r="AM609" s="258">
        <v>0</v>
      </c>
      <c r="AN609" s="258"/>
      <c r="AO609" s="258">
        <v>0</v>
      </c>
    </row>
    <row r="610" spans="1:41" s="259" customFormat="1" ht="36" customHeight="1" x14ac:dyDescent="0.25">
      <c r="A610" s="259">
        <v>1</v>
      </c>
      <c r="B610" s="135">
        <f>SUBTOTAL(103,$A$552:A610)</f>
        <v>59</v>
      </c>
      <c r="C610" s="94" t="s">
        <v>1715</v>
      </c>
      <c r="D610" s="124">
        <v>1991</v>
      </c>
      <c r="E610" s="124"/>
      <c r="F610" s="129" t="s">
        <v>313</v>
      </c>
      <c r="G610" s="124">
        <v>9</v>
      </c>
      <c r="H610" s="124" t="s">
        <v>310</v>
      </c>
      <c r="I610" s="125">
        <v>8855.2999999999993</v>
      </c>
      <c r="J610" s="125">
        <v>8855.2999999999993</v>
      </c>
      <c r="K610" s="125">
        <v>8855.2999999999993</v>
      </c>
      <c r="L610" s="126">
        <v>382</v>
      </c>
      <c r="M610" s="124" t="s">
        <v>267</v>
      </c>
      <c r="N610" s="124" t="s">
        <v>271</v>
      </c>
      <c r="O610" s="127" t="s">
        <v>350</v>
      </c>
      <c r="P610" s="128">
        <v>8993212</v>
      </c>
      <c r="Q610" s="128">
        <v>0</v>
      </c>
      <c r="R610" s="128">
        <v>0</v>
      </c>
      <c r="S610" s="128">
        <f t="shared" si="145"/>
        <v>8993212</v>
      </c>
      <c r="T610" s="128">
        <f t="shared" si="149"/>
        <v>1015.5739500638036</v>
      </c>
      <c r="U610" s="128">
        <v>1110.205187853602</v>
      </c>
      <c r="V610" s="257">
        <f t="shared" si="150"/>
        <v>94.63123778979832</v>
      </c>
      <c r="W610" s="257">
        <f t="shared" si="146"/>
        <v>1128.3862906959675</v>
      </c>
      <c r="X610" s="257">
        <v>0</v>
      </c>
      <c r="Y610" s="258">
        <v>0</v>
      </c>
      <c r="Z610" s="258">
        <v>0</v>
      </c>
      <c r="AA610" s="258">
        <v>0</v>
      </c>
      <c r="AB610" s="258">
        <v>0</v>
      </c>
      <c r="AC610" s="258">
        <v>0</v>
      </c>
      <c r="AD610" s="258">
        <v>0</v>
      </c>
      <c r="AE610" s="258">
        <v>0</v>
      </c>
      <c r="AF610" s="257">
        <v>0</v>
      </c>
      <c r="AG610" s="258">
        <v>0</v>
      </c>
      <c r="AH610" s="257">
        <v>0</v>
      </c>
      <c r="AI610" s="258">
        <v>1343.2</v>
      </c>
      <c r="AJ610" s="257">
        <f>7439.1*AI610/I610</f>
        <v>1128.3862906959675</v>
      </c>
      <c r="AK610" s="258">
        <v>0</v>
      </c>
      <c r="AL610" s="258">
        <v>0</v>
      </c>
      <c r="AM610" s="258">
        <v>0</v>
      </c>
      <c r="AN610" s="258"/>
      <c r="AO610" s="258">
        <v>0</v>
      </c>
    </row>
    <row r="611" spans="1:41" s="259" customFormat="1" ht="36" customHeight="1" x14ac:dyDescent="0.25">
      <c r="A611" s="259">
        <v>1</v>
      </c>
      <c r="B611" s="135">
        <f>SUBTOTAL(103,$A$552:A611)</f>
        <v>60</v>
      </c>
      <c r="C611" s="94" t="s">
        <v>1716</v>
      </c>
      <c r="D611" s="130">
        <v>1998</v>
      </c>
      <c r="E611" s="124"/>
      <c r="F611" s="129" t="s">
        <v>269</v>
      </c>
      <c r="G611" s="124">
        <v>10</v>
      </c>
      <c r="H611" s="124" t="s">
        <v>305</v>
      </c>
      <c r="I611" s="125">
        <v>5111.5</v>
      </c>
      <c r="J611" s="125">
        <v>5111.5</v>
      </c>
      <c r="K611" s="125">
        <v>5111.5</v>
      </c>
      <c r="L611" s="126">
        <v>194</v>
      </c>
      <c r="M611" s="124" t="s">
        <v>267</v>
      </c>
      <c r="N611" s="124" t="s">
        <v>271</v>
      </c>
      <c r="O611" s="127" t="s">
        <v>1388</v>
      </c>
      <c r="P611" s="128">
        <v>4622702.9800000004</v>
      </c>
      <c r="Q611" s="128">
        <v>0</v>
      </c>
      <c r="R611" s="128">
        <v>0</v>
      </c>
      <c r="S611" s="128">
        <f t="shared" si="145"/>
        <v>4622702.9800000004</v>
      </c>
      <c r="T611" s="128">
        <f t="shared" si="149"/>
        <v>904.37307639636128</v>
      </c>
      <c r="U611" s="128">
        <v>1165.9397202386774</v>
      </c>
      <c r="V611" s="257">
        <f t="shared" si="150"/>
        <v>261.56664384231613</v>
      </c>
      <c r="W611" s="257">
        <f t="shared" si="146"/>
        <v>903.62985425022009</v>
      </c>
      <c r="X611" s="257">
        <v>0</v>
      </c>
      <c r="Y611" s="258">
        <v>0</v>
      </c>
      <c r="Z611" s="258">
        <v>0</v>
      </c>
      <c r="AA611" s="258">
        <v>0</v>
      </c>
      <c r="AB611" s="258">
        <v>0</v>
      </c>
      <c r="AC611" s="258">
        <v>2</v>
      </c>
      <c r="AD611" s="257">
        <f>2309452*AC611/I611</f>
        <v>903.62985425022009</v>
      </c>
      <c r="AE611" s="258">
        <v>0</v>
      </c>
      <c r="AF611" s="257">
        <v>0</v>
      </c>
      <c r="AG611" s="258">
        <v>0</v>
      </c>
      <c r="AH611" s="257">
        <v>0</v>
      </c>
      <c r="AI611" s="258">
        <v>0</v>
      </c>
      <c r="AJ611" s="257">
        <v>0</v>
      </c>
      <c r="AK611" s="258">
        <v>0</v>
      </c>
      <c r="AL611" s="258">
        <v>0</v>
      </c>
      <c r="AM611" s="258">
        <v>0</v>
      </c>
      <c r="AN611" s="258"/>
      <c r="AO611" s="258">
        <v>0</v>
      </c>
    </row>
    <row r="612" spans="1:41" s="259" customFormat="1" ht="36" customHeight="1" x14ac:dyDescent="0.25">
      <c r="A612" s="259">
        <v>1</v>
      </c>
      <c r="B612" s="135">
        <f>SUBTOTAL(103,$A$552:A612)</f>
        <v>61</v>
      </c>
      <c r="C612" s="94" t="s">
        <v>1891</v>
      </c>
      <c r="D612" s="124">
        <v>1970</v>
      </c>
      <c r="E612" s="124"/>
      <c r="F612" s="129" t="s">
        <v>269</v>
      </c>
      <c r="G612" s="124">
        <v>5</v>
      </c>
      <c r="H612" s="124" t="s">
        <v>305</v>
      </c>
      <c r="I612" s="128">
        <v>2303.6999999999998</v>
      </c>
      <c r="J612" s="128">
        <v>1759</v>
      </c>
      <c r="K612" s="128">
        <v>1399.2</v>
      </c>
      <c r="L612" s="126">
        <v>77</v>
      </c>
      <c r="M612" s="124" t="s">
        <v>267</v>
      </c>
      <c r="N612" s="124" t="s">
        <v>271</v>
      </c>
      <c r="O612" s="127" t="s">
        <v>1387</v>
      </c>
      <c r="P612" s="128">
        <v>2729580.86</v>
      </c>
      <c r="Q612" s="128">
        <v>0</v>
      </c>
      <c r="R612" s="128">
        <v>0</v>
      </c>
      <c r="S612" s="128">
        <f t="shared" si="145"/>
        <v>2729580.86</v>
      </c>
      <c r="T612" s="128">
        <f t="shared" si="149"/>
        <v>1184.8681946433999</v>
      </c>
      <c r="U612" s="128">
        <v>1625.0352129183486</v>
      </c>
      <c r="V612" s="257">
        <f t="shared" si="150"/>
        <v>440.16701827494876</v>
      </c>
      <c r="W612" s="257">
        <f t="shared" si="146"/>
        <v>1624.9277249641882</v>
      </c>
      <c r="X612" s="257">
        <v>0</v>
      </c>
      <c r="Y612" s="258">
        <v>0</v>
      </c>
      <c r="Z612" s="258">
        <v>0</v>
      </c>
      <c r="AA612" s="258">
        <v>0</v>
      </c>
      <c r="AB612" s="258">
        <v>0</v>
      </c>
      <c r="AC612" s="258">
        <v>0</v>
      </c>
      <c r="AD612" s="258">
        <v>0</v>
      </c>
      <c r="AE612" s="258">
        <v>600</v>
      </c>
      <c r="AF612" s="257">
        <f>6238.91*AE612/I612</f>
        <v>1624.9277249641882</v>
      </c>
      <c r="AG612" s="258">
        <v>0</v>
      </c>
      <c r="AH612" s="257">
        <v>0</v>
      </c>
      <c r="AI612" s="258">
        <v>0</v>
      </c>
      <c r="AJ612" s="257">
        <v>0</v>
      </c>
      <c r="AK612" s="258">
        <v>0</v>
      </c>
      <c r="AL612" s="258">
        <v>0</v>
      </c>
      <c r="AM612" s="258">
        <v>0</v>
      </c>
      <c r="AN612" s="258"/>
      <c r="AO612" s="258">
        <v>0</v>
      </c>
    </row>
    <row r="613" spans="1:41" s="259" customFormat="1" ht="36" customHeight="1" x14ac:dyDescent="0.25">
      <c r="A613" s="259">
        <v>1</v>
      </c>
      <c r="B613" s="135">
        <f>SUBTOTAL(103,$A$552:A613)</f>
        <v>62</v>
      </c>
      <c r="C613" s="94" t="s">
        <v>1947</v>
      </c>
      <c r="D613" s="124">
        <v>1970</v>
      </c>
      <c r="E613" s="124"/>
      <c r="F613" s="129" t="s">
        <v>1585</v>
      </c>
      <c r="G613" s="124" t="s">
        <v>310</v>
      </c>
      <c r="H613" s="124" t="s">
        <v>306</v>
      </c>
      <c r="I613" s="128">
        <v>1694.4</v>
      </c>
      <c r="J613" s="128">
        <v>1418.1</v>
      </c>
      <c r="K613" s="128">
        <v>1418.1</v>
      </c>
      <c r="L613" s="126">
        <v>111</v>
      </c>
      <c r="M613" s="124" t="s">
        <v>267</v>
      </c>
      <c r="N613" s="124" t="s">
        <v>271</v>
      </c>
      <c r="O613" s="127" t="s">
        <v>2296</v>
      </c>
      <c r="P613" s="128">
        <v>4574650</v>
      </c>
      <c r="Q613" s="128">
        <v>0</v>
      </c>
      <c r="R613" s="128">
        <v>0</v>
      </c>
      <c r="S613" s="128">
        <f t="shared" si="145"/>
        <v>4574650</v>
      </c>
      <c r="T613" s="128">
        <f t="shared" si="149"/>
        <v>2699.8642587346553</v>
      </c>
      <c r="U613" s="128">
        <v>3546.8498583569399</v>
      </c>
      <c r="V613" s="257">
        <f t="shared" si="150"/>
        <v>846.98559962228455</v>
      </c>
      <c r="W613" s="257">
        <f t="shared" si="146"/>
        <v>2378.9841395184135</v>
      </c>
      <c r="X613" s="257">
        <v>0</v>
      </c>
      <c r="Y613" s="258">
        <v>0</v>
      </c>
      <c r="Z613" s="258">
        <v>0</v>
      </c>
      <c r="AA613" s="258">
        <v>0</v>
      </c>
      <c r="AB613" s="258">
        <v>0</v>
      </c>
      <c r="AC613" s="258">
        <v>0</v>
      </c>
      <c r="AD613" s="258">
        <v>0</v>
      </c>
      <c r="AE613" s="258">
        <v>0</v>
      </c>
      <c r="AF613" s="257">
        <v>0</v>
      </c>
      <c r="AG613" s="258">
        <v>0</v>
      </c>
      <c r="AH613" s="257">
        <v>0</v>
      </c>
      <c r="AI613" s="258">
        <v>541.86</v>
      </c>
      <c r="AJ613" s="257">
        <f>7439.1*AI613/I613</f>
        <v>2378.9841395184135</v>
      </c>
      <c r="AK613" s="258">
        <v>0</v>
      </c>
      <c r="AL613" s="258">
        <v>0</v>
      </c>
      <c r="AM613" s="258">
        <v>0</v>
      </c>
      <c r="AN613" s="258"/>
      <c r="AO613" s="258">
        <v>0</v>
      </c>
    </row>
    <row r="614" spans="1:41" s="259" customFormat="1" ht="36" customHeight="1" x14ac:dyDescent="0.25">
      <c r="A614" s="259">
        <v>1</v>
      </c>
      <c r="B614" s="135">
        <f>SUBTOTAL(103,$A$552:A614)</f>
        <v>63</v>
      </c>
      <c r="C614" s="94" t="s">
        <v>1948</v>
      </c>
      <c r="D614" s="124">
        <v>1984</v>
      </c>
      <c r="E614" s="124"/>
      <c r="F614" s="129" t="s">
        <v>1585</v>
      </c>
      <c r="G614" s="124" t="s">
        <v>359</v>
      </c>
      <c r="H614" s="124" t="s">
        <v>306</v>
      </c>
      <c r="I614" s="128">
        <v>6288</v>
      </c>
      <c r="J614" s="128">
        <v>5117.7</v>
      </c>
      <c r="K614" s="128">
        <v>5074.5</v>
      </c>
      <c r="L614" s="126">
        <v>320</v>
      </c>
      <c r="M614" s="124" t="s">
        <v>267</v>
      </c>
      <c r="N614" s="124" t="s">
        <v>271</v>
      </c>
      <c r="O614" s="127" t="s">
        <v>1324</v>
      </c>
      <c r="P614" s="128">
        <v>4363000</v>
      </c>
      <c r="Q614" s="128">
        <v>0</v>
      </c>
      <c r="R614" s="128">
        <v>0</v>
      </c>
      <c r="S614" s="128">
        <f t="shared" si="145"/>
        <v>4363000</v>
      </c>
      <c r="T614" s="128">
        <f t="shared" si="149"/>
        <v>693.86132315521627</v>
      </c>
      <c r="U614" s="128">
        <v>851.21858301526709</v>
      </c>
      <c r="V614" s="257">
        <f t="shared" si="150"/>
        <v>157.35725986005082</v>
      </c>
      <c r="W614" s="257">
        <f t="shared" si="146"/>
        <v>1012.036927480916</v>
      </c>
      <c r="X614" s="257">
        <v>0</v>
      </c>
      <c r="Y614" s="258">
        <v>0</v>
      </c>
      <c r="Z614" s="258">
        <v>0</v>
      </c>
      <c r="AA614" s="258">
        <v>0</v>
      </c>
      <c r="AB614" s="258">
        <v>0</v>
      </c>
      <c r="AC614" s="258">
        <v>0</v>
      </c>
      <c r="AD614" s="258">
        <v>0</v>
      </c>
      <c r="AE614" s="258">
        <v>1020</v>
      </c>
      <c r="AF614" s="257">
        <f>6238.91*AE614/I614</f>
        <v>1012.036927480916</v>
      </c>
      <c r="AG614" s="258">
        <v>0</v>
      </c>
      <c r="AH614" s="257">
        <v>0</v>
      </c>
      <c r="AI614" s="258">
        <v>0</v>
      </c>
      <c r="AJ614" s="257">
        <v>0</v>
      </c>
      <c r="AK614" s="258">
        <v>0</v>
      </c>
      <c r="AL614" s="258">
        <v>0</v>
      </c>
      <c r="AM614" s="258">
        <v>0</v>
      </c>
      <c r="AN614" s="258"/>
      <c r="AO614" s="258">
        <v>0</v>
      </c>
    </row>
    <row r="615" spans="1:41" s="259" customFormat="1" ht="36" customHeight="1" x14ac:dyDescent="0.25">
      <c r="A615" s="259">
        <v>1</v>
      </c>
      <c r="B615" s="135">
        <f>SUBTOTAL(103,$A$552:A615)</f>
        <v>64</v>
      </c>
      <c r="C615" s="94" t="s">
        <v>1949</v>
      </c>
      <c r="D615" s="124">
        <v>1988</v>
      </c>
      <c r="E615" s="124"/>
      <c r="F615" s="129" t="s">
        <v>1585</v>
      </c>
      <c r="G615" s="124" t="s">
        <v>359</v>
      </c>
      <c r="H615" s="124" t="s">
        <v>306</v>
      </c>
      <c r="I615" s="128">
        <v>7446.7</v>
      </c>
      <c r="J615" s="128">
        <v>6148.5</v>
      </c>
      <c r="K615" s="128">
        <v>5708.1</v>
      </c>
      <c r="L615" s="126">
        <v>289</v>
      </c>
      <c r="M615" s="124" t="s">
        <v>267</v>
      </c>
      <c r="N615" s="124" t="s">
        <v>271</v>
      </c>
      <c r="O615" s="127" t="s">
        <v>1324</v>
      </c>
      <c r="P615" s="128">
        <v>4363000</v>
      </c>
      <c r="Q615" s="128">
        <v>0</v>
      </c>
      <c r="R615" s="128">
        <v>0</v>
      </c>
      <c r="S615" s="128">
        <f t="shared" si="145"/>
        <v>4363000</v>
      </c>
      <c r="T615" s="128">
        <f t="shared" si="149"/>
        <v>585.89710878644235</v>
      </c>
      <c r="U615" s="128">
        <v>718.76971678730172</v>
      </c>
      <c r="V615" s="257">
        <f t="shared" si="150"/>
        <v>132.87260800085937</v>
      </c>
      <c r="W615" s="257">
        <f t="shared" si="146"/>
        <v>293.23304282433833</v>
      </c>
      <c r="X615" s="257">
        <v>0</v>
      </c>
      <c r="Y615" s="258">
        <v>0</v>
      </c>
      <c r="Z615" s="258">
        <v>0</v>
      </c>
      <c r="AA615" s="258">
        <v>0</v>
      </c>
      <c r="AB615" s="258">
        <v>0</v>
      </c>
      <c r="AC615" s="258">
        <v>0</v>
      </c>
      <c r="AD615" s="258">
        <v>0</v>
      </c>
      <c r="AE615" s="258">
        <v>350</v>
      </c>
      <c r="AF615" s="257">
        <f>6238.91*AE615/I615</f>
        <v>293.23304282433833</v>
      </c>
      <c r="AG615" s="258">
        <v>0</v>
      </c>
      <c r="AH615" s="257">
        <v>0</v>
      </c>
      <c r="AI615" s="258">
        <v>0</v>
      </c>
      <c r="AJ615" s="257">
        <v>0</v>
      </c>
      <c r="AK615" s="258">
        <v>0</v>
      </c>
      <c r="AL615" s="258">
        <v>0</v>
      </c>
      <c r="AM615" s="258">
        <v>0</v>
      </c>
      <c r="AN615" s="258"/>
      <c r="AO615" s="258">
        <v>0</v>
      </c>
    </row>
    <row r="616" spans="1:41" s="259" customFormat="1" ht="36" customHeight="1" x14ac:dyDescent="0.25">
      <c r="A616" s="259">
        <v>1</v>
      </c>
      <c r="B616" s="135">
        <f>SUBTOTAL(103,$A$552:A616)</f>
        <v>65</v>
      </c>
      <c r="C616" s="94" t="s">
        <v>1950</v>
      </c>
      <c r="D616" s="124">
        <v>1972</v>
      </c>
      <c r="E616" s="124"/>
      <c r="F616" s="129" t="s">
        <v>1585</v>
      </c>
      <c r="G616" s="124" t="s">
        <v>353</v>
      </c>
      <c r="H616" s="124" t="s">
        <v>305</v>
      </c>
      <c r="I616" s="128">
        <v>4729.3</v>
      </c>
      <c r="J616" s="128">
        <v>2860.4</v>
      </c>
      <c r="K616" s="128">
        <v>2738.6</v>
      </c>
      <c r="L616" s="126">
        <v>204</v>
      </c>
      <c r="M616" s="124" t="s">
        <v>267</v>
      </c>
      <c r="N616" s="124" t="s">
        <v>271</v>
      </c>
      <c r="O616" s="127" t="s">
        <v>1324</v>
      </c>
      <c r="P616" s="128">
        <v>5178754.45</v>
      </c>
      <c r="Q616" s="128">
        <v>0</v>
      </c>
      <c r="R616" s="128">
        <v>0</v>
      </c>
      <c r="S616" s="128">
        <f t="shared" ref="S616" si="151">P616-Q616-R616</f>
        <v>5178754.45</v>
      </c>
      <c r="T616" s="128">
        <f t="shared" si="149"/>
        <v>1095.0361469984987</v>
      </c>
      <c r="U616" s="128">
        <v>1371.3566151438902</v>
      </c>
      <c r="V616" s="257">
        <f t="shared" si="150"/>
        <v>276.32046814539149</v>
      </c>
      <c r="W616" s="257">
        <f t="shared" ref="W616:W620" si="152">X616+Y616+Z616+AA616+AB616+AD616+AF616+AH616+AJ616+AL616+AN616+AO616</f>
        <v>645.09060326052474</v>
      </c>
      <c r="X616" s="257">
        <v>0</v>
      </c>
      <c r="Y616" s="258">
        <v>0</v>
      </c>
      <c r="Z616" s="258">
        <v>0</v>
      </c>
      <c r="AA616" s="258">
        <v>0</v>
      </c>
      <c r="AB616" s="258">
        <v>0</v>
      </c>
      <c r="AC616" s="258">
        <v>0</v>
      </c>
      <c r="AD616" s="258">
        <v>0</v>
      </c>
      <c r="AE616" s="258">
        <v>489</v>
      </c>
      <c r="AF616" s="257">
        <f>6238.91*AE616/I616</f>
        <v>645.09060326052474</v>
      </c>
      <c r="AG616" s="258">
        <v>0</v>
      </c>
      <c r="AH616" s="257">
        <v>0</v>
      </c>
      <c r="AI616" s="258">
        <v>0</v>
      </c>
      <c r="AJ616" s="257">
        <v>0</v>
      </c>
      <c r="AK616" s="258">
        <v>0</v>
      </c>
      <c r="AL616" s="258">
        <v>0</v>
      </c>
      <c r="AM616" s="258">
        <v>0</v>
      </c>
      <c r="AN616" s="258"/>
      <c r="AO616" s="258">
        <v>0</v>
      </c>
    </row>
    <row r="617" spans="1:41" s="259" customFormat="1" ht="36" customHeight="1" x14ac:dyDescent="0.25">
      <c r="A617" s="259">
        <v>1</v>
      </c>
      <c r="B617" s="135">
        <f>SUBTOTAL(103,$A$552:A617)</f>
        <v>66</v>
      </c>
      <c r="C617" s="94" t="s">
        <v>1070</v>
      </c>
      <c r="D617" s="124">
        <v>1959</v>
      </c>
      <c r="E617" s="124"/>
      <c r="F617" s="129" t="s">
        <v>269</v>
      </c>
      <c r="G617" s="124">
        <v>2</v>
      </c>
      <c r="H617" s="124" t="s">
        <v>305</v>
      </c>
      <c r="I617" s="128">
        <v>918.1</v>
      </c>
      <c r="J617" s="128">
        <v>907</v>
      </c>
      <c r="K617" s="128">
        <v>907</v>
      </c>
      <c r="L617" s="126">
        <v>40</v>
      </c>
      <c r="M617" s="124" t="s">
        <v>267</v>
      </c>
      <c r="N617" s="124" t="s">
        <v>271</v>
      </c>
      <c r="O617" s="127" t="s">
        <v>1078</v>
      </c>
      <c r="P617" s="128">
        <v>2112589</v>
      </c>
      <c r="Q617" s="128">
        <v>0</v>
      </c>
      <c r="R617" s="128">
        <v>0</v>
      </c>
      <c r="S617" s="128">
        <f>P617-R617-Q617</f>
        <v>2112589</v>
      </c>
      <c r="T617" s="128">
        <f t="shared" si="149"/>
        <v>2301.0445485241257</v>
      </c>
      <c r="U617" s="128">
        <v>3409.3181570635006</v>
      </c>
      <c r="V617" s="257">
        <f t="shared" si="150"/>
        <v>1108.2736085393749</v>
      </c>
      <c r="W617" s="257">
        <f t="shared" si="152"/>
        <v>3893.7974403659728</v>
      </c>
      <c r="X617" s="257">
        <v>0</v>
      </c>
      <c r="Y617" s="258">
        <v>0</v>
      </c>
      <c r="Z617" s="258">
        <v>0</v>
      </c>
      <c r="AA617" s="258">
        <v>0</v>
      </c>
      <c r="AB617" s="258">
        <v>0</v>
      </c>
      <c r="AC617" s="258">
        <v>0</v>
      </c>
      <c r="AD617" s="258">
        <v>0</v>
      </c>
      <c r="AE617" s="258">
        <v>573</v>
      </c>
      <c r="AF617" s="257">
        <f>6238.91*AE617/I617</f>
        <v>3893.7974403659728</v>
      </c>
      <c r="AG617" s="258">
        <v>0</v>
      </c>
      <c r="AH617" s="257">
        <v>0</v>
      </c>
      <c r="AI617" s="258">
        <v>0</v>
      </c>
      <c r="AJ617" s="257">
        <v>0</v>
      </c>
      <c r="AK617" s="258">
        <v>0</v>
      </c>
      <c r="AL617" s="258">
        <v>0</v>
      </c>
      <c r="AM617" s="258">
        <v>0</v>
      </c>
      <c r="AN617" s="258"/>
      <c r="AO617" s="258">
        <v>0</v>
      </c>
    </row>
    <row r="618" spans="1:41" s="259" customFormat="1" ht="36" customHeight="1" x14ac:dyDescent="0.25">
      <c r="A618" s="259">
        <v>1</v>
      </c>
      <c r="B618" s="135">
        <f>SUBTOTAL(103,$A$552:A618)</f>
        <v>67</v>
      </c>
      <c r="C618" s="94" t="s">
        <v>490</v>
      </c>
      <c r="D618" s="130">
        <v>1989</v>
      </c>
      <c r="E618" s="124"/>
      <c r="F618" s="129" t="s">
        <v>269</v>
      </c>
      <c r="G618" s="124">
        <v>5</v>
      </c>
      <c r="H618" s="124" t="s">
        <v>314</v>
      </c>
      <c r="I618" s="125">
        <v>2454.8000000000002</v>
      </c>
      <c r="J618" s="125">
        <v>1816.2</v>
      </c>
      <c r="K618" s="125">
        <v>1749.1</v>
      </c>
      <c r="L618" s="126">
        <v>71</v>
      </c>
      <c r="M618" s="124" t="s">
        <v>267</v>
      </c>
      <c r="N618" s="124" t="s">
        <v>271</v>
      </c>
      <c r="O618" s="127" t="s">
        <v>1387</v>
      </c>
      <c r="P618" s="128">
        <v>2556530.7300000004</v>
      </c>
      <c r="Q618" s="128">
        <v>0</v>
      </c>
      <c r="R618" s="128">
        <v>0</v>
      </c>
      <c r="S618" s="128">
        <f t="shared" ref="S618:S640" si="153">P618-Q618-R618</f>
        <v>2556530.7300000004</v>
      </c>
      <c r="T618" s="128">
        <f t="shared" si="149"/>
        <v>1041.4415553201891</v>
      </c>
      <c r="U618" s="128">
        <v>1767.2770368258105</v>
      </c>
      <c r="V618" s="257">
        <f t="shared" si="150"/>
        <v>725.83548150562137</v>
      </c>
      <c r="W618" s="257">
        <f t="shared" si="152"/>
        <v>4004.8883819455759</v>
      </c>
      <c r="X618" s="257">
        <v>0</v>
      </c>
      <c r="Y618" s="258">
        <v>0</v>
      </c>
      <c r="Z618" s="258">
        <v>0</v>
      </c>
      <c r="AA618" s="258">
        <v>0</v>
      </c>
      <c r="AB618" s="258">
        <v>0</v>
      </c>
      <c r="AC618" s="258">
        <v>4</v>
      </c>
      <c r="AD618" s="257">
        <f>2457800*AC618/I618</f>
        <v>4004.8883819455759</v>
      </c>
      <c r="AE618" s="258">
        <v>0</v>
      </c>
      <c r="AF618" s="257">
        <v>0</v>
      </c>
      <c r="AG618" s="258">
        <v>0</v>
      </c>
      <c r="AH618" s="257">
        <v>0</v>
      </c>
      <c r="AI618" s="258">
        <v>0</v>
      </c>
      <c r="AJ618" s="257">
        <v>0</v>
      </c>
      <c r="AK618" s="258">
        <v>0</v>
      </c>
      <c r="AL618" s="258">
        <v>0</v>
      </c>
      <c r="AM618" s="258">
        <v>0</v>
      </c>
      <c r="AN618" s="258"/>
      <c r="AO618" s="258">
        <v>0</v>
      </c>
    </row>
    <row r="619" spans="1:41" s="259" customFormat="1" ht="36" customHeight="1" x14ac:dyDescent="0.25">
      <c r="A619" s="259">
        <v>1</v>
      </c>
      <c r="B619" s="135">
        <f>SUBTOTAL(103,$A$552:A619)</f>
        <v>68</v>
      </c>
      <c r="C619" s="94" t="s">
        <v>1101</v>
      </c>
      <c r="D619" s="130">
        <v>1974</v>
      </c>
      <c r="E619" s="124"/>
      <c r="F619" s="129" t="s">
        <v>1585</v>
      </c>
      <c r="G619" s="124" t="s">
        <v>353</v>
      </c>
      <c r="H619" s="124" t="s">
        <v>310</v>
      </c>
      <c r="I619" s="125">
        <v>4916.8</v>
      </c>
      <c r="J619" s="125">
        <v>4565.5</v>
      </c>
      <c r="K619" s="125">
        <v>4565.5</v>
      </c>
      <c r="L619" s="126">
        <v>114</v>
      </c>
      <c r="M619" s="124" t="s">
        <v>267</v>
      </c>
      <c r="N619" s="124" t="s">
        <v>271</v>
      </c>
      <c r="O619" s="127" t="s">
        <v>1705</v>
      </c>
      <c r="P619" s="128">
        <v>2262188.67</v>
      </c>
      <c r="Q619" s="128">
        <v>0</v>
      </c>
      <c r="R619" s="128">
        <v>0</v>
      </c>
      <c r="S619" s="128">
        <f t="shared" si="153"/>
        <v>2262188.67</v>
      </c>
      <c r="T619" s="128">
        <f t="shared" si="149"/>
        <v>460.09369305239176</v>
      </c>
      <c r="U619" s="128">
        <v>1558.4267328343637</v>
      </c>
      <c r="V619" s="257">
        <f t="shared" si="150"/>
        <v>1098.333039781972</v>
      </c>
      <c r="W619" s="257">
        <f t="shared" si="152"/>
        <v>1207.9894077448748</v>
      </c>
      <c r="X619" s="257">
        <v>0</v>
      </c>
      <c r="Y619" s="258">
        <v>0</v>
      </c>
      <c r="Z619" s="258">
        <v>0</v>
      </c>
      <c r="AA619" s="258">
        <v>0</v>
      </c>
      <c r="AB619" s="258">
        <v>0</v>
      </c>
      <c r="AC619" s="258">
        <v>0</v>
      </c>
      <c r="AD619" s="258">
        <v>0</v>
      </c>
      <c r="AE619" s="258">
        <v>952</v>
      </c>
      <c r="AF619" s="257">
        <f>6238.91*AE619/I619</f>
        <v>1207.9894077448748</v>
      </c>
      <c r="AG619" s="258">
        <v>0</v>
      </c>
      <c r="AH619" s="257">
        <v>0</v>
      </c>
      <c r="AI619" s="258">
        <v>0</v>
      </c>
      <c r="AJ619" s="257">
        <v>0</v>
      </c>
      <c r="AK619" s="258">
        <v>0</v>
      </c>
      <c r="AL619" s="258">
        <v>0</v>
      </c>
      <c r="AM619" s="258">
        <v>0</v>
      </c>
      <c r="AN619" s="258"/>
      <c r="AO619" s="258">
        <v>0</v>
      </c>
    </row>
    <row r="620" spans="1:41" s="259" customFormat="1" ht="36" customHeight="1" x14ac:dyDescent="0.25">
      <c r="A620" s="259">
        <v>1</v>
      </c>
      <c r="B620" s="135">
        <f>SUBTOTAL(103,$A$552:A620)</f>
        <v>69</v>
      </c>
      <c r="C620" s="94" t="s">
        <v>1597</v>
      </c>
      <c r="D620" s="130">
        <v>1970</v>
      </c>
      <c r="E620" s="124"/>
      <c r="F620" s="129" t="s">
        <v>269</v>
      </c>
      <c r="G620" s="124">
        <v>5</v>
      </c>
      <c r="H620" s="124" t="s">
        <v>310</v>
      </c>
      <c r="I620" s="125">
        <v>12297.5</v>
      </c>
      <c r="J620" s="125">
        <v>3386.1</v>
      </c>
      <c r="K620" s="125">
        <v>3386.1</v>
      </c>
      <c r="L620" s="126">
        <v>153</v>
      </c>
      <c r="M620" s="124" t="s">
        <v>267</v>
      </c>
      <c r="N620" s="124" t="s">
        <v>271</v>
      </c>
      <c r="O620" s="127" t="s">
        <v>1601</v>
      </c>
      <c r="P620" s="128">
        <v>4542675.7399999993</v>
      </c>
      <c r="Q620" s="128">
        <v>0</v>
      </c>
      <c r="R620" s="128">
        <v>0</v>
      </c>
      <c r="S620" s="128">
        <f t="shared" si="153"/>
        <v>4542675.7399999993</v>
      </c>
      <c r="T620" s="128">
        <f t="shared" si="149"/>
        <v>369.39831185200239</v>
      </c>
      <c r="U620" s="128">
        <v>569.64038300467575</v>
      </c>
      <c r="V620" s="257">
        <f t="shared" si="150"/>
        <v>200.24207115267336</v>
      </c>
      <c r="W620" s="257">
        <f t="shared" si="152"/>
        <v>303.38427973165273</v>
      </c>
      <c r="X620" s="257">
        <v>0</v>
      </c>
      <c r="Y620" s="258">
        <v>0</v>
      </c>
      <c r="Z620" s="258">
        <v>0</v>
      </c>
      <c r="AA620" s="258">
        <v>0</v>
      </c>
      <c r="AB620" s="258">
        <v>0</v>
      </c>
      <c r="AC620" s="258">
        <v>0</v>
      </c>
      <c r="AD620" s="258">
        <v>0</v>
      </c>
      <c r="AE620" s="258">
        <v>598</v>
      </c>
      <c r="AF620" s="257">
        <f>6238.91*AE620/I620</f>
        <v>303.38427973165273</v>
      </c>
      <c r="AG620" s="258">
        <v>0</v>
      </c>
      <c r="AH620" s="257">
        <v>0</v>
      </c>
      <c r="AI620" s="258">
        <v>0</v>
      </c>
      <c r="AJ620" s="257">
        <v>0</v>
      </c>
      <c r="AK620" s="258">
        <v>0</v>
      </c>
      <c r="AL620" s="258">
        <v>0</v>
      </c>
      <c r="AM620" s="258">
        <v>0</v>
      </c>
      <c r="AN620" s="258"/>
      <c r="AO620" s="258">
        <v>0</v>
      </c>
    </row>
    <row r="621" spans="1:41" s="259" customFormat="1" ht="36" customHeight="1" x14ac:dyDescent="0.25">
      <c r="A621" s="259">
        <v>1</v>
      </c>
      <c r="B621" s="135">
        <f>SUBTOTAL(103,$A$552:A621)</f>
        <v>70</v>
      </c>
      <c r="C621" s="94" t="s">
        <v>582</v>
      </c>
      <c r="D621" s="130">
        <v>1987</v>
      </c>
      <c r="E621" s="124"/>
      <c r="F621" s="129" t="s">
        <v>320</v>
      </c>
      <c r="G621" s="124" t="s">
        <v>353</v>
      </c>
      <c r="H621" s="124" t="s">
        <v>310</v>
      </c>
      <c r="I621" s="125">
        <v>3579.9</v>
      </c>
      <c r="J621" s="125">
        <v>3187.3</v>
      </c>
      <c r="K621" s="125">
        <v>3187.3</v>
      </c>
      <c r="L621" s="126">
        <v>157</v>
      </c>
      <c r="M621" s="124" t="s">
        <v>267</v>
      </c>
      <c r="N621" s="124" t="s">
        <v>271</v>
      </c>
      <c r="O621" s="127" t="s">
        <v>2298</v>
      </c>
      <c r="P621" s="128">
        <v>1966231.38</v>
      </c>
      <c r="Q621" s="128">
        <v>0</v>
      </c>
      <c r="R621" s="128">
        <v>0</v>
      </c>
      <c r="S621" s="128">
        <f t="shared" si="153"/>
        <v>1966231.38</v>
      </c>
      <c r="T621" s="128">
        <f t="shared" si="149"/>
        <v>549.24198441297233</v>
      </c>
      <c r="U621" s="128">
        <v>1604.7868272856783</v>
      </c>
      <c r="V621" s="257">
        <f t="shared" si="150"/>
        <v>1055.5448428727059</v>
      </c>
      <c r="W621" s="257">
        <f t="shared" ref="W621:W640" si="154">T621</f>
        <v>549.24198441297233</v>
      </c>
      <c r="X621" s="257">
        <v>0</v>
      </c>
      <c r="Y621" s="258">
        <v>0</v>
      </c>
      <c r="Z621" s="258">
        <v>0</v>
      </c>
      <c r="AA621" s="258">
        <v>0</v>
      </c>
      <c r="AB621" s="258">
        <v>0</v>
      </c>
      <c r="AC621" s="258">
        <v>0</v>
      </c>
      <c r="AD621" s="258">
        <v>0</v>
      </c>
      <c r="AE621" s="258">
        <v>0</v>
      </c>
      <c r="AF621" s="257">
        <v>0</v>
      </c>
      <c r="AG621" s="258">
        <v>0</v>
      </c>
      <c r="AH621" s="257">
        <v>0</v>
      </c>
      <c r="AI621" s="258">
        <v>0</v>
      </c>
      <c r="AJ621" s="257">
        <v>0</v>
      </c>
      <c r="AK621" s="258">
        <v>0</v>
      </c>
      <c r="AL621" s="258">
        <v>0</v>
      </c>
      <c r="AM621" s="258">
        <v>0</v>
      </c>
      <c r="AN621" s="258"/>
      <c r="AO621" s="258">
        <v>0</v>
      </c>
    </row>
    <row r="622" spans="1:41" s="259" customFormat="1" ht="36" customHeight="1" x14ac:dyDescent="0.25">
      <c r="A622" s="259">
        <v>1</v>
      </c>
      <c r="B622" s="135">
        <f>SUBTOTAL(103,$A$552:A622)</f>
        <v>71</v>
      </c>
      <c r="C622" s="94" t="s">
        <v>1598</v>
      </c>
      <c r="D622" s="130">
        <v>1960</v>
      </c>
      <c r="E622" s="124"/>
      <c r="F622" s="129" t="s">
        <v>1585</v>
      </c>
      <c r="G622" s="124" t="s">
        <v>310</v>
      </c>
      <c r="H622" s="124" t="s">
        <v>305</v>
      </c>
      <c r="I622" s="125">
        <v>1706.1</v>
      </c>
      <c r="J622" s="125">
        <v>1266.5999999999999</v>
      </c>
      <c r="K622" s="125">
        <v>1266.5999999999999</v>
      </c>
      <c r="L622" s="126">
        <v>56</v>
      </c>
      <c r="M622" s="124" t="s">
        <v>267</v>
      </c>
      <c r="N622" s="124" t="s">
        <v>271</v>
      </c>
      <c r="O622" s="127" t="s">
        <v>1324</v>
      </c>
      <c r="P622" s="128">
        <v>2739411.65</v>
      </c>
      <c r="Q622" s="128">
        <v>0</v>
      </c>
      <c r="R622" s="128">
        <v>0</v>
      </c>
      <c r="S622" s="128">
        <f t="shared" si="153"/>
        <v>2739411.65</v>
      </c>
      <c r="T622" s="128">
        <f t="shared" si="149"/>
        <v>1605.6571420198113</v>
      </c>
      <c r="U622" s="128">
        <v>5729.4281695094078</v>
      </c>
      <c r="V622" s="257">
        <f t="shared" si="150"/>
        <v>4123.7710274895962</v>
      </c>
      <c r="W622" s="257">
        <f t="shared" si="154"/>
        <v>1605.6571420198113</v>
      </c>
      <c r="X622" s="257">
        <v>0</v>
      </c>
      <c r="Y622" s="258">
        <v>0</v>
      </c>
      <c r="Z622" s="258">
        <v>0</v>
      </c>
      <c r="AA622" s="258">
        <v>0</v>
      </c>
      <c r="AB622" s="258">
        <v>0</v>
      </c>
      <c r="AC622" s="258">
        <v>0</v>
      </c>
      <c r="AD622" s="258">
        <v>0</v>
      </c>
      <c r="AE622" s="258">
        <v>0</v>
      </c>
      <c r="AF622" s="257">
        <v>0</v>
      </c>
      <c r="AG622" s="258">
        <v>0</v>
      </c>
      <c r="AH622" s="257">
        <v>0</v>
      </c>
      <c r="AI622" s="258">
        <v>0</v>
      </c>
      <c r="AJ622" s="257">
        <v>0</v>
      </c>
      <c r="AK622" s="258">
        <v>0</v>
      </c>
      <c r="AL622" s="258">
        <v>0</v>
      </c>
      <c r="AM622" s="258">
        <v>0</v>
      </c>
      <c r="AN622" s="258"/>
      <c r="AO622" s="258">
        <v>0</v>
      </c>
    </row>
    <row r="623" spans="1:41" s="259" customFormat="1" ht="36" customHeight="1" x14ac:dyDescent="0.25">
      <c r="A623" s="259">
        <v>1</v>
      </c>
      <c r="B623" s="135">
        <f>SUBTOTAL(103,$A$552:A623)</f>
        <v>72</v>
      </c>
      <c r="C623" s="94" t="s">
        <v>500</v>
      </c>
      <c r="D623" s="124">
        <v>1980</v>
      </c>
      <c r="E623" s="124"/>
      <c r="F623" s="129" t="s">
        <v>320</v>
      </c>
      <c r="G623" s="124" t="s">
        <v>353</v>
      </c>
      <c r="H623" s="124" t="s">
        <v>310</v>
      </c>
      <c r="I623" s="125">
        <v>3319.7</v>
      </c>
      <c r="J623" s="125">
        <v>3048.7</v>
      </c>
      <c r="K623" s="125">
        <v>3048.7</v>
      </c>
      <c r="L623" s="126">
        <v>147</v>
      </c>
      <c r="M623" s="124" t="s">
        <v>267</v>
      </c>
      <c r="N623" s="124" t="s">
        <v>271</v>
      </c>
      <c r="O623" s="127" t="s">
        <v>1705</v>
      </c>
      <c r="P623" s="128">
        <v>4074712.4</v>
      </c>
      <c r="Q623" s="128">
        <v>0</v>
      </c>
      <c r="R623" s="128">
        <v>0</v>
      </c>
      <c r="S623" s="128">
        <f t="shared" si="153"/>
        <v>4074712.4</v>
      </c>
      <c r="T623" s="128">
        <f t="shared" si="149"/>
        <v>1227.4339247522366</v>
      </c>
      <c r="U623" s="128">
        <v>1508.6158387806129</v>
      </c>
      <c r="V623" s="257">
        <f t="shared" si="150"/>
        <v>281.18191402837624</v>
      </c>
      <c r="W623" s="257">
        <f t="shared" si="154"/>
        <v>1227.4339247522366</v>
      </c>
      <c r="X623" s="257">
        <v>0</v>
      </c>
      <c r="Y623" s="258">
        <v>0</v>
      </c>
      <c r="Z623" s="258">
        <v>0</v>
      </c>
      <c r="AA623" s="258">
        <v>0</v>
      </c>
      <c r="AB623" s="258">
        <v>0</v>
      </c>
      <c r="AC623" s="258">
        <v>0</v>
      </c>
      <c r="AD623" s="258">
        <v>0</v>
      </c>
      <c r="AE623" s="258">
        <v>0</v>
      </c>
      <c r="AF623" s="257">
        <v>0</v>
      </c>
      <c r="AG623" s="258">
        <v>0</v>
      </c>
      <c r="AH623" s="257">
        <v>0</v>
      </c>
      <c r="AI623" s="258">
        <v>0</v>
      </c>
      <c r="AJ623" s="257">
        <v>0</v>
      </c>
      <c r="AK623" s="258">
        <v>0</v>
      </c>
      <c r="AL623" s="258">
        <v>0</v>
      </c>
      <c r="AM623" s="258">
        <v>0</v>
      </c>
      <c r="AN623" s="258"/>
      <c r="AO623" s="258">
        <v>0</v>
      </c>
    </row>
    <row r="624" spans="1:41" s="259" customFormat="1" ht="36" customHeight="1" x14ac:dyDescent="0.25">
      <c r="A624" s="259">
        <v>1</v>
      </c>
      <c r="B624" s="135">
        <f>SUBTOTAL(103,$A$552:A624)</f>
        <v>73</v>
      </c>
      <c r="C624" s="94" t="s">
        <v>1599</v>
      </c>
      <c r="D624" s="124">
        <v>1961</v>
      </c>
      <c r="E624" s="124"/>
      <c r="F624" s="129" t="s">
        <v>269</v>
      </c>
      <c r="G624" s="124">
        <v>4</v>
      </c>
      <c r="H624" s="124" t="s">
        <v>305</v>
      </c>
      <c r="I624" s="125">
        <v>1732.3</v>
      </c>
      <c r="J624" s="125">
        <v>1276.7</v>
      </c>
      <c r="K624" s="125">
        <v>1276.7</v>
      </c>
      <c r="L624" s="126">
        <v>59</v>
      </c>
      <c r="M624" s="124" t="s">
        <v>267</v>
      </c>
      <c r="N624" s="124" t="s">
        <v>271</v>
      </c>
      <c r="O624" s="127" t="s">
        <v>1602</v>
      </c>
      <c r="P624" s="128">
        <v>3000999.9</v>
      </c>
      <c r="Q624" s="128">
        <v>0</v>
      </c>
      <c r="R624" s="128">
        <v>0</v>
      </c>
      <c r="S624" s="128">
        <f t="shared" si="153"/>
        <v>3000999.9</v>
      </c>
      <c r="T624" s="128">
        <f t="shared" si="149"/>
        <v>1732.3788604745137</v>
      </c>
      <c r="U624" s="128">
        <v>2554.9583386249496</v>
      </c>
      <c r="V624" s="257">
        <f t="shared" si="150"/>
        <v>822.57947815043599</v>
      </c>
      <c r="W624" s="257">
        <f t="shared" si="154"/>
        <v>1732.3788604745137</v>
      </c>
      <c r="X624" s="257">
        <v>0</v>
      </c>
      <c r="Y624" s="258">
        <v>0</v>
      </c>
      <c r="Z624" s="258">
        <v>0</v>
      </c>
      <c r="AA624" s="258">
        <v>0</v>
      </c>
      <c r="AB624" s="258">
        <v>0</v>
      </c>
      <c r="AC624" s="258">
        <v>0</v>
      </c>
      <c r="AD624" s="258">
        <v>0</v>
      </c>
      <c r="AE624" s="258">
        <v>0</v>
      </c>
      <c r="AF624" s="257">
        <v>0</v>
      </c>
      <c r="AG624" s="258">
        <v>0</v>
      </c>
      <c r="AH624" s="257">
        <v>0</v>
      </c>
      <c r="AI624" s="258">
        <v>0</v>
      </c>
      <c r="AJ624" s="257">
        <v>0</v>
      </c>
      <c r="AK624" s="258">
        <v>0</v>
      </c>
      <c r="AL624" s="258">
        <v>0</v>
      </c>
      <c r="AM624" s="258">
        <v>0</v>
      </c>
      <c r="AN624" s="258"/>
      <c r="AO624" s="258">
        <v>0</v>
      </c>
    </row>
    <row r="625" spans="1:41" s="259" customFormat="1" ht="36" customHeight="1" x14ac:dyDescent="0.25">
      <c r="A625" s="259">
        <v>1</v>
      </c>
      <c r="B625" s="135">
        <f>SUBTOTAL(103,$A$552:A625)</f>
        <v>74</v>
      </c>
      <c r="C625" s="94" t="s">
        <v>504</v>
      </c>
      <c r="D625" s="124">
        <v>1981</v>
      </c>
      <c r="E625" s="124"/>
      <c r="F625" s="129" t="s">
        <v>1585</v>
      </c>
      <c r="G625" s="124" t="s">
        <v>353</v>
      </c>
      <c r="H625" s="124" t="s">
        <v>306</v>
      </c>
      <c r="I625" s="125">
        <v>855.3</v>
      </c>
      <c r="J625" s="125">
        <v>794.8</v>
      </c>
      <c r="K625" s="125">
        <v>583.6</v>
      </c>
      <c r="L625" s="126">
        <v>24</v>
      </c>
      <c r="M625" s="124" t="s">
        <v>267</v>
      </c>
      <c r="N625" s="124" t="s">
        <v>271</v>
      </c>
      <c r="O625" s="127" t="s">
        <v>350</v>
      </c>
      <c r="P625" s="128">
        <v>709000</v>
      </c>
      <c r="Q625" s="128">
        <v>0</v>
      </c>
      <c r="R625" s="128">
        <v>0</v>
      </c>
      <c r="S625" s="128">
        <f t="shared" si="153"/>
        <v>709000</v>
      </c>
      <c r="T625" s="128">
        <f t="shared" si="149"/>
        <v>828.94890681632182</v>
      </c>
      <c r="U625" s="128">
        <v>3259.66</v>
      </c>
      <c r="V625" s="257">
        <f t="shared" si="150"/>
        <v>2430.7110931836778</v>
      </c>
      <c r="W625" s="257">
        <f t="shared" si="154"/>
        <v>828.94890681632182</v>
      </c>
      <c r="X625" s="257">
        <v>0</v>
      </c>
      <c r="Y625" s="258">
        <v>0</v>
      </c>
      <c r="Z625" s="258">
        <v>0</v>
      </c>
      <c r="AA625" s="258">
        <v>0</v>
      </c>
      <c r="AB625" s="258">
        <v>0</v>
      </c>
      <c r="AC625" s="258">
        <v>0</v>
      </c>
      <c r="AD625" s="258">
        <v>0</v>
      </c>
      <c r="AE625" s="258">
        <v>0</v>
      </c>
      <c r="AF625" s="257">
        <v>0</v>
      </c>
      <c r="AG625" s="258">
        <v>0</v>
      </c>
      <c r="AH625" s="257">
        <v>0</v>
      </c>
      <c r="AI625" s="258">
        <v>0</v>
      </c>
      <c r="AJ625" s="257">
        <v>0</v>
      </c>
      <c r="AK625" s="258">
        <v>0</v>
      </c>
      <c r="AL625" s="258">
        <v>0</v>
      </c>
      <c r="AM625" s="258">
        <v>0</v>
      </c>
      <c r="AN625" s="258"/>
      <c r="AO625" s="258">
        <v>0</v>
      </c>
    </row>
    <row r="626" spans="1:41" s="259" customFormat="1" ht="36" customHeight="1" x14ac:dyDescent="0.25">
      <c r="A626" s="259">
        <v>1</v>
      </c>
      <c r="B626" s="135">
        <f>SUBTOTAL(103,$A$552:A626)</f>
        <v>75</v>
      </c>
      <c r="C626" s="94" t="s">
        <v>506</v>
      </c>
      <c r="D626" s="124">
        <v>1967</v>
      </c>
      <c r="E626" s="124"/>
      <c r="F626" s="129" t="s">
        <v>269</v>
      </c>
      <c r="G626" s="124">
        <v>2</v>
      </c>
      <c r="H626" s="124" t="s">
        <v>305</v>
      </c>
      <c r="I626" s="125">
        <v>709.3</v>
      </c>
      <c r="J626" s="125">
        <v>653.29999999999995</v>
      </c>
      <c r="K626" s="125">
        <v>653.29999999999995</v>
      </c>
      <c r="L626" s="126">
        <v>36</v>
      </c>
      <c r="M626" s="124" t="s">
        <v>267</v>
      </c>
      <c r="N626" s="124" t="s">
        <v>271</v>
      </c>
      <c r="O626" s="127" t="s">
        <v>1387</v>
      </c>
      <c r="P626" s="128">
        <v>2489210.85</v>
      </c>
      <c r="Q626" s="128">
        <v>0</v>
      </c>
      <c r="R626" s="128">
        <v>0</v>
      </c>
      <c r="S626" s="128">
        <f t="shared" si="153"/>
        <v>2489210.85</v>
      </c>
      <c r="T626" s="128">
        <f t="shared" si="149"/>
        <v>3509.39073734668</v>
      </c>
      <c r="U626" s="128">
        <v>5339.6516988580288</v>
      </c>
      <c r="V626" s="257">
        <f t="shared" si="150"/>
        <v>1830.2609615113488</v>
      </c>
      <c r="W626" s="257">
        <f t="shared" si="154"/>
        <v>3509.39073734668</v>
      </c>
      <c r="X626" s="257">
        <v>0</v>
      </c>
      <c r="Y626" s="258">
        <v>0</v>
      </c>
      <c r="Z626" s="258">
        <v>0</v>
      </c>
      <c r="AA626" s="258">
        <v>0</v>
      </c>
      <c r="AB626" s="258">
        <v>0</v>
      </c>
      <c r="AC626" s="258">
        <v>0</v>
      </c>
      <c r="AD626" s="258">
        <v>0</v>
      </c>
      <c r="AE626" s="258">
        <v>0</v>
      </c>
      <c r="AF626" s="257">
        <v>0</v>
      </c>
      <c r="AG626" s="258">
        <v>0</v>
      </c>
      <c r="AH626" s="257">
        <v>0</v>
      </c>
      <c r="AI626" s="258">
        <v>0</v>
      </c>
      <c r="AJ626" s="257">
        <v>0</v>
      </c>
      <c r="AK626" s="258">
        <v>0</v>
      </c>
      <c r="AL626" s="258">
        <v>0</v>
      </c>
      <c r="AM626" s="258">
        <v>0</v>
      </c>
      <c r="AN626" s="258"/>
      <c r="AO626" s="258">
        <v>0</v>
      </c>
    </row>
    <row r="627" spans="1:41" s="259" customFormat="1" ht="36" customHeight="1" x14ac:dyDescent="0.25">
      <c r="A627" s="259">
        <v>1</v>
      </c>
      <c r="B627" s="135">
        <f>SUBTOTAL(103,$A$552:A627)</f>
        <v>76</v>
      </c>
      <c r="C627" s="94" t="s">
        <v>529</v>
      </c>
      <c r="D627" s="124">
        <v>1988</v>
      </c>
      <c r="E627" s="124"/>
      <c r="F627" s="129" t="s">
        <v>269</v>
      </c>
      <c r="G627" s="124">
        <v>2</v>
      </c>
      <c r="H627" s="124" t="s">
        <v>305</v>
      </c>
      <c r="I627" s="125">
        <v>1063.8</v>
      </c>
      <c r="J627" s="125">
        <v>565.6</v>
      </c>
      <c r="K627" s="125">
        <v>565.6</v>
      </c>
      <c r="L627" s="126">
        <v>36</v>
      </c>
      <c r="M627" s="124" t="s">
        <v>267</v>
      </c>
      <c r="N627" s="124" t="s">
        <v>271</v>
      </c>
      <c r="O627" s="127" t="s">
        <v>1403</v>
      </c>
      <c r="P627" s="128">
        <v>2278490.67</v>
      </c>
      <c r="Q627" s="128">
        <v>0</v>
      </c>
      <c r="R627" s="128">
        <v>0</v>
      </c>
      <c r="S627" s="128">
        <f t="shared" si="153"/>
        <v>2278490.67</v>
      </c>
      <c r="T627" s="128">
        <f t="shared" si="149"/>
        <v>2141.8412013536381</v>
      </c>
      <c r="U627" s="128">
        <v>3324.8800056401578</v>
      </c>
      <c r="V627" s="257">
        <f t="shared" si="150"/>
        <v>1183.0388042865197</v>
      </c>
      <c r="W627" s="257">
        <f t="shared" si="154"/>
        <v>2141.8412013536381</v>
      </c>
      <c r="X627" s="257">
        <v>0</v>
      </c>
      <c r="Y627" s="258">
        <v>0</v>
      </c>
      <c r="Z627" s="258">
        <v>0</v>
      </c>
      <c r="AA627" s="258">
        <v>0</v>
      </c>
      <c r="AB627" s="258">
        <v>0</v>
      </c>
      <c r="AC627" s="258">
        <v>0</v>
      </c>
      <c r="AD627" s="258">
        <v>0</v>
      </c>
      <c r="AE627" s="258">
        <v>0</v>
      </c>
      <c r="AF627" s="257">
        <v>0</v>
      </c>
      <c r="AG627" s="258">
        <v>0</v>
      </c>
      <c r="AH627" s="257">
        <v>0</v>
      </c>
      <c r="AI627" s="258">
        <v>0</v>
      </c>
      <c r="AJ627" s="257">
        <v>0</v>
      </c>
      <c r="AK627" s="258">
        <v>0</v>
      </c>
      <c r="AL627" s="258">
        <v>0</v>
      </c>
      <c r="AM627" s="258">
        <v>0</v>
      </c>
      <c r="AN627" s="258"/>
      <c r="AO627" s="258">
        <v>0</v>
      </c>
    </row>
    <row r="628" spans="1:41" s="259" customFormat="1" ht="36" customHeight="1" x14ac:dyDescent="0.25">
      <c r="A628" s="259">
        <v>1</v>
      </c>
      <c r="B628" s="135">
        <f>SUBTOTAL(103,$A$552:A628)</f>
        <v>77</v>
      </c>
      <c r="C628" s="94" t="s">
        <v>1379</v>
      </c>
      <c r="D628" s="124">
        <v>1960</v>
      </c>
      <c r="E628" s="124"/>
      <c r="F628" s="129" t="s">
        <v>1585</v>
      </c>
      <c r="G628" s="124" t="s">
        <v>305</v>
      </c>
      <c r="H628" s="124" t="s">
        <v>305</v>
      </c>
      <c r="I628" s="125">
        <v>678.4</v>
      </c>
      <c r="J628" s="125">
        <v>622.9</v>
      </c>
      <c r="K628" s="125">
        <v>622.9</v>
      </c>
      <c r="L628" s="126">
        <v>21</v>
      </c>
      <c r="M628" s="124" t="s">
        <v>267</v>
      </c>
      <c r="N628" s="124" t="s">
        <v>271</v>
      </c>
      <c r="O628" s="127" t="s">
        <v>351</v>
      </c>
      <c r="P628" s="128">
        <v>2200503.0099999998</v>
      </c>
      <c r="Q628" s="128">
        <v>0</v>
      </c>
      <c r="R628" s="128">
        <v>0</v>
      </c>
      <c r="S628" s="128">
        <f t="shared" si="153"/>
        <v>2200503.0099999998</v>
      </c>
      <c r="T628" s="128">
        <f t="shared" si="149"/>
        <v>3243.6659935141506</v>
      </c>
      <c r="U628" s="128">
        <v>8070.7216981132087</v>
      </c>
      <c r="V628" s="257">
        <f t="shared" si="150"/>
        <v>4827.0557045990581</v>
      </c>
      <c r="W628" s="257">
        <f t="shared" si="154"/>
        <v>3243.6659935141506</v>
      </c>
      <c r="X628" s="257">
        <v>0</v>
      </c>
      <c r="Y628" s="258">
        <v>0</v>
      </c>
      <c r="Z628" s="258">
        <v>0</v>
      </c>
      <c r="AA628" s="258">
        <v>0</v>
      </c>
      <c r="AB628" s="258">
        <v>0</v>
      </c>
      <c r="AC628" s="258">
        <v>0</v>
      </c>
      <c r="AD628" s="258">
        <v>0</v>
      </c>
      <c r="AE628" s="258">
        <v>0</v>
      </c>
      <c r="AF628" s="257">
        <v>0</v>
      </c>
      <c r="AG628" s="258">
        <v>0</v>
      </c>
      <c r="AH628" s="257">
        <v>0</v>
      </c>
      <c r="AI628" s="258">
        <v>0</v>
      </c>
      <c r="AJ628" s="257">
        <v>0</v>
      </c>
      <c r="AK628" s="258">
        <v>0</v>
      </c>
      <c r="AL628" s="258">
        <v>0</v>
      </c>
      <c r="AM628" s="258">
        <v>0</v>
      </c>
      <c r="AN628" s="258"/>
      <c r="AO628" s="258">
        <v>0</v>
      </c>
    </row>
    <row r="629" spans="1:41" s="259" customFormat="1" ht="36" customHeight="1" x14ac:dyDescent="0.25">
      <c r="A629" s="259">
        <v>1</v>
      </c>
      <c r="B629" s="135">
        <f>SUBTOTAL(103,$A$552:A629)</f>
        <v>78</v>
      </c>
      <c r="C629" s="94" t="s">
        <v>1627</v>
      </c>
      <c r="D629" s="124">
        <v>1961</v>
      </c>
      <c r="E629" s="124"/>
      <c r="F629" s="129" t="s">
        <v>1585</v>
      </c>
      <c r="G629" s="124" t="s">
        <v>314</v>
      </c>
      <c r="H629" s="124" t="s">
        <v>314</v>
      </c>
      <c r="I629" s="125">
        <v>1516.8</v>
      </c>
      <c r="J629" s="125">
        <v>1516.8</v>
      </c>
      <c r="K629" s="125">
        <v>1516.8</v>
      </c>
      <c r="L629" s="126">
        <v>76</v>
      </c>
      <c r="M629" s="124" t="s">
        <v>267</v>
      </c>
      <c r="N629" s="124" t="s">
        <v>271</v>
      </c>
      <c r="O629" s="127" t="s">
        <v>2296</v>
      </c>
      <c r="P629" s="128">
        <v>3896205.56</v>
      </c>
      <c r="Q629" s="128">
        <v>0</v>
      </c>
      <c r="R629" s="128">
        <v>0</v>
      </c>
      <c r="S629" s="128">
        <f t="shared" si="153"/>
        <v>3896205.56</v>
      </c>
      <c r="T629" s="128">
        <f t="shared" si="149"/>
        <v>2568.7009229957807</v>
      </c>
      <c r="U629" s="128">
        <v>3623.7123022151895</v>
      </c>
      <c r="V629" s="257">
        <f t="shared" si="150"/>
        <v>1055.0113792194088</v>
      </c>
      <c r="W629" s="257">
        <f t="shared" si="154"/>
        <v>2568.7009229957807</v>
      </c>
      <c r="X629" s="257">
        <v>0</v>
      </c>
      <c r="Y629" s="258">
        <v>0</v>
      </c>
      <c r="Z629" s="258">
        <v>0</v>
      </c>
      <c r="AA629" s="258">
        <v>0</v>
      </c>
      <c r="AB629" s="258">
        <v>0</v>
      </c>
      <c r="AC629" s="258">
        <v>0</v>
      </c>
      <c r="AD629" s="258">
        <v>0</v>
      </c>
      <c r="AE629" s="258">
        <v>0</v>
      </c>
      <c r="AF629" s="257">
        <v>0</v>
      </c>
      <c r="AG629" s="258">
        <v>0</v>
      </c>
      <c r="AH629" s="257">
        <v>0</v>
      </c>
      <c r="AI629" s="258">
        <v>0</v>
      </c>
      <c r="AJ629" s="257">
        <v>0</v>
      </c>
      <c r="AK629" s="258">
        <v>0</v>
      </c>
      <c r="AL629" s="258">
        <v>0</v>
      </c>
      <c r="AM629" s="258">
        <v>0</v>
      </c>
      <c r="AN629" s="258"/>
      <c r="AO629" s="258">
        <v>0</v>
      </c>
    </row>
    <row r="630" spans="1:41" s="259" customFormat="1" ht="36" customHeight="1" x14ac:dyDescent="0.25">
      <c r="A630" s="259">
        <v>1</v>
      </c>
      <c r="B630" s="135">
        <f>SUBTOTAL(103,$A$552:A630)</f>
        <v>79</v>
      </c>
      <c r="C630" s="94" t="s">
        <v>571</v>
      </c>
      <c r="D630" s="124" t="s">
        <v>311</v>
      </c>
      <c r="E630" s="124"/>
      <c r="F630" s="129" t="s">
        <v>269</v>
      </c>
      <c r="G630" s="124" t="s">
        <v>353</v>
      </c>
      <c r="H630" s="124" t="s">
        <v>306</v>
      </c>
      <c r="I630" s="125">
        <v>658.3</v>
      </c>
      <c r="J630" s="125">
        <v>606.6</v>
      </c>
      <c r="K630" s="125">
        <v>606.6</v>
      </c>
      <c r="L630" s="126">
        <v>17</v>
      </c>
      <c r="M630" s="124" t="s">
        <v>267</v>
      </c>
      <c r="N630" s="124" t="s">
        <v>271</v>
      </c>
      <c r="O630" s="127" t="s">
        <v>1661</v>
      </c>
      <c r="P630" s="128">
        <v>1123224.57</v>
      </c>
      <c r="Q630" s="128">
        <v>0</v>
      </c>
      <c r="R630" s="128">
        <v>0</v>
      </c>
      <c r="S630" s="128">
        <f t="shared" si="153"/>
        <v>1123224.57</v>
      </c>
      <c r="T630" s="128">
        <f t="shared" si="149"/>
        <v>1706.2502962175301</v>
      </c>
      <c r="U630" s="128">
        <v>2187.2150994987087</v>
      </c>
      <c r="V630" s="257">
        <f t="shared" si="150"/>
        <v>480.96480328117855</v>
      </c>
      <c r="W630" s="257">
        <f t="shared" si="154"/>
        <v>1706.2502962175301</v>
      </c>
      <c r="X630" s="257">
        <v>0</v>
      </c>
      <c r="Y630" s="258">
        <v>0</v>
      </c>
      <c r="Z630" s="258">
        <v>0</v>
      </c>
      <c r="AA630" s="258">
        <v>0</v>
      </c>
      <c r="AB630" s="258">
        <v>0</v>
      </c>
      <c r="AC630" s="258">
        <v>0</v>
      </c>
      <c r="AD630" s="258">
        <v>0</v>
      </c>
      <c r="AE630" s="258">
        <v>0</v>
      </c>
      <c r="AF630" s="257">
        <v>0</v>
      </c>
      <c r="AG630" s="258">
        <v>0</v>
      </c>
      <c r="AH630" s="257">
        <v>0</v>
      </c>
      <c r="AI630" s="258">
        <v>0</v>
      </c>
      <c r="AJ630" s="257">
        <v>0</v>
      </c>
      <c r="AK630" s="258">
        <v>0</v>
      </c>
      <c r="AL630" s="258">
        <v>0</v>
      </c>
      <c r="AM630" s="258">
        <v>0</v>
      </c>
      <c r="AN630" s="258"/>
      <c r="AO630" s="258">
        <v>0</v>
      </c>
    </row>
    <row r="631" spans="1:41" s="259" customFormat="1" ht="36" customHeight="1" x14ac:dyDescent="0.25">
      <c r="A631" s="259">
        <v>1</v>
      </c>
      <c r="B631" s="135">
        <f>SUBTOTAL(103,$A$552:A631)</f>
        <v>80</v>
      </c>
      <c r="C631" s="94" t="s">
        <v>492</v>
      </c>
      <c r="D631" s="124">
        <v>1962</v>
      </c>
      <c r="E631" s="124"/>
      <c r="F631" s="129" t="s">
        <v>269</v>
      </c>
      <c r="G631" s="124">
        <v>3</v>
      </c>
      <c r="H631" s="124" t="s">
        <v>314</v>
      </c>
      <c r="I631" s="125">
        <v>2721.6</v>
      </c>
      <c r="J631" s="125">
        <v>1752.6</v>
      </c>
      <c r="K631" s="125">
        <v>1752.6</v>
      </c>
      <c r="L631" s="126">
        <v>82</v>
      </c>
      <c r="M631" s="124" t="s">
        <v>267</v>
      </c>
      <c r="N631" s="124" t="s">
        <v>271</v>
      </c>
      <c r="O631" s="127" t="s">
        <v>1326</v>
      </c>
      <c r="P631" s="128">
        <v>3888265.4</v>
      </c>
      <c r="Q631" s="128">
        <v>0</v>
      </c>
      <c r="R631" s="128">
        <v>0</v>
      </c>
      <c r="S631" s="128">
        <f t="shared" si="153"/>
        <v>3888265.4</v>
      </c>
      <c r="T631" s="128">
        <f t="shared" si="149"/>
        <v>1428.6689447383892</v>
      </c>
      <c r="U631" s="128">
        <v>2179.1975330687828</v>
      </c>
      <c r="V631" s="257">
        <f t="shared" si="150"/>
        <v>750.52858833039363</v>
      </c>
      <c r="W631" s="257">
        <f t="shared" si="154"/>
        <v>1428.6689447383892</v>
      </c>
      <c r="X631" s="257">
        <v>0</v>
      </c>
      <c r="Y631" s="258">
        <v>0</v>
      </c>
      <c r="Z631" s="258">
        <v>0</v>
      </c>
      <c r="AA631" s="258">
        <v>0</v>
      </c>
      <c r="AB631" s="258">
        <v>0</v>
      </c>
      <c r="AC631" s="258">
        <v>0</v>
      </c>
      <c r="AD631" s="258">
        <v>0</v>
      </c>
      <c r="AE631" s="258">
        <v>0</v>
      </c>
      <c r="AF631" s="257">
        <v>0</v>
      </c>
      <c r="AG631" s="258">
        <v>0</v>
      </c>
      <c r="AH631" s="257">
        <v>0</v>
      </c>
      <c r="AI631" s="258">
        <v>0</v>
      </c>
      <c r="AJ631" s="257">
        <v>0</v>
      </c>
      <c r="AK631" s="258">
        <v>0</v>
      </c>
      <c r="AL631" s="258">
        <v>0</v>
      </c>
      <c r="AM631" s="258">
        <v>0</v>
      </c>
      <c r="AN631" s="258"/>
      <c r="AO631" s="258">
        <v>0</v>
      </c>
    </row>
    <row r="632" spans="1:41" s="259" customFormat="1" ht="36" customHeight="1" x14ac:dyDescent="0.25">
      <c r="A632" s="259">
        <v>1</v>
      </c>
      <c r="B632" s="135">
        <f>SUBTOTAL(103,$A$552:A632)</f>
        <v>81</v>
      </c>
      <c r="C632" s="94" t="s">
        <v>1104</v>
      </c>
      <c r="D632" s="124">
        <v>1974</v>
      </c>
      <c r="E632" s="124"/>
      <c r="F632" s="129" t="s">
        <v>1585</v>
      </c>
      <c r="G632" s="124" t="s">
        <v>373</v>
      </c>
      <c r="H632" s="124" t="s">
        <v>306</v>
      </c>
      <c r="I632" s="125">
        <v>865.7</v>
      </c>
      <c r="J632" s="125">
        <v>865.7</v>
      </c>
      <c r="K632" s="125">
        <v>602.4</v>
      </c>
      <c r="L632" s="126">
        <v>22</v>
      </c>
      <c r="M632" s="124" t="s">
        <v>267</v>
      </c>
      <c r="N632" s="124" t="s">
        <v>271</v>
      </c>
      <c r="O632" s="127" t="s">
        <v>350</v>
      </c>
      <c r="P632" s="128">
        <v>4301356.74</v>
      </c>
      <c r="Q632" s="128">
        <v>0</v>
      </c>
      <c r="R632" s="128">
        <v>0</v>
      </c>
      <c r="S632" s="128">
        <f t="shared" si="153"/>
        <v>4301356.74</v>
      </c>
      <c r="T632" s="128">
        <f t="shared" si="149"/>
        <v>4968.6458819452464</v>
      </c>
      <c r="U632" s="128">
        <v>9722.3030380039272</v>
      </c>
      <c r="V632" s="257">
        <f t="shared" si="150"/>
        <v>4753.6571560586808</v>
      </c>
      <c r="W632" s="257">
        <f t="shared" si="154"/>
        <v>4968.6458819452464</v>
      </c>
      <c r="X632" s="257">
        <v>0</v>
      </c>
      <c r="Y632" s="258">
        <v>0</v>
      </c>
      <c r="Z632" s="258">
        <v>0</v>
      </c>
      <c r="AA632" s="258">
        <v>0</v>
      </c>
      <c r="AB632" s="258">
        <v>0</v>
      </c>
      <c r="AC632" s="258">
        <v>0</v>
      </c>
      <c r="AD632" s="258">
        <v>0</v>
      </c>
      <c r="AE632" s="258">
        <v>0</v>
      </c>
      <c r="AF632" s="257">
        <v>0</v>
      </c>
      <c r="AG632" s="258">
        <v>0</v>
      </c>
      <c r="AH632" s="257">
        <v>0</v>
      </c>
      <c r="AI632" s="258">
        <v>0</v>
      </c>
      <c r="AJ632" s="257">
        <v>0</v>
      </c>
      <c r="AK632" s="258">
        <v>0</v>
      </c>
      <c r="AL632" s="258">
        <v>0</v>
      </c>
      <c r="AM632" s="258">
        <v>0</v>
      </c>
      <c r="AN632" s="258"/>
      <c r="AO632" s="258">
        <v>0</v>
      </c>
    </row>
    <row r="633" spans="1:41" s="259" customFormat="1" ht="36" customHeight="1" x14ac:dyDescent="0.25">
      <c r="A633" s="259">
        <v>1</v>
      </c>
      <c r="B633" s="135">
        <f>SUBTOTAL(103,$A$552:A633)</f>
        <v>82</v>
      </c>
      <c r="C633" s="94" t="s">
        <v>1134</v>
      </c>
      <c r="D633" s="124">
        <v>1968</v>
      </c>
      <c r="E633" s="124"/>
      <c r="F633" s="129" t="s">
        <v>1585</v>
      </c>
      <c r="G633" s="124" t="s">
        <v>353</v>
      </c>
      <c r="H633" s="124" t="s">
        <v>310</v>
      </c>
      <c r="I633" s="125">
        <v>3176.3</v>
      </c>
      <c r="J633" s="125">
        <v>3176.3</v>
      </c>
      <c r="K633" s="125">
        <v>3093.8</v>
      </c>
      <c r="L633" s="126">
        <v>143</v>
      </c>
      <c r="M633" s="124" t="s">
        <v>267</v>
      </c>
      <c r="N633" s="124" t="s">
        <v>271</v>
      </c>
      <c r="O633" s="127" t="s">
        <v>2296</v>
      </c>
      <c r="P633" s="128">
        <v>1057247.3700000001</v>
      </c>
      <c r="Q633" s="128">
        <v>0</v>
      </c>
      <c r="R633" s="128">
        <v>0</v>
      </c>
      <c r="S633" s="128">
        <f t="shared" si="153"/>
        <v>1057247.3700000001</v>
      </c>
      <c r="T633" s="128">
        <f t="shared" si="149"/>
        <v>332.85501054686273</v>
      </c>
      <c r="U633" s="128">
        <v>2178.2831596511664</v>
      </c>
      <c r="V633" s="257">
        <f t="shared" si="150"/>
        <v>1845.4281491043037</v>
      </c>
      <c r="W633" s="257">
        <f t="shared" si="154"/>
        <v>332.85501054686273</v>
      </c>
      <c r="X633" s="257">
        <v>0</v>
      </c>
      <c r="Y633" s="258">
        <v>0</v>
      </c>
      <c r="Z633" s="258">
        <v>0</v>
      </c>
      <c r="AA633" s="258">
        <v>0</v>
      </c>
      <c r="AB633" s="258">
        <v>0</v>
      </c>
      <c r="AC633" s="258">
        <v>0</v>
      </c>
      <c r="AD633" s="258">
        <v>0</v>
      </c>
      <c r="AE633" s="258">
        <v>0</v>
      </c>
      <c r="AF633" s="257">
        <v>0</v>
      </c>
      <c r="AG633" s="258">
        <v>0</v>
      </c>
      <c r="AH633" s="257">
        <v>0</v>
      </c>
      <c r="AI633" s="258">
        <v>0</v>
      </c>
      <c r="AJ633" s="257">
        <v>0</v>
      </c>
      <c r="AK633" s="258">
        <v>0</v>
      </c>
      <c r="AL633" s="258">
        <v>0</v>
      </c>
      <c r="AM633" s="258">
        <v>0</v>
      </c>
      <c r="AN633" s="258"/>
      <c r="AO633" s="258">
        <v>0</v>
      </c>
    </row>
    <row r="634" spans="1:41" s="259" customFormat="1" ht="36" customHeight="1" x14ac:dyDescent="0.25">
      <c r="A634" s="259">
        <v>1</v>
      </c>
      <c r="B634" s="135">
        <f>SUBTOTAL(103,$A$552:A634)</f>
        <v>83</v>
      </c>
      <c r="C634" s="94" t="s">
        <v>805</v>
      </c>
      <c r="D634" s="124">
        <v>1963</v>
      </c>
      <c r="E634" s="124"/>
      <c r="F634" s="129" t="s">
        <v>1585</v>
      </c>
      <c r="G634" s="124" t="s">
        <v>305</v>
      </c>
      <c r="H634" s="124" t="s">
        <v>306</v>
      </c>
      <c r="I634" s="125">
        <v>316.5</v>
      </c>
      <c r="J634" s="125">
        <v>207.1</v>
      </c>
      <c r="K634" s="125">
        <v>207.1</v>
      </c>
      <c r="L634" s="126">
        <v>24</v>
      </c>
      <c r="M634" s="124" t="s">
        <v>267</v>
      </c>
      <c r="N634" s="124" t="s">
        <v>271</v>
      </c>
      <c r="O634" s="127" t="s">
        <v>2296</v>
      </c>
      <c r="P634" s="128">
        <v>1584967.92</v>
      </c>
      <c r="Q634" s="128">
        <v>0</v>
      </c>
      <c r="R634" s="128">
        <v>0</v>
      </c>
      <c r="S634" s="128">
        <f t="shared" si="153"/>
        <v>1584967.92</v>
      </c>
      <c r="T634" s="128">
        <f t="shared" si="149"/>
        <v>5007.7975355450235</v>
      </c>
      <c r="U634" s="128">
        <v>6072.2854028436013</v>
      </c>
      <c r="V634" s="257">
        <f t="shared" si="150"/>
        <v>1064.4878672985778</v>
      </c>
      <c r="W634" s="257">
        <f t="shared" si="154"/>
        <v>5007.7975355450235</v>
      </c>
      <c r="X634" s="257">
        <v>0</v>
      </c>
      <c r="Y634" s="258">
        <v>0</v>
      </c>
      <c r="Z634" s="258">
        <v>0</v>
      </c>
      <c r="AA634" s="258">
        <v>0</v>
      </c>
      <c r="AB634" s="258">
        <v>0</v>
      </c>
      <c r="AC634" s="258">
        <v>0</v>
      </c>
      <c r="AD634" s="258">
        <v>0</v>
      </c>
      <c r="AE634" s="258">
        <v>0</v>
      </c>
      <c r="AF634" s="257">
        <v>0</v>
      </c>
      <c r="AG634" s="258">
        <v>0</v>
      </c>
      <c r="AH634" s="257">
        <v>0</v>
      </c>
      <c r="AI634" s="258">
        <v>0</v>
      </c>
      <c r="AJ634" s="257">
        <v>0</v>
      </c>
      <c r="AK634" s="258">
        <v>0</v>
      </c>
      <c r="AL634" s="258">
        <v>0</v>
      </c>
      <c r="AM634" s="258">
        <v>0</v>
      </c>
      <c r="AN634" s="258"/>
      <c r="AO634" s="258">
        <v>0</v>
      </c>
    </row>
    <row r="635" spans="1:41" s="259" customFormat="1" ht="36" customHeight="1" x14ac:dyDescent="0.25">
      <c r="A635" s="259">
        <v>1</v>
      </c>
      <c r="B635" s="135">
        <f>SUBTOTAL(103,$A$552:A635)</f>
        <v>84</v>
      </c>
      <c r="C635" s="94" t="s">
        <v>527</v>
      </c>
      <c r="D635" s="124">
        <v>1997</v>
      </c>
      <c r="E635" s="124"/>
      <c r="F635" s="129" t="s">
        <v>269</v>
      </c>
      <c r="G635" s="124">
        <v>4</v>
      </c>
      <c r="H635" s="124" t="s">
        <v>314</v>
      </c>
      <c r="I635" s="125">
        <v>2862.3</v>
      </c>
      <c r="J635" s="125">
        <v>2046.7</v>
      </c>
      <c r="K635" s="125">
        <v>2046.7</v>
      </c>
      <c r="L635" s="126">
        <v>95</v>
      </c>
      <c r="M635" s="124" t="s">
        <v>267</v>
      </c>
      <c r="N635" s="124" t="s">
        <v>271</v>
      </c>
      <c r="O635" s="127" t="s">
        <v>1403</v>
      </c>
      <c r="P635" s="128">
        <v>3949680.45</v>
      </c>
      <c r="Q635" s="128">
        <v>0</v>
      </c>
      <c r="R635" s="128">
        <v>0</v>
      </c>
      <c r="S635" s="128">
        <f t="shared" si="153"/>
        <v>3949680.45</v>
      </c>
      <c r="T635" s="128">
        <f t="shared" si="149"/>
        <v>1379.897442616078</v>
      </c>
      <c r="U635" s="128">
        <v>1977.1553505921809</v>
      </c>
      <c r="V635" s="257">
        <f t="shared" si="150"/>
        <v>597.25790797610284</v>
      </c>
      <c r="W635" s="257">
        <f t="shared" si="154"/>
        <v>1379.897442616078</v>
      </c>
      <c r="X635" s="257">
        <v>0</v>
      </c>
      <c r="Y635" s="258">
        <v>0</v>
      </c>
      <c r="Z635" s="258">
        <v>0</v>
      </c>
      <c r="AA635" s="258">
        <v>0</v>
      </c>
      <c r="AB635" s="258">
        <v>0</v>
      </c>
      <c r="AC635" s="258">
        <v>0</v>
      </c>
      <c r="AD635" s="258">
        <v>0</v>
      </c>
      <c r="AE635" s="258">
        <v>0</v>
      </c>
      <c r="AF635" s="257">
        <v>0</v>
      </c>
      <c r="AG635" s="258">
        <v>0</v>
      </c>
      <c r="AH635" s="257">
        <v>0</v>
      </c>
      <c r="AI635" s="258">
        <v>0</v>
      </c>
      <c r="AJ635" s="257">
        <v>0</v>
      </c>
      <c r="AK635" s="258">
        <v>0</v>
      </c>
      <c r="AL635" s="258">
        <v>0</v>
      </c>
      <c r="AM635" s="258">
        <v>0</v>
      </c>
      <c r="AN635" s="258"/>
      <c r="AO635" s="258">
        <v>0</v>
      </c>
    </row>
    <row r="636" spans="1:41" s="259" customFormat="1" ht="36" customHeight="1" x14ac:dyDescent="0.25">
      <c r="A636" s="259">
        <v>1</v>
      </c>
      <c r="B636" s="135">
        <f>SUBTOTAL(103,$A$552:A636)</f>
        <v>85</v>
      </c>
      <c r="C636" s="94" t="s">
        <v>584</v>
      </c>
      <c r="D636" s="124" t="s">
        <v>312</v>
      </c>
      <c r="E636" s="124"/>
      <c r="F636" s="129" t="s">
        <v>313</v>
      </c>
      <c r="G636" s="124" t="s">
        <v>353</v>
      </c>
      <c r="H636" s="124" t="s">
        <v>314</v>
      </c>
      <c r="I636" s="125">
        <v>2249.1</v>
      </c>
      <c r="J636" s="125">
        <v>2046.7</v>
      </c>
      <c r="K636" s="125">
        <v>2046.7</v>
      </c>
      <c r="L636" s="126">
        <v>100</v>
      </c>
      <c r="M636" s="124" t="s">
        <v>267</v>
      </c>
      <c r="N636" s="124" t="s">
        <v>271</v>
      </c>
      <c r="O636" s="127" t="s">
        <v>1388</v>
      </c>
      <c r="P636" s="128">
        <v>2647497.35</v>
      </c>
      <c r="Q636" s="128">
        <v>0</v>
      </c>
      <c r="R636" s="128">
        <v>0</v>
      </c>
      <c r="S636" s="128">
        <f t="shared" si="153"/>
        <v>2647497.35</v>
      </c>
      <c r="T636" s="128">
        <f t="shared" si="149"/>
        <v>1177.1363434262594</v>
      </c>
      <c r="U636" s="128">
        <v>1550.3649593170601</v>
      </c>
      <c r="V636" s="257">
        <f t="shared" si="150"/>
        <v>373.22861589080071</v>
      </c>
      <c r="W636" s="257">
        <f t="shared" si="154"/>
        <v>1177.1363434262594</v>
      </c>
      <c r="X636" s="257">
        <v>0</v>
      </c>
      <c r="Y636" s="258">
        <v>0</v>
      </c>
      <c r="Z636" s="258">
        <v>0</v>
      </c>
      <c r="AA636" s="258">
        <v>0</v>
      </c>
      <c r="AB636" s="258">
        <v>0</v>
      </c>
      <c r="AC636" s="258">
        <v>0</v>
      </c>
      <c r="AD636" s="258">
        <v>0</v>
      </c>
      <c r="AE636" s="258">
        <v>0</v>
      </c>
      <c r="AF636" s="257">
        <v>0</v>
      </c>
      <c r="AG636" s="258">
        <v>0</v>
      </c>
      <c r="AH636" s="257">
        <v>0</v>
      </c>
      <c r="AI636" s="258">
        <v>0</v>
      </c>
      <c r="AJ636" s="257">
        <v>0</v>
      </c>
      <c r="AK636" s="258">
        <v>0</v>
      </c>
      <c r="AL636" s="258">
        <v>0</v>
      </c>
      <c r="AM636" s="258">
        <v>0</v>
      </c>
      <c r="AN636" s="258"/>
      <c r="AO636" s="258">
        <v>0</v>
      </c>
    </row>
    <row r="637" spans="1:41" s="259" customFormat="1" ht="36" customHeight="1" x14ac:dyDescent="0.25">
      <c r="A637" s="259">
        <v>1</v>
      </c>
      <c r="B637" s="135">
        <f>SUBTOTAL(103,$A$552:A637)</f>
        <v>86</v>
      </c>
      <c r="C637" s="94" t="s">
        <v>593</v>
      </c>
      <c r="D637" s="124" t="s">
        <v>372</v>
      </c>
      <c r="E637" s="124"/>
      <c r="F637" s="129" t="s">
        <v>313</v>
      </c>
      <c r="G637" s="124" t="s">
        <v>353</v>
      </c>
      <c r="H637" s="124" t="s">
        <v>314</v>
      </c>
      <c r="I637" s="125">
        <v>2899.7</v>
      </c>
      <c r="J637" s="125">
        <v>2899.7</v>
      </c>
      <c r="K637" s="125">
        <v>2899.7</v>
      </c>
      <c r="L637" s="126">
        <v>83</v>
      </c>
      <c r="M637" s="124" t="s">
        <v>267</v>
      </c>
      <c r="N637" s="124" t="s">
        <v>271</v>
      </c>
      <c r="O637" s="127" t="s">
        <v>1078</v>
      </c>
      <c r="P637" s="128">
        <v>2934067.58</v>
      </c>
      <c r="Q637" s="128">
        <v>0</v>
      </c>
      <c r="R637" s="128">
        <v>0</v>
      </c>
      <c r="S637" s="128">
        <f t="shared" si="153"/>
        <v>2934067.58</v>
      </c>
      <c r="T637" s="128">
        <f t="shared" si="149"/>
        <v>1011.8521157361107</v>
      </c>
      <c r="U637" s="128">
        <v>1341.7622805807498</v>
      </c>
      <c r="V637" s="257">
        <f t="shared" si="150"/>
        <v>329.9101648446391</v>
      </c>
      <c r="W637" s="257">
        <f t="shared" si="154"/>
        <v>1011.8521157361107</v>
      </c>
      <c r="X637" s="257">
        <v>0</v>
      </c>
      <c r="Y637" s="258">
        <v>0</v>
      </c>
      <c r="Z637" s="258">
        <v>0</v>
      </c>
      <c r="AA637" s="258">
        <v>0</v>
      </c>
      <c r="AB637" s="258">
        <v>0</v>
      </c>
      <c r="AC637" s="258">
        <v>0</v>
      </c>
      <c r="AD637" s="258">
        <v>0</v>
      </c>
      <c r="AE637" s="258">
        <v>0</v>
      </c>
      <c r="AF637" s="257">
        <v>0</v>
      </c>
      <c r="AG637" s="258">
        <v>0</v>
      </c>
      <c r="AH637" s="257">
        <v>0</v>
      </c>
      <c r="AI637" s="258">
        <v>0</v>
      </c>
      <c r="AJ637" s="257">
        <v>0</v>
      </c>
      <c r="AK637" s="258">
        <v>0</v>
      </c>
      <c r="AL637" s="258">
        <v>0</v>
      </c>
      <c r="AM637" s="258">
        <v>0</v>
      </c>
      <c r="AN637" s="258"/>
      <c r="AO637" s="258">
        <v>0</v>
      </c>
    </row>
    <row r="638" spans="1:41" s="259" customFormat="1" ht="36" customHeight="1" x14ac:dyDescent="0.25">
      <c r="A638" s="259">
        <v>1</v>
      </c>
      <c r="B638" s="135">
        <f>SUBTOTAL(103,$A$552:A638)</f>
        <v>87</v>
      </c>
      <c r="C638" s="94" t="s">
        <v>597</v>
      </c>
      <c r="D638" s="124" t="s">
        <v>378</v>
      </c>
      <c r="E638" s="124"/>
      <c r="F638" s="129" t="s">
        <v>313</v>
      </c>
      <c r="G638" s="124" t="s">
        <v>353</v>
      </c>
      <c r="H638" s="124" t="s">
        <v>314</v>
      </c>
      <c r="I638" s="125">
        <v>2812.6</v>
      </c>
      <c r="J638" s="125">
        <v>2039.4</v>
      </c>
      <c r="K638" s="125">
        <v>2039.4</v>
      </c>
      <c r="L638" s="126">
        <v>98</v>
      </c>
      <c r="M638" s="124" t="s">
        <v>267</v>
      </c>
      <c r="N638" s="124" t="s">
        <v>271</v>
      </c>
      <c r="O638" s="127" t="s">
        <v>1657</v>
      </c>
      <c r="P638" s="128">
        <v>2671262.73</v>
      </c>
      <c r="Q638" s="128">
        <v>0</v>
      </c>
      <c r="R638" s="128">
        <v>0</v>
      </c>
      <c r="S638" s="128">
        <f t="shared" si="153"/>
        <v>2671262.73</v>
      </c>
      <c r="T638" s="128">
        <f t="shared" si="149"/>
        <v>949.74853516319422</v>
      </c>
      <c r="U638" s="128">
        <v>1250.8806015786106</v>
      </c>
      <c r="V638" s="257">
        <f t="shared" si="150"/>
        <v>301.13206641541638</v>
      </c>
      <c r="W638" s="257">
        <f t="shared" si="154"/>
        <v>949.74853516319422</v>
      </c>
      <c r="X638" s="257">
        <v>0</v>
      </c>
      <c r="Y638" s="258">
        <v>0</v>
      </c>
      <c r="Z638" s="258">
        <v>0</v>
      </c>
      <c r="AA638" s="258">
        <v>0</v>
      </c>
      <c r="AB638" s="258">
        <v>0</v>
      </c>
      <c r="AC638" s="258">
        <v>0</v>
      </c>
      <c r="AD638" s="258">
        <v>0</v>
      </c>
      <c r="AE638" s="258">
        <v>0</v>
      </c>
      <c r="AF638" s="257">
        <v>0</v>
      </c>
      <c r="AG638" s="258">
        <v>0</v>
      </c>
      <c r="AH638" s="257">
        <v>0</v>
      </c>
      <c r="AI638" s="258">
        <v>0</v>
      </c>
      <c r="AJ638" s="257">
        <v>0</v>
      </c>
      <c r="AK638" s="258">
        <v>0</v>
      </c>
      <c r="AL638" s="258">
        <v>0</v>
      </c>
      <c r="AM638" s="258">
        <v>0</v>
      </c>
      <c r="AN638" s="258"/>
      <c r="AO638" s="258">
        <v>0</v>
      </c>
    </row>
    <row r="639" spans="1:41" s="259" customFormat="1" ht="36" customHeight="1" x14ac:dyDescent="0.25">
      <c r="A639" s="259">
        <v>1</v>
      </c>
      <c r="B639" s="135">
        <f>SUBTOTAL(103,$A$552:A639)</f>
        <v>88</v>
      </c>
      <c r="C639" s="94" t="s">
        <v>1647</v>
      </c>
      <c r="D639" s="124">
        <v>1988</v>
      </c>
      <c r="E639" s="124"/>
      <c r="F639" s="129" t="s">
        <v>313</v>
      </c>
      <c r="G639" s="124">
        <v>5</v>
      </c>
      <c r="H639" s="124" t="s">
        <v>314</v>
      </c>
      <c r="I639" s="125">
        <v>3210.8</v>
      </c>
      <c r="J639" s="125">
        <v>2318.1999999999998</v>
      </c>
      <c r="K639" s="125">
        <v>2318.1999999999998</v>
      </c>
      <c r="L639" s="126">
        <v>95</v>
      </c>
      <c r="M639" s="124" t="s">
        <v>267</v>
      </c>
      <c r="N639" s="124" t="s">
        <v>271</v>
      </c>
      <c r="O639" s="127" t="s">
        <v>1093</v>
      </c>
      <c r="P639" s="128">
        <v>2940502.02</v>
      </c>
      <c r="Q639" s="128">
        <v>0</v>
      </c>
      <c r="R639" s="128">
        <v>0</v>
      </c>
      <c r="S639" s="128">
        <f t="shared" si="153"/>
        <v>2940502.02</v>
      </c>
      <c r="T639" s="128">
        <f t="shared" si="149"/>
        <v>915.81600224243175</v>
      </c>
      <c r="U639" s="128">
        <v>1144.4909461816369</v>
      </c>
      <c r="V639" s="257">
        <f t="shared" si="150"/>
        <v>228.67494393920515</v>
      </c>
      <c r="W639" s="257">
        <f t="shared" si="154"/>
        <v>915.81600224243175</v>
      </c>
      <c r="X639" s="257">
        <v>0</v>
      </c>
      <c r="Y639" s="258">
        <v>0</v>
      </c>
      <c r="Z639" s="258">
        <v>0</v>
      </c>
      <c r="AA639" s="258">
        <v>0</v>
      </c>
      <c r="AB639" s="258">
        <v>0</v>
      </c>
      <c r="AC639" s="258">
        <v>0</v>
      </c>
      <c r="AD639" s="258">
        <v>0</v>
      </c>
      <c r="AE639" s="258">
        <v>0</v>
      </c>
      <c r="AF639" s="257">
        <v>0</v>
      </c>
      <c r="AG639" s="258">
        <v>0</v>
      </c>
      <c r="AH639" s="257">
        <v>0</v>
      </c>
      <c r="AI639" s="258">
        <v>0</v>
      </c>
      <c r="AJ639" s="257">
        <v>0</v>
      </c>
      <c r="AK639" s="258">
        <v>0</v>
      </c>
      <c r="AL639" s="258">
        <v>0</v>
      </c>
      <c r="AM639" s="258">
        <v>0</v>
      </c>
      <c r="AN639" s="258"/>
      <c r="AO639" s="258">
        <v>0</v>
      </c>
    </row>
    <row r="640" spans="1:41" s="259" customFormat="1" ht="36" customHeight="1" x14ac:dyDescent="0.25">
      <c r="A640" s="259">
        <v>1</v>
      </c>
      <c r="B640" s="135">
        <f>SUBTOTAL(103,$A$552:A640)</f>
        <v>89</v>
      </c>
      <c r="C640" s="94" t="s">
        <v>606</v>
      </c>
      <c r="D640" s="124" t="s">
        <v>325</v>
      </c>
      <c r="E640" s="124"/>
      <c r="F640" s="129" t="s">
        <v>313</v>
      </c>
      <c r="G640" s="124" t="s">
        <v>353</v>
      </c>
      <c r="H640" s="124" t="s">
        <v>310</v>
      </c>
      <c r="I640" s="125">
        <v>4424.1000000000004</v>
      </c>
      <c r="J640" s="125">
        <v>3136.3</v>
      </c>
      <c r="K640" s="125">
        <v>3136.3</v>
      </c>
      <c r="L640" s="126">
        <v>144</v>
      </c>
      <c r="M640" s="124" t="s">
        <v>267</v>
      </c>
      <c r="N640" s="124" t="s">
        <v>271</v>
      </c>
      <c r="O640" s="127" t="s">
        <v>1080</v>
      </c>
      <c r="P640" s="128">
        <v>4504985.5199999996</v>
      </c>
      <c r="Q640" s="128">
        <v>0</v>
      </c>
      <c r="R640" s="128">
        <v>0</v>
      </c>
      <c r="S640" s="128">
        <f t="shared" si="153"/>
        <v>4504985.5199999996</v>
      </c>
      <c r="T640" s="128">
        <f t="shared" si="149"/>
        <v>1018.2829321217873</v>
      </c>
      <c r="U640" s="128">
        <v>1347.0990438733299</v>
      </c>
      <c r="V640" s="257">
        <f t="shared" si="150"/>
        <v>328.81611175154262</v>
      </c>
      <c r="W640" s="257">
        <f t="shared" si="154"/>
        <v>1018.2829321217873</v>
      </c>
      <c r="X640" s="257">
        <v>0</v>
      </c>
      <c r="Y640" s="258">
        <v>0</v>
      </c>
      <c r="Z640" s="258">
        <v>0</v>
      </c>
      <c r="AA640" s="258">
        <v>0</v>
      </c>
      <c r="AB640" s="258">
        <v>0</v>
      </c>
      <c r="AC640" s="258">
        <v>0</v>
      </c>
      <c r="AD640" s="258">
        <v>0</v>
      </c>
      <c r="AE640" s="258">
        <v>0</v>
      </c>
      <c r="AF640" s="257">
        <v>0</v>
      </c>
      <c r="AG640" s="258">
        <v>0</v>
      </c>
      <c r="AH640" s="257">
        <v>0</v>
      </c>
      <c r="AI640" s="258">
        <v>0</v>
      </c>
      <c r="AJ640" s="257">
        <v>0</v>
      </c>
      <c r="AK640" s="258">
        <v>0</v>
      </c>
      <c r="AL640" s="258">
        <v>0</v>
      </c>
      <c r="AM640" s="258">
        <v>0</v>
      </c>
      <c r="AN640" s="258"/>
      <c r="AO640" s="258">
        <v>0</v>
      </c>
    </row>
    <row r="641" spans="1:41" s="259" customFormat="1" ht="36" customHeight="1" x14ac:dyDescent="0.25">
      <c r="B641" s="94" t="s">
        <v>762</v>
      </c>
      <c r="C641" s="261"/>
      <c r="D641" s="124" t="s">
        <v>896</v>
      </c>
      <c r="E641" s="124" t="s">
        <v>896</v>
      </c>
      <c r="F641" s="124" t="s">
        <v>896</v>
      </c>
      <c r="G641" s="124" t="s">
        <v>896</v>
      </c>
      <c r="H641" s="124" t="s">
        <v>896</v>
      </c>
      <c r="I641" s="125">
        <f>SUM(I642:I671)</f>
        <v>46310.21</v>
      </c>
      <c r="J641" s="125">
        <f>SUM(J642:J671)</f>
        <v>43341.8</v>
      </c>
      <c r="K641" s="125">
        <f>SUM(K642:K671)</f>
        <v>40619.5</v>
      </c>
      <c r="L641" s="126">
        <f>SUM(L642:L671)</f>
        <v>1927</v>
      </c>
      <c r="M641" s="124" t="s">
        <v>896</v>
      </c>
      <c r="N641" s="124" t="s">
        <v>896</v>
      </c>
      <c r="O641" s="127" t="s">
        <v>896</v>
      </c>
      <c r="P641" s="125">
        <v>98119026.38000001</v>
      </c>
      <c r="Q641" s="125">
        <f>SUM(Q642:Q671)</f>
        <v>0</v>
      </c>
      <c r="R641" s="125">
        <f>SUM(R642:R671)</f>
        <v>0</v>
      </c>
      <c r="S641" s="125">
        <f>SUM(S642:S671)</f>
        <v>98119026.38000001</v>
      </c>
      <c r="T641" s="128">
        <f t="shared" si="149"/>
        <v>2118.7342139022908</v>
      </c>
      <c r="U641" s="128">
        <f>MAX(U642:U671)</f>
        <v>10033.85808</v>
      </c>
      <c r="V641" s="257">
        <f t="shared" ref="V641:V688" si="155">U641-T641</f>
        <v>7915.1238660977087</v>
      </c>
      <c r="W641" s="257"/>
      <c r="X641" s="257"/>
      <c r="Y641" s="258"/>
      <c r="Z641" s="258"/>
      <c r="AA641" s="258"/>
      <c r="AB641" s="258"/>
      <c r="AC641" s="258"/>
      <c r="AD641" s="258"/>
      <c r="AE641" s="258"/>
      <c r="AF641" s="258"/>
      <c r="AG641" s="258"/>
      <c r="AH641" s="258"/>
      <c r="AI641" s="258"/>
      <c r="AJ641" s="258"/>
      <c r="AK641" s="258"/>
      <c r="AL641" s="258"/>
      <c r="AM641" s="258"/>
      <c r="AN641" s="258"/>
      <c r="AO641" s="258"/>
    </row>
    <row r="642" spans="1:41" s="259" customFormat="1" ht="36" customHeight="1" x14ac:dyDescent="0.25">
      <c r="A642" s="259">
        <v>1</v>
      </c>
      <c r="B642" s="135">
        <f>SUBTOTAL(103,$A$552:A642)</f>
        <v>90</v>
      </c>
      <c r="C642" s="94" t="s">
        <v>457</v>
      </c>
      <c r="D642" s="124">
        <v>1960</v>
      </c>
      <c r="E642" s="124"/>
      <c r="F642" s="129" t="s">
        <v>269</v>
      </c>
      <c r="G642" s="124">
        <v>2</v>
      </c>
      <c r="H642" s="124" t="s">
        <v>305</v>
      </c>
      <c r="I642" s="125">
        <v>634.6</v>
      </c>
      <c r="J642" s="125">
        <v>634.6</v>
      </c>
      <c r="K642" s="125">
        <v>634.6</v>
      </c>
      <c r="L642" s="126">
        <v>26</v>
      </c>
      <c r="M642" s="124" t="s">
        <v>267</v>
      </c>
      <c r="N642" s="124" t="s">
        <v>268</v>
      </c>
      <c r="O642" s="127" t="s">
        <v>270</v>
      </c>
      <c r="P642" s="128">
        <v>3616357.54</v>
      </c>
      <c r="Q642" s="128">
        <v>0</v>
      </c>
      <c r="R642" s="128">
        <v>0</v>
      </c>
      <c r="S642" s="128">
        <f t="shared" ref="S642:S671" si="156">P642-Q642-R642</f>
        <v>3616357.54</v>
      </c>
      <c r="T642" s="128">
        <f t="shared" si="149"/>
        <v>5698.6409391742827</v>
      </c>
      <c r="U642" s="128">
        <v>6125.0425007878966</v>
      </c>
      <c r="V642" s="257">
        <f t="shared" si="155"/>
        <v>426.40156161361392</v>
      </c>
      <c r="W642" s="257">
        <f t="shared" ref="W642:W670" si="157">X642+Y642+Z642+AA642+AB642+AD642+AF642+AH642+AJ642+AL642+AN642+AO642</f>
        <v>6104.221901985502</v>
      </c>
      <c r="X642" s="257">
        <v>0</v>
      </c>
      <c r="Y642" s="258">
        <v>0</v>
      </c>
      <c r="Z642" s="258">
        <v>0</v>
      </c>
      <c r="AA642" s="258">
        <v>0</v>
      </c>
      <c r="AB642" s="258">
        <v>0</v>
      </c>
      <c r="AC642" s="258">
        <v>0</v>
      </c>
      <c r="AD642" s="258">
        <v>0</v>
      </c>
      <c r="AE642" s="258">
        <v>620.9</v>
      </c>
      <c r="AF642" s="257">
        <f>6238.91*AE642/I642</f>
        <v>6104.221901985502</v>
      </c>
      <c r="AG642" s="258">
        <v>0</v>
      </c>
      <c r="AH642" s="257">
        <v>0</v>
      </c>
      <c r="AI642" s="258">
        <v>0</v>
      </c>
      <c r="AJ642" s="257">
        <v>0</v>
      </c>
      <c r="AK642" s="258">
        <v>0</v>
      </c>
      <c r="AL642" s="258">
        <v>0</v>
      </c>
      <c r="AM642" s="258">
        <v>0</v>
      </c>
      <c r="AN642" s="258"/>
      <c r="AO642" s="258">
        <v>0</v>
      </c>
    </row>
    <row r="643" spans="1:41" s="259" customFormat="1" ht="61.5" x14ac:dyDescent="0.25">
      <c r="A643" s="259">
        <v>1</v>
      </c>
      <c r="B643" s="135">
        <f>SUBTOTAL(103,$A$552:A643)</f>
        <v>91</v>
      </c>
      <c r="C643" s="94" t="s">
        <v>458</v>
      </c>
      <c r="D643" s="124">
        <v>1952</v>
      </c>
      <c r="E643" s="124">
        <v>2008</v>
      </c>
      <c r="F643" s="129" t="s">
        <v>269</v>
      </c>
      <c r="G643" s="124">
        <v>2</v>
      </c>
      <c r="H643" s="124" t="s">
        <v>306</v>
      </c>
      <c r="I643" s="125">
        <v>427.8</v>
      </c>
      <c r="J643" s="125">
        <v>392.1</v>
      </c>
      <c r="K643" s="125">
        <v>392.1</v>
      </c>
      <c r="L643" s="126">
        <v>21</v>
      </c>
      <c r="M643" s="124" t="s">
        <v>267</v>
      </c>
      <c r="N643" s="124" t="s">
        <v>271</v>
      </c>
      <c r="O643" s="127" t="s">
        <v>342</v>
      </c>
      <c r="P643" s="128">
        <v>1638422.64</v>
      </c>
      <c r="Q643" s="128">
        <v>0</v>
      </c>
      <c r="R643" s="128">
        <v>0</v>
      </c>
      <c r="S643" s="128">
        <f t="shared" si="156"/>
        <v>1638422.64</v>
      </c>
      <c r="T643" s="128">
        <f t="shared" si="149"/>
        <v>3829.8799438990177</v>
      </c>
      <c r="U643" s="128">
        <v>7634.5546143057509</v>
      </c>
      <c r="V643" s="257">
        <f t="shared" si="155"/>
        <v>3804.6746704067332</v>
      </c>
      <c r="W643" s="257">
        <f t="shared" si="157"/>
        <v>7634.5546143057509</v>
      </c>
      <c r="X643" s="257">
        <v>0</v>
      </c>
      <c r="Y643" s="258">
        <v>0</v>
      </c>
      <c r="Z643" s="258">
        <v>0</v>
      </c>
      <c r="AA643" s="258">
        <v>0</v>
      </c>
      <c r="AB643" s="258">
        <v>0</v>
      </c>
      <c r="AC643" s="258">
        <v>0</v>
      </c>
      <c r="AD643" s="258">
        <v>0</v>
      </c>
      <c r="AE643" s="258">
        <v>0</v>
      </c>
      <c r="AF643" s="257">
        <v>0</v>
      </c>
      <c r="AG643" s="258">
        <v>0</v>
      </c>
      <c r="AH643" s="257">
        <v>0</v>
      </c>
      <c r="AI643" s="258">
        <v>439.04</v>
      </c>
      <c r="AJ643" s="257">
        <f>7439.1*AI643/I643</f>
        <v>7634.5546143057509</v>
      </c>
      <c r="AK643" s="258">
        <v>0</v>
      </c>
      <c r="AL643" s="258">
        <v>0</v>
      </c>
      <c r="AM643" s="258">
        <v>0</v>
      </c>
      <c r="AN643" s="258"/>
      <c r="AO643" s="258">
        <v>0</v>
      </c>
    </row>
    <row r="644" spans="1:41" s="259" customFormat="1" ht="36" customHeight="1" x14ac:dyDescent="0.25">
      <c r="A644" s="259">
        <v>1</v>
      </c>
      <c r="B644" s="135">
        <f>SUBTOTAL(103,$A$552:A644)</f>
        <v>92</v>
      </c>
      <c r="C644" s="94" t="s">
        <v>459</v>
      </c>
      <c r="D644" s="124">
        <v>1963</v>
      </c>
      <c r="E644" s="124"/>
      <c r="F644" s="129" t="s">
        <v>269</v>
      </c>
      <c r="G644" s="124">
        <v>4</v>
      </c>
      <c r="H644" s="124" t="s">
        <v>314</v>
      </c>
      <c r="I644" s="125">
        <v>2171.1999999999998</v>
      </c>
      <c r="J644" s="125">
        <v>2025.5</v>
      </c>
      <c r="K644" s="125">
        <v>2025.5</v>
      </c>
      <c r="L644" s="126">
        <v>84</v>
      </c>
      <c r="M644" s="124" t="s">
        <v>267</v>
      </c>
      <c r="N644" s="124" t="s">
        <v>268</v>
      </c>
      <c r="O644" s="127" t="s">
        <v>270</v>
      </c>
      <c r="P644" s="128">
        <v>4857938</v>
      </c>
      <c r="Q644" s="128">
        <v>0</v>
      </c>
      <c r="R644" s="128">
        <v>0</v>
      </c>
      <c r="S644" s="128">
        <f t="shared" si="156"/>
        <v>4857938</v>
      </c>
      <c r="T644" s="128">
        <f t="shared" si="149"/>
        <v>2237.4438098747237</v>
      </c>
      <c r="U644" s="128">
        <v>2554.5911661753871</v>
      </c>
      <c r="V644" s="257">
        <f t="shared" si="155"/>
        <v>317.14735630066343</v>
      </c>
      <c r="W644" s="257">
        <f t="shared" si="157"/>
        <v>2545.9074521002212</v>
      </c>
      <c r="X644" s="257">
        <v>0</v>
      </c>
      <c r="Y644" s="258">
        <v>0</v>
      </c>
      <c r="Z644" s="258">
        <v>0</v>
      </c>
      <c r="AA644" s="258">
        <v>0</v>
      </c>
      <c r="AB644" s="258">
        <v>0</v>
      </c>
      <c r="AC644" s="258">
        <v>0</v>
      </c>
      <c r="AD644" s="258">
        <v>0</v>
      </c>
      <c r="AE644" s="258">
        <v>886</v>
      </c>
      <c r="AF644" s="257">
        <f>6238.91*AE644/I644</f>
        <v>2545.9074521002212</v>
      </c>
      <c r="AG644" s="258">
        <v>0</v>
      </c>
      <c r="AH644" s="257">
        <v>0</v>
      </c>
      <c r="AI644" s="258">
        <v>0</v>
      </c>
      <c r="AJ644" s="257">
        <v>0</v>
      </c>
      <c r="AK644" s="258">
        <v>0</v>
      </c>
      <c r="AL644" s="258">
        <v>0</v>
      </c>
      <c r="AM644" s="258">
        <v>0</v>
      </c>
      <c r="AN644" s="258"/>
      <c r="AO644" s="258">
        <v>0</v>
      </c>
    </row>
    <row r="645" spans="1:41" s="259" customFormat="1" ht="36" customHeight="1" x14ac:dyDescent="0.25">
      <c r="A645" s="259">
        <v>1</v>
      </c>
      <c r="B645" s="135">
        <f>SUBTOTAL(103,$A$552:A645)</f>
        <v>93</v>
      </c>
      <c r="C645" s="94" t="s">
        <v>460</v>
      </c>
      <c r="D645" s="124">
        <v>1959</v>
      </c>
      <c r="E645" s="124"/>
      <c r="F645" s="129" t="s">
        <v>269</v>
      </c>
      <c r="G645" s="124">
        <v>2</v>
      </c>
      <c r="H645" s="124" t="s">
        <v>305</v>
      </c>
      <c r="I645" s="125">
        <v>679.1</v>
      </c>
      <c r="J645" s="125">
        <v>632.4</v>
      </c>
      <c r="K645" s="125">
        <v>632.4</v>
      </c>
      <c r="L645" s="126">
        <v>43</v>
      </c>
      <c r="M645" s="124" t="s">
        <v>267</v>
      </c>
      <c r="N645" s="124" t="s">
        <v>268</v>
      </c>
      <c r="O645" s="127" t="s">
        <v>270</v>
      </c>
      <c r="P645" s="128">
        <v>3345121.12</v>
      </c>
      <c r="Q645" s="128">
        <v>0</v>
      </c>
      <c r="R645" s="128">
        <v>0</v>
      </c>
      <c r="S645" s="128">
        <f t="shared" si="156"/>
        <v>3345121.12</v>
      </c>
      <c r="T645" s="128">
        <f t="shared" si="149"/>
        <v>4925.8152260344577</v>
      </c>
      <c r="U645" s="128">
        <v>5567.8909733470764</v>
      </c>
      <c r="V645" s="257">
        <f t="shared" si="155"/>
        <v>642.07574731261866</v>
      </c>
      <c r="W645" s="257">
        <f t="shared" si="157"/>
        <v>5548.9642762479752</v>
      </c>
      <c r="X645" s="257">
        <v>0</v>
      </c>
      <c r="Y645" s="258">
        <v>0</v>
      </c>
      <c r="Z645" s="258">
        <v>0</v>
      </c>
      <c r="AA645" s="258">
        <v>0</v>
      </c>
      <c r="AB645" s="258">
        <v>0</v>
      </c>
      <c r="AC645" s="258">
        <v>0</v>
      </c>
      <c r="AD645" s="258">
        <v>0</v>
      </c>
      <c r="AE645" s="258">
        <v>604</v>
      </c>
      <c r="AF645" s="257">
        <f>6238.91*AE645/I645</f>
        <v>5548.9642762479752</v>
      </c>
      <c r="AG645" s="258">
        <v>0</v>
      </c>
      <c r="AH645" s="257">
        <v>0</v>
      </c>
      <c r="AI645" s="258">
        <v>0</v>
      </c>
      <c r="AJ645" s="257">
        <v>0</v>
      </c>
      <c r="AK645" s="258">
        <v>0</v>
      </c>
      <c r="AL645" s="258">
        <v>0</v>
      </c>
      <c r="AM645" s="258">
        <v>0</v>
      </c>
      <c r="AN645" s="258"/>
      <c r="AO645" s="258">
        <v>0</v>
      </c>
    </row>
    <row r="646" spans="1:41" s="259" customFormat="1" ht="36" customHeight="1" x14ac:dyDescent="0.25">
      <c r="A646" s="259">
        <v>1</v>
      </c>
      <c r="B646" s="135">
        <f>SUBTOTAL(103,$A$552:A646)</f>
        <v>94</v>
      </c>
      <c r="C646" s="94" t="s">
        <v>461</v>
      </c>
      <c r="D646" s="124">
        <v>1959</v>
      </c>
      <c r="E646" s="124"/>
      <c r="F646" s="129" t="s">
        <v>269</v>
      </c>
      <c r="G646" s="124">
        <v>2</v>
      </c>
      <c r="H646" s="124" t="s">
        <v>305</v>
      </c>
      <c r="I646" s="125">
        <v>692.3</v>
      </c>
      <c r="J646" s="125">
        <v>645.9</v>
      </c>
      <c r="K646" s="125">
        <v>615.29999999999995</v>
      </c>
      <c r="L646" s="126">
        <v>28</v>
      </c>
      <c r="M646" s="124" t="s">
        <v>267</v>
      </c>
      <c r="N646" s="124" t="s">
        <v>268</v>
      </c>
      <c r="O646" s="127" t="s">
        <v>270</v>
      </c>
      <c r="P646" s="128">
        <v>3345121.12</v>
      </c>
      <c r="Q646" s="128">
        <v>0</v>
      </c>
      <c r="R646" s="128">
        <v>0</v>
      </c>
      <c r="S646" s="128">
        <f t="shared" si="156"/>
        <v>3345121.12</v>
      </c>
      <c r="T646" s="128">
        <f t="shared" si="149"/>
        <v>4831.8953055033953</v>
      </c>
      <c r="U646" s="128">
        <v>5461.7286725408057</v>
      </c>
      <c r="V646" s="257">
        <f t="shared" si="155"/>
        <v>629.83336703741043</v>
      </c>
      <c r="W646" s="257">
        <f t="shared" si="157"/>
        <v>5443.162848476095</v>
      </c>
      <c r="X646" s="257">
        <v>0</v>
      </c>
      <c r="Y646" s="258">
        <v>0</v>
      </c>
      <c r="Z646" s="258">
        <v>0</v>
      </c>
      <c r="AA646" s="258">
        <v>0</v>
      </c>
      <c r="AB646" s="258">
        <v>0</v>
      </c>
      <c r="AC646" s="258">
        <v>0</v>
      </c>
      <c r="AD646" s="258">
        <v>0</v>
      </c>
      <c r="AE646" s="258">
        <v>604</v>
      </c>
      <c r="AF646" s="257">
        <f>6238.91*AE646/I646</f>
        <v>5443.162848476095</v>
      </c>
      <c r="AG646" s="258">
        <v>0</v>
      </c>
      <c r="AH646" s="257">
        <v>0</v>
      </c>
      <c r="AI646" s="258">
        <v>0</v>
      </c>
      <c r="AJ646" s="257">
        <v>0</v>
      </c>
      <c r="AK646" s="258">
        <v>0</v>
      </c>
      <c r="AL646" s="258">
        <v>0</v>
      </c>
      <c r="AM646" s="258">
        <v>0</v>
      </c>
      <c r="AN646" s="258"/>
      <c r="AO646" s="258">
        <v>0</v>
      </c>
    </row>
    <row r="647" spans="1:41" s="259" customFormat="1" ht="36" customHeight="1" x14ac:dyDescent="0.25">
      <c r="A647" s="259">
        <v>1</v>
      </c>
      <c r="B647" s="135">
        <f>SUBTOTAL(103,$A$552:A647)</f>
        <v>95</v>
      </c>
      <c r="C647" s="94" t="s">
        <v>462</v>
      </c>
      <c r="D647" s="124">
        <v>1972</v>
      </c>
      <c r="E647" s="124"/>
      <c r="F647" s="129" t="s">
        <v>269</v>
      </c>
      <c r="G647" s="124">
        <v>2</v>
      </c>
      <c r="H647" s="124" t="s">
        <v>305</v>
      </c>
      <c r="I647" s="125">
        <v>800.8</v>
      </c>
      <c r="J647" s="125">
        <v>734.3</v>
      </c>
      <c r="K647" s="125">
        <v>734.3</v>
      </c>
      <c r="L647" s="126">
        <v>35</v>
      </c>
      <c r="M647" s="124" t="s">
        <v>267</v>
      </c>
      <c r="N647" s="124" t="s">
        <v>268</v>
      </c>
      <c r="O647" s="127" t="s">
        <v>270</v>
      </c>
      <c r="P647" s="128">
        <v>3589208.68</v>
      </c>
      <c r="Q647" s="128">
        <v>0</v>
      </c>
      <c r="R647" s="128">
        <v>0</v>
      </c>
      <c r="S647" s="128">
        <f t="shared" si="156"/>
        <v>3589208.68</v>
      </c>
      <c r="T647" s="128">
        <f t="shared" si="149"/>
        <v>4482.028821178822</v>
      </c>
      <c r="U647" s="128">
        <v>5653.870898601398</v>
      </c>
      <c r="V647" s="257">
        <f t="shared" si="155"/>
        <v>1171.842077422576</v>
      </c>
      <c r="W647" s="257">
        <f t="shared" si="157"/>
        <v>5634.6519335664343</v>
      </c>
      <c r="X647" s="257">
        <v>0</v>
      </c>
      <c r="Y647" s="258">
        <v>0</v>
      </c>
      <c r="Z647" s="258">
        <v>0</v>
      </c>
      <c r="AA647" s="258">
        <v>0</v>
      </c>
      <c r="AB647" s="258">
        <v>0</v>
      </c>
      <c r="AC647" s="258">
        <v>0</v>
      </c>
      <c r="AD647" s="258">
        <v>0</v>
      </c>
      <c r="AE647" s="258">
        <v>723.24</v>
      </c>
      <c r="AF647" s="257">
        <f>6238.91*AE647/I647</f>
        <v>5634.6519335664343</v>
      </c>
      <c r="AG647" s="258">
        <v>0</v>
      </c>
      <c r="AH647" s="257">
        <v>0</v>
      </c>
      <c r="AI647" s="258">
        <v>0</v>
      </c>
      <c r="AJ647" s="257">
        <v>0</v>
      </c>
      <c r="AK647" s="258">
        <v>0</v>
      </c>
      <c r="AL647" s="258">
        <v>0</v>
      </c>
      <c r="AM647" s="258">
        <v>0</v>
      </c>
      <c r="AN647" s="258"/>
      <c r="AO647" s="258">
        <v>0</v>
      </c>
    </row>
    <row r="648" spans="1:41" s="259" customFormat="1" ht="36" customHeight="1" x14ac:dyDescent="0.25">
      <c r="A648" s="259">
        <v>1</v>
      </c>
      <c r="B648" s="135">
        <f>SUBTOTAL(103,$A$552:A648)</f>
        <v>96</v>
      </c>
      <c r="C648" s="94" t="s">
        <v>463</v>
      </c>
      <c r="D648" s="124">
        <v>1954</v>
      </c>
      <c r="E648" s="124"/>
      <c r="F648" s="129" t="s">
        <v>326</v>
      </c>
      <c r="G648" s="124">
        <v>2</v>
      </c>
      <c r="H648" s="124" t="s">
        <v>305</v>
      </c>
      <c r="I648" s="125">
        <v>391.3</v>
      </c>
      <c r="J648" s="125">
        <v>360.5</v>
      </c>
      <c r="K648" s="125">
        <v>360.5</v>
      </c>
      <c r="L648" s="126">
        <v>15</v>
      </c>
      <c r="M648" s="124" t="s">
        <v>267</v>
      </c>
      <c r="N648" s="124" t="s">
        <v>268</v>
      </c>
      <c r="O648" s="127" t="s">
        <v>270</v>
      </c>
      <c r="P648" s="128">
        <v>998954.77999999991</v>
      </c>
      <c r="Q648" s="128">
        <v>0</v>
      </c>
      <c r="R648" s="128">
        <v>0</v>
      </c>
      <c r="S648" s="128">
        <f t="shared" si="156"/>
        <v>998954.77999999991</v>
      </c>
      <c r="T648" s="128">
        <f t="shared" si="149"/>
        <v>2552.912803475594</v>
      </c>
      <c r="U648" s="128">
        <v>7785.104651162791</v>
      </c>
      <c r="V648" s="257">
        <f t="shared" si="155"/>
        <v>5232.191847687197</v>
      </c>
      <c r="W648" s="257">
        <f t="shared" si="157"/>
        <v>8165.5220930232554</v>
      </c>
      <c r="X648" s="257">
        <v>0</v>
      </c>
      <c r="Y648" s="258">
        <v>0</v>
      </c>
      <c r="Z648" s="258">
        <v>0</v>
      </c>
      <c r="AA648" s="258">
        <v>0</v>
      </c>
      <c r="AB648" s="258">
        <v>0</v>
      </c>
      <c r="AC648" s="258">
        <v>0</v>
      </c>
      <c r="AD648" s="258">
        <v>0</v>
      </c>
      <c r="AE648" s="258">
        <v>0</v>
      </c>
      <c r="AF648" s="257">
        <v>0</v>
      </c>
      <c r="AG648" s="258">
        <v>0</v>
      </c>
      <c r="AH648" s="257">
        <v>0</v>
      </c>
      <c r="AI648" s="258">
        <v>409.5</v>
      </c>
      <c r="AJ648" s="257">
        <f>7802.61*AI648/I648</f>
        <v>8165.5220930232554</v>
      </c>
      <c r="AK648" s="258">
        <v>0</v>
      </c>
      <c r="AL648" s="258">
        <v>0</v>
      </c>
      <c r="AM648" s="258">
        <v>0</v>
      </c>
      <c r="AN648" s="258"/>
      <c r="AO648" s="258">
        <v>0</v>
      </c>
    </row>
    <row r="649" spans="1:41" s="259" customFormat="1" ht="36" customHeight="1" x14ac:dyDescent="0.25">
      <c r="A649" s="259">
        <v>1</v>
      </c>
      <c r="B649" s="135">
        <f>SUBTOTAL(103,$A$552:A649)</f>
        <v>97</v>
      </c>
      <c r="C649" s="94" t="s">
        <v>466</v>
      </c>
      <c r="D649" s="124">
        <v>1957</v>
      </c>
      <c r="E649" s="124">
        <v>2010</v>
      </c>
      <c r="F649" s="129" t="s">
        <v>269</v>
      </c>
      <c r="G649" s="124">
        <v>2</v>
      </c>
      <c r="H649" s="124" t="s">
        <v>305</v>
      </c>
      <c r="I649" s="125">
        <v>728.8</v>
      </c>
      <c r="J649" s="125">
        <v>720.3</v>
      </c>
      <c r="K649" s="125">
        <v>720.3</v>
      </c>
      <c r="L649" s="126">
        <v>14</v>
      </c>
      <c r="M649" s="124" t="s">
        <v>267</v>
      </c>
      <c r="N649" s="124" t="s">
        <v>343</v>
      </c>
      <c r="O649" s="127" t="s">
        <v>344</v>
      </c>
      <c r="P649" s="128">
        <v>3504528.03</v>
      </c>
      <c r="Q649" s="128">
        <v>0</v>
      </c>
      <c r="R649" s="128">
        <v>0</v>
      </c>
      <c r="S649" s="128">
        <f t="shared" si="156"/>
        <v>3504528.03</v>
      </c>
      <c r="T649" s="128">
        <f t="shared" si="149"/>
        <v>4808.6279226125134</v>
      </c>
      <c r="U649" s="128">
        <v>4808.6279226125134</v>
      </c>
      <c r="V649" s="257">
        <f t="shared" si="155"/>
        <v>0</v>
      </c>
      <c r="W649" s="257">
        <f t="shared" si="157"/>
        <v>4523.83</v>
      </c>
      <c r="X649" s="257">
        <v>101.55</v>
      </c>
      <c r="Y649" s="258">
        <v>0</v>
      </c>
      <c r="Z649" s="258">
        <v>3626.97</v>
      </c>
      <c r="AA649" s="258">
        <v>0</v>
      </c>
      <c r="AB649" s="258">
        <v>795.31</v>
      </c>
      <c r="AC649" s="258">
        <v>0</v>
      </c>
      <c r="AD649" s="258">
        <v>0</v>
      </c>
      <c r="AE649" s="258">
        <v>0</v>
      </c>
      <c r="AF649" s="257">
        <v>0</v>
      </c>
      <c r="AG649" s="258">
        <v>0</v>
      </c>
      <c r="AH649" s="257">
        <v>0</v>
      </c>
      <c r="AI649" s="258">
        <v>0</v>
      </c>
      <c r="AJ649" s="257">
        <v>0</v>
      </c>
      <c r="AK649" s="258">
        <v>0</v>
      </c>
      <c r="AL649" s="258">
        <v>0</v>
      </c>
      <c r="AM649" s="258">
        <v>0</v>
      </c>
      <c r="AN649" s="258"/>
      <c r="AO649" s="258">
        <v>0</v>
      </c>
    </row>
    <row r="650" spans="1:41" s="259" customFormat="1" ht="36" customHeight="1" x14ac:dyDescent="0.25">
      <c r="A650" s="259">
        <v>1</v>
      </c>
      <c r="B650" s="135">
        <f>SUBTOTAL(103,$A$552:A650)</f>
        <v>98</v>
      </c>
      <c r="C650" s="94" t="s">
        <v>467</v>
      </c>
      <c r="D650" s="124">
        <v>1976</v>
      </c>
      <c r="E650" s="124">
        <v>2008</v>
      </c>
      <c r="F650" s="129" t="s">
        <v>313</v>
      </c>
      <c r="G650" s="124">
        <v>5</v>
      </c>
      <c r="H650" s="124" t="s">
        <v>2295</v>
      </c>
      <c r="I650" s="125">
        <v>7722.2</v>
      </c>
      <c r="J650" s="125">
        <v>7705.8</v>
      </c>
      <c r="K650" s="125">
        <v>7705.8</v>
      </c>
      <c r="L650" s="126">
        <v>351</v>
      </c>
      <c r="M650" s="124" t="s">
        <v>267</v>
      </c>
      <c r="N650" s="124" t="s">
        <v>271</v>
      </c>
      <c r="O650" s="127" t="s">
        <v>345</v>
      </c>
      <c r="P650" s="128">
        <v>7806669.5300000003</v>
      </c>
      <c r="Q650" s="128">
        <v>0</v>
      </c>
      <c r="R650" s="128">
        <v>0</v>
      </c>
      <c r="S650" s="128">
        <f t="shared" si="156"/>
        <v>7806669.5300000003</v>
      </c>
      <c r="T650" s="128">
        <f t="shared" si="149"/>
        <v>1010.9385317655591</v>
      </c>
      <c r="U650" s="128">
        <v>2491.5672937116365</v>
      </c>
      <c r="V650" s="257">
        <f t="shared" si="155"/>
        <v>1480.6287619460772</v>
      </c>
      <c r="W650" s="257">
        <f t="shared" si="157"/>
        <v>2483.0978140296802</v>
      </c>
      <c r="X650" s="257">
        <v>0</v>
      </c>
      <c r="Y650" s="258">
        <v>0</v>
      </c>
      <c r="Z650" s="258">
        <v>0</v>
      </c>
      <c r="AA650" s="258">
        <v>0</v>
      </c>
      <c r="AB650" s="258">
        <v>0</v>
      </c>
      <c r="AC650" s="258">
        <v>0</v>
      </c>
      <c r="AD650" s="258">
        <v>0</v>
      </c>
      <c r="AE650" s="258">
        <v>3073.45</v>
      </c>
      <c r="AF650" s="257">
        <f t="shared" ref="AF650:AF657" si="158">6238.91*AE650/I650</f>
        <v>2483.0978140296802</v>
      </c>
      <c r="AG650" s="258">
        <v>0</v>
      </c>
      <c r="AH650" s="257">
        <v>0</v>
      </c>
      <c r="AI650" s="258">
        <v>0</v>
      </c>
      <c r="AJ650" s="257">
        <v>0</v>
      </c>
      <c r="AK650" s="258">
        <v>0</v>
      </c>
      <c r="AL650" s="258">
        <v>0</v>
      </c>
      <c r="AM650" s="258">
        <v>0</v>
      </c>
      <c r="AN650" s="258"/>
      <c r="AO650" s="258">
        <v>0</v>
      </c>
    </row>
    <row r="651" spans="1:41" s="259" customFormat="1" ht="36" customHeight="1" x14ac:dyDescent="0.25">
      <c r="A651" s="259">
        <v>1</v>
      </c>
      <c r="B651" s="135">
        <f>SUBTOTAL(103,$A$552:A651)</f>
        <v>99</v>
      </c>
      <c r="C651" s="94" t="s">
        <v>447</v>
      </c>
      <c r="D651" s="124">
        <v>1969</v>
      </c>
      <c r="E651" s="124"/>
      <c r="F651" s="129" t="s">
        <v>269</v>
      </c>
      <c r="G651" s="124">
        <v>2</v>
      </c>
      <c r="H651" s="124" t="s">
        <v>305</v>
      </c>
      <c r="I651" s="128">
        <v>725.2</v>
      </c>
      <c r="J651" s="128">
        <v>674.9</v>
      </c>
      <c r="K651" s="128">
        <v>674.9</v>
      </c>
      <c r="L651" s="126">
        <v>25</v>
      </c>
      <c r="M651" s="124" t="s">
        <v>267</v>
      </c>
      <c r="N651" s="124" t="s">
        <v>268</v>
      </c>
      <c r="O651" s="127" t="s">
        <v>270</v>
      </c>
      <c r="P651" s="128">
        <v>4800723</v>
      </c>
      <c r="Q651" s="128">
        <v>0</v>
      </c>
      <c r="R651" s="128">
        <v>0</v>
      </c>
      <c r="S651" s="128">
        <f t="shared" si="156"/>
        <v>4800723</v>
      </c>
      <c r="T651" s="128">
        <f t="shared" si="149"/>
        <v>6619.860728075013</v>
      </c>
      <c r="U651" s="128">
        <v>7337.5089630446764</v>
      </c>
      <c r="V651" s="257">
        <f t="shared" si="155"/>
        <v>717.64823496966346</v>
      </c>
      <c r="W651" s="257">
        <f t="shared" si="157"/>
        <v>7312.5668781025915</v>
      </c>
      <c r="X651" s="257">
        <v>0</v>
      </c>
      <c r="Y651" s="258">
        <v>0</v>
      </c>
      <c r="Z651" s="258">
        <v>0</v>
      </c>
      <c r="AA651" s="258">
        <v>0</v>
      </c>
      <c r="AB651" s="258">
        <v>0</v>
      </c>
      <c r="AC651" s="258">
        <v>0</v>
      </c>
      <c r="AD651" s="258">
        <v>0</v>
      </c>
      <c r="AE651" s="258">
        <v>850</v>
      </c>
      <c r="AF651" s="257">
        <f t="shared" si="158"/>
        <v>7312.5668781025915</v>
      </c>
      <c r="AG651" s="258">
        <v>0</v>
      </c>
      <c r="AH651" s="257">
        <v>0</v>
      </c>
      <c r="AI651" s="258">
        <v>0</v>
      </c>
      <c r="AJ651" s="257">
        <v>0</v>
      </c>
      <c r="AK651" s="258">
        <v>0</v>
      </c>
      <c r="AL651" s="258">
        <v>0</v>
      </c>
      <c r="AM651" s="258">
        <v>0</v>
      </c>
      <c r="AN651" s="258"/>
      <c r="AO651" s="258">
        <v>0</v>
      </c>
    </row>
    <row r="652" spans="1:41" s="259" customFormat="1" ht="36" customHeight="1" x14ac:dyDescent="0.25">
      <c r="A652" s="259">
        <v>1</v>
      </c>
      <c r="B652" s="135">
        <f>SUBTOTAL(103,$A$552:A652)</f>
        <v>100</v>
      </c>
      <c r="C652" s="94" t="s">
        <v>1292</v>
      </c>
      <c r="D652" s="124">
        <v>1970</v>
      </c>
      <c r="E652" s="124"/>
      <c r="F652" s="129" t="s">
        <v>269</v>
      </c>
      <c r="G652" s="124">
        <v>2</v>
      </c>
      <c r="H652" s="124" t="s">
        <v>305</v>
      </c>
      <c r="I652" s="125">
        <v>781.5</v>
      </c>
      <c r="J652" s="125">
        <v>722.4</v>
      </c>
      <c r="K652" s="125">
        <v>722.4</v>
      </c>
      <c r="L652" s="126">
        <v>29</v>
      </c>
      <c r="M652" s="124" t="s">
        <v>267</v>
      </c>
      <c r="N652" s="124" t="s">
        <v>268</v>
      </c>
      <c r="O652" s="127" t="s">
        <v>270</v>
      </c>
      <c r="P652" s="128">
        <v>3973949.34</v>
      </c>
      <c r="Q652" s="128">
        <v>0</v>
      </c>
      <c r="R652" s="128">
        <v>0</v>
      </c>
      <c r="S652" s="128">
        <f t="shared" si="156"/>
        <v>3973949.34</v>
      </c>
      <c r="T652" s="128">
        <f t="shared" si="149"/>
        <v>5085.0279462571971</v>
      </c>
      <c r="U652" s="128">
        <v>5740.9506963531658</v>
      </c>
      <c r="V652" s="257">
        <f t="shared" si="155"/>
        <v>655.92275009596869</v>
      </c>
      <c r="W652" s="257">
        <f t="shared" si="157"/>
        <v>5721.4357246321169</v>
      </c>
      <c r="X652" s="257">
        <v>0</v>
      </c>
      <c r="Y652" s="258">
        <v>0</v>
      </c>
      <c r="Z652" s="258">
        <v>0</v>
      </c>
      <c r="AA652" s="258">
        <v>0</v>
      </c>
      <c r="AB652" s="258">
        <v>0</v>
      </c>
      <c r="AC652" s="258">
        <v>0</v>
      </c>
      <c r="AD652" s="258">
        <v>0</v>
      </c>
      <c r="AE652" s="258">
        <v>716.68</v>
      </c>
      <c r="AF652" s="257">
        <f t="shared" si="158"/>
        <v>5721.4357246321169</v>
      </c>
      <c r="AG652" s="258">
        <v>0</v>
      </c>
      <c r="AH652" s="257">
        <v>0</v>
      </c>
      <c r="AI652" s="258">
        <v>0</v>
      </c>
      <c r="AJ652" s="257">
        <v>0</v>
      </c>
      <c r="AK652" s="258">
        <v>0</v>
      </c>
      <c r="AL652" s="258">
        <v>0</v>
      </c>
      <c r="AM652" s="258">
        <v>0</v>
      </c>
      <c r="AN652" s="258"/>
      <c r="AO652" s="258">
        <v>0</v>
      </c>
    </row>
    <row r="653" spans="1:41" s="259" customFormat="1" ht="36" customHeight="1" x14ac:dyDescent="0.25">
      <c r="A653" s="259">
        <v>1</v>
      </c>
      <c r="B653" s="135">
        <f>SUBTOTAL(103,$A$552:A653)</f>
        <v>101</v>
      </c>
      <c r="C653" s="94" t="s">
        <v>465</v>
      </c>
      <c r="D653" s="124">
        <v>1971</v>
      </c>
      <c r="E653" s="124"/>
      <c r="F653" s="129" t="s">
        <v>269</v>
      </c>
      <c r="G653" s="124">
        <v>2</v>
      </c>
      <c r="H653" s="124" t="s">
        <v>305</v>
      </c>
      <c r="I653" s="125">
        <v>775.3</v>
      </c>
      <c r="J653" s="125">
        <v>716.1</v>
      </c>
      <c r="K653" s="125">
        <v>716.1</v>
      </c>
      <c r="L653" s="126">
        <v>35</v>
      </c>
      <c r="M653" s="124" t="s">
        <v>267</v>
      </c>
      <c r="N653" s="124" t="s">
        <v>268</v>
      </c>
      <c r="O653" s="127" t="s">
        <v>270</v>
      </c>
      <c r="P653" s="128">
        <v>3793636.92</v>
      </c>
      <c r="Q653" s="128">
        <v>0</v>
      </c>
      <c r="R653" s="128">
        <v>0</v>
      </c>
      <c r="S653" s="128">
        <f t="shared" si="156"/>
        <v>3793636.92</v>
      </c>
      <c r="T653" s="128">
        <f t="shared" ref="T653:T717" si="159">P653/I653</f>
        <v>4893.1212691861219</v>
      </c>
      <c r="U653" s="128">
        <v>5845.96615503676</v>
      </c>
      <c r="V653" s="257">
        <f t="shared" si="155"/>
        <v>952.84488585063809</v>
      </c>
      <c r="W653" s="257">
        <f t="shared" si="157"/>
        <v>5826.0942086934092</v>
      </c>
      <c r="X653" s="257">
        <v>0</v>
      </c>
      <c r="Y653" s="258">
        <v>0</v>
      </c>
      <c r="Z653" s="258">
        <v>0</v>
      </c>
      <c r="AA653" s="258">
        <v>0</v>
      </c>
      <c r="AB653" s="258">
        <v>0</v>
      </c>
      <c r="AC653" s="258">
        <v>0</v>
      </c>
      <c r="AD653" s="258">
        <v>0</v>
      </c>
      <c r="AE653" s="258">
        <v>724</v>
      </c>
      <c r="AF653" s="257">
        <f t="shared" si="158"/>
        <v>5826.0942086934092</v>
      </c>
      <c r="AG653" s="258">
        <v>0</v>
      </c>
      <c r="AH653" s="257">
        <v>0</v>
      </c>
      <c r="AI653" s="258">
        <v>0</v>
      </c>
      <c r="AJ653" s="257">
        <v>0</v>
      </c>
      <c r="AK653" s="258">
        <v>0</v>
      </c>
      <c r="AL653" s="258">
        <v>0</v>
      </c>
      <c r="AM653" s="258">
        <v>0</v>
      </c>
      <c r="AN653" s="258"/>
      <c r="AO653" s="258">
        <v>0</v>
      </c>
    </row>
    <row r="654" spans="1:41" s="259" customFormat="1" ht="36" customHeight="1" x14ac:dyDescent="0.25">
      <c r="A654" s="259">
        <v>1</v>
      </c>
      <c r="B654" s="135">
        <f>SUBTOTAL(103,$A$552:A654)</f>
        <v>102</v>
      </c>
      <c r="C654" s="94" t="s">
        <v>1635</v>
      </c>
      <c r="D654" s="124">
        <v>1959</v>
      </c>
      <c r="E654" s="124"/>
      <c r="F654" s="129" t="s">
        <v>1348</v>
      </c>
      <c r="G654" s="124">
        <v>2</v>
      </c>
      <c r="H654" s="124" t="s">
        <v>305</v>
      </c>
      <c r="I654" s="125">
        <v>693.8</v>
      </c>
      <c r="J654" s="125">
        <v>645.20000000000005</v>
      </c>
      <c r="K654" s="125">
        <v>573.4</v>
      </c>
      <c r="L654" s="126">
        <v>22</v>
      </c>
      <c r="M654" s="124" t="s">
        <v>267</v>
      </c>
      <c r="N654" s="124" t="s">
        <v>268</v>
      </c>
      <c r="O654" s="127" t="s">
        <v>270</v>
      </c>
      <c r="P654" s="128">
        <v>3607695.84</v>
      </c>
      <c r="Q654" s="128">
        <v>0</v>
      </c>
      <c r="R654" s="128">
        <v>0</v>
      </c>
      <c r="S654" s="128">
        <f t="shared" si="156"/>
        <v>3607695.84</v>
      </c>
      <c r="T654" s="128">
        <f t="shared" si="159"/>
        <v>5199.9075237820698</v>
      </c>
      <c r="U654" s="128">
        <v>5662.8642894205823</v>
      </c>
      <c r="V654" s="257">
        <f t="shared" si="155"/>
        <v>462.95676563851248</v>
      </c>
      <c r="W654" s="257">
        <f t="shared" si="157"/>
        <v>5643.6147535312775</v>
      </c>
      <c r="X654" s="257">
        <v>0</v>
      </c>
      <c r="Y654" s="258">
        <v>0</v>
      </c>
      <c r="Z654" s="258">
        <v>0</v>
      </c>
      <c r="AA654" s="258">
        <v>0</v>
      </c>
      <c r="AB654" s="258">
        <v>0</v>
      </c>
      <c r="AC654" s="258">
        <v>0</v>
      </c>
      <c r="AD654" s="258">
        <v>0</v>
      </c>
      <c r="AE654" s="258">
        <v>627.6</v>
      </c>
      <c r="AF654" s="257">
        <f t="shared" si="158"/>
        <v>5643.6147535312775</v>
      </c>
      <c r="AG654" s="258">
        <v>0</v>
      </c>
      <c r="AH654" s="257">
        <v>0</v>
      </c>
      <c r="AI654" s="258">
        <v>0</v>
      </c>
      <c r="AJ654" s="257">
        <v>0</v>
      </c>
      <c r="AK654" s="258">
        <v>0</v>
      </c>
      <c r="AL654" s="258">
        <v>0</v>
      </c>
      <c r="AM654" s="258">
        <v>0</v>
      </c>
      <c r="AN654" s="258"/>
      <c r="AO654" s="258">
        <v>0</v>
      </c>
    </row>
    <row r="655" spans="1:41" s="259" customFormat="1" ht="36" customHeight="1" x14ac:dyDescent="0.25">
      <c r="A655" s="259">
        <v>1</v>
      </c>
      <c r="B655" s="135">
        <f>SUBTOTAL(103,$A$552:A655)</f>
        <v>103</v>
      </c>
      <c r="C655" s="94" t="s">
        <v>1636</v>
      </c>
      <c r="D655" s="124">
        <v>1959</v>
      </c>
      <c r="E655" s="124"/>
      <c r="F655" s="129" t="s">
        <v>1348</v>
      </c>
      <c r="G655" s="124">
        <v>2</v>
      </c>
      <c r="H655" s="124" t="s">
        <v>306</v>
      </c>
      <c r="I655" s="125">
        <v>301.39999999999998</v>
      </c>
      <c r="J655" s="125">
        <v>280.39999999999998</v>
      </c>
      <c r="K655" s="125">
        <v>280.39999999999998</v>
      </c>
      <c r="L655" s="126">
        <v>17</v>
      </c>
      <c r="M655" s="124" t="s">
        <v>267</v>
      </c>
      <c r="N655" s="124" t="s">
        <v>268</v>
      </c>
      <c r="O655" s="127" t="s">
        <v>270</v>
      </c>
      <c r="P655" s="128">
        <v>1597480.36</v>
      </c>
      <c r="Q655" s="128">
        <v>0</v>
      </c>
      <c r="R655" s="128">
        <v>0</v>
      </c>
      <c r="S655" s="128">
        <f t="shared" si="156"/>
        <v>1597480.36</v>
      </c>
      <c r="T655" s="128">
        <f t="shared" si="159"/>
        <v>5300.2002654280031</v>
      </c>
      <c r="U655" s="128">
        <v>5772.0862674187119</v>
      </c>
      <c r="V655" s="257">
        <f t="shared" si="155"/>
        <v>471.88600199070879</v>
      </c>
      <c r="W655" s="257">
        <f t="shared" si="157"/>
        <v>5752.4654578633044</v>
      </c>
      <c r="X655" s="257">
        <v>0</v>
      </c>
      <c r="Y655" s="258">
        <v>0</v>
      </c>
      <c r="Z655" s="258">
        <v>0</v>
      </c>
      <c r="AA655" s="258">
        <v>0</v>
      </c>
      <c r="AB655" s="258">
        <v>0</v>
      </c>
      <c r="AC655" s="258">
        <v>0</v>
      </c>
      <c r="AD655" s="258">
        <v>0</v>
      </c>
      <c r="AE655" s="258">
        <v>277.89999999999998</v>
      </c>
      <c r="AF655" s="257">
        <f t="shared" si="158"/>
        <v>5752.4654578633044</v>
      </c>
      <c r="AG655" s="258">
        <v>0</v>
      </c>
      <c r="AH655" s="257">
        <v>0</v>
      </c>
      <c r="AI655" s="258">
        <v>0</v>
      </c>
      <c r="AJ655" s="257">
        <v>0</v>
      </c>
      <c r="AK655" s="258">
        <v>0</v>
      </c>
      <c r="AL655" s="258">
        <v>0</v>
      </c>
      <c r="AM655" s="258">
        <v>0</v>
      </c>
      <c r="AN655" s="258"/>
      <c r="AO655" s="258">
        <v>0</v>
      </c>
    </row>
    <row r="656" spans="1:41" s="259" customFormat="1" ht="36" customHeight="1" x14ac:dyDescent="0.25">
      <c r="A656" s="259">
        <v>1</v>
      </c>
      <c r="B656" s="135">
        <f>SUBTOTAL(103,$A$552:A656)</f>
        <v>104</v>
      </c>
      <c r="C656" s="94" t="s">
        <v>1637</v>
      </c>
      <c r="D656" s="124">
        <v>1962</v>
      </c>
      <c r="E656" s="124"/>
      <c r="F656" s="129" t="s">
        <v>1348</v>
      </c>
      <c r="G656" s="124">
        <v>2</v>
      </c>
      <c r="H656" s="124" t="s">
        <v>305</v>
      </c>
      <c r="I656" s="125">
        <v>585.91</v>
      </c>
      <c r="J656" s="125">
        <v>546.5</v>
      </c>
      <c r="K656" s="125">
        <v>546.5</v>
      </c>
      <c r="L656" s="126">
        <v>38</v>
      </c>
      <c r="M656" s="124" t="s">
        <v>267</v>
      </c>
      <c r="N656" s="124" t="s">
        <v>268</v>
      </c>
      <c r="O656" s="127" t="s">
        <v>270</v>
      </c>
      <c r="P656" s="128">
        <v>3132303.1599999997</v>
      </c>
      <c r="Q656" s="128">
        <v>0</v>
      </c>
      <c r="R656" s="128">
        <v>0</v>
      </c>
      <c r="S656" s="128">
        <f t="shared" si="156"/>
        <v>3132303.1599999997</v>
      </c>
      <c r="T656" s="128">
        <f t="shared" si="159"/>
        <v>5346.0483009335903</v>
      </c>
      <c r="U656" s="128">
        <v>5822.0162328685292</v>
      </c>
      <c r="V656" s="257">
        <f t="shared" si="155"/>
        <v>475.96793193493886</v>
      </c>
      <c r="W656" s="257">
        <f t="shared" si="157"/>
        <v>5802.225698486116</v>
      </c>
      <c r="X656" s="257">
        <v>0</v>
      </c>
      <c r="Y656" s="258">
        <v>0</v>
      </c>
      <c r="Z656" s="258">
        <v>0</v>
      </c>
      <c r="AA656" s="258">
        <v>0</v>
      </c>
      <c r="AB656" s="258">
        <v>0</v>
      </c>
      <c r="AC656" s="258">
        <v>0</v>
      </c>
      <c r="AD656" s="258">
        <v>0</v>
      </c>
      <c r="AE656" s="258">
        <v>544.9</v>
      </c>
      <c r="AF656" s="257">
        <f t="shared" si="158"/>
        <v>5802.225698486116</v>
      </c>
      <c r="AG656" s="258">
        <v>0</v>
      </c>
      <c r="AH656" s="257">
        <v>0</v>
      </c>
      <c r="AI656" s="258">
        <v>0</v>
      </c>
      <c r="AJ656" s="257">
        <v>0</v>
      </c>
      <c r="AK656" s="258">
        <v>0</v>
      </c>
      <c r="AL656" s="258">
        <v>0</v>
      </c>
      <c r="AM656" s="258">
        <v>0</v>
      </c>
      <c r="AN656" s="258"/>
      <c r="AO656" s="258">
        <v>0</v>
      </c>
    </row>
    <row r="657" spans="1:41" s="259" customFormat="1" ht="36" customHeight="1" x14ac:dyDescent="0.25">
      <c r="A657" s="259">
        <v>1</v>
      </c>
      <c r="B657" s="135">
        <f>SUBTOTAL(103,$A$552:A657)</f>
        <v>105</v>
      </c>
      <c r="C657" s="94" t="s">
        <v>1638</v>
      </c>
      <c r="D657" s="124">
        <v>1966</v>
      </c>
      <c r="E657" s="124"/>
      <c r="F657" s="129" t="s">
        <v>1348</v>
      </c>
      <c r="G657" s="124">
        <v>2</v>
      </c>
      <c r="H657" s="124" t="s">
        <v>305</v>
      </c>
      <c r="I657" s="125">
        <v>462.3</v>
      </c>
      <c r="J657" s="125">
        <v>462.3</v>
      </c>
      <c r="K657" s="125">
        <v>462.3</v>
      </c>
      <c r="L657" s="126">
        <v>32</v>
      </c>
      <c r="M657" s="124" t="s">
        <v>267</v>
      </c>
      <c r="N657" s="124" t="s">
        <v>268</v>
      </c>
      <c r="O657" s="127" t="s">
        <v>270</v>
      </c>
      <c r="P657" s="128">
        <v>1937212.2999999998</v>
      </c>
      <c r="Q657" s="128">
        <v>0</v>
      </c>
      <c r="R657" s="128">
        <v>0</v>
      </c>
      <c r="S657" s="128">
        <f t="shared" si="156"/>
        <v>1937212.2999999998</v>
      </c>
      <c r="T657" s="128">
        <f t="shared" si="159"/>
        <v>4190.3791910015134</v>
      </c>
      <c r="U657" s="128">
        <v>4563.452368591823</v>
      </c>
      <c r="V657" s="257">
        <f t="shared" si="155"/>
        <v>373.07317759030957</v>
      </c>
      <c r="W657" s="257">
        <f t="shared" si="157"/>
        <v>4547.9400173047798</v>
      </c>
      <c r="X657" s="257">
        <v>0</v>
      </c>
      <c r="Y657" s="258">
        <v>0</v>
      </c>
      <c r="Z657" s="258">
        <v>0</v>
      </c>
      <c r="AA657" s="258">
        <v>0</v>
      </c>
      <c r="AB657" s="258">
        <v>0</v>
      </c>
      <c r="AC657" s="258">
        <v>0</v>
      </c>
      <c r="AD657" s="258">
        <v>0</v>
      </c>
      <c r="AE657" s="258">
        <v>337</v>
      </c>
      <c r="AF657" s="257">
        <f t="shared" si="158"/>
        <v>4547.9400173047798</v>
      </c>
      <c r="AG657" s="258">
        <v>0</v>
      </c>
      <c r="AH657" s="257">
        <v>0</v>
      </c>
      <c r="AI657" s="258">
        <v>0</v>
      </c>
      <c r="AJ657" s="257">
        <v>0</v>
      </c>
      <c r="AK657" s="258">
        <v>0</v>
      </c>
      <c r="AL657" s="258">
        <v>0</v>
      </c>
      <c r="AM657" s="258">
        <v>0</v>
      </c>
      <c r="AN657" s="258"/>
      <c r="AO657" s="258">
        <v>0</v>
      </c>
    </row>
    <row r="658" spans="1:41" s="259" customFormat="1" ht="36" customHeight="1" x14ac:dyDescent="0.25">
      <c r="A658" s="259">
        <v>1</v>
      </c>
      <c r="B658" s="135">
        <f>SUBTOTAL(103,$A$552:A658)</f>
        <v>106</v>
      </c>
      <c r="C658" s="94" t="s">
        <v>478</v>
      </c>
      <c r="D658" s="124">
        <v>1958</v>
      </c>
      <c r="E658" s="124"/>
      <c r="F658" s="129" t="s">
        <v>269</v>
      </c>
      <c r="G658" s="124">
        <v>2</v>
      </c>
      <c r="H658" s="124" t="s">
        <v>306</v>
      </c>
      <c r="I658" s="128">
        <v>660.3</v>
      </c>
      <c r="J658" s="128">
        <v>660.3</v>
      </c>
      <c r="K658" s="128">
        <v>660.3</v>
      </c>
      <c r="L658" s="126">
        <v>17</v>
      </c>
      <c r="M658" s="124" t="s">
        <v>267</v>
      </c>
      <c r="N658" s="124" t="s">
        <v>343</v>
      </c>
      <c r="O658" s="127" t="s">
        <v>344</v>
      </c>
      <c r="P658" s="128">
        <v>2847699.39</v>
      </c>
      <c r="Q658" s="128">
        <v>0</v>
      </c>
      <c r="R658" s="128">
        <v>0</v>
      </c>
      <c r="S658" s="128">
        <f t="shared" ref="S658:S663" si="160">P658-Q658-R658</f>
        <v>2847699.39</v>
      </c>
      <c r="T658" s="128">
        <f t="shared" si="159"/>
        <v>4312.7357110404364</v>
      </c>
      <c r="U658" s="128">
        <v>4835.2217174011812</v>
      </c>
      <c r="V658" s="257">
        <f t="shared" ref="V658:V663" si="161">U658-T658</f>
        <v>522.4860063607448</v>
      </c>
      <c r="W658" s="257">
        <f t="shared" ref="W658:W662" si="162">X658+Y658+Z658+AA658+AB658+AD658+AF658+AH658+AJ658+AL658+AN658+AO658</f>
        <v>3259.66</v>
      </c>
      <c r="X658" s="257">
        <v>0</v>
      </c>
      <c r="Y658" s="258">
        <v>0</v>
      </c>
      <c r="Z658" s="258">
        <v>3259.66</v>
      </c>
      <c r="AA658" s="258">
        <v>0</v>
      </c>
      <c r="AB658" s="258">
        <v>0</v>
      </c>
      <c r="AC658" s="258">
        <v>0</v>
      </c>
      <c r="AD658" s="258">
        <v>0</v>
      </c>
      <c r="AE658" s="258">
        <v>0</v>
      </c>
      <c r="AF658" s="257">
        <v>0</v>
      </c>
      <c r="AG658" s="258">
        <v>0</v>
      </c>
      <c r="AH658" s="257">
        <v>0</v>
      </c>
      <c r="AI658" s="258">
        <v>0</v>
      </c>
      <c r="AJ658" s="257">
        <v>0</v>
      </c>
      <c r="AK658" s="258">
        <v>0</v>
      </c>
      <c r="AL658" s="258">
        <v>0</v>
      </c>
      <c r="AM658" s="258">
        <v>0</v>
      </c>
      <c r="AN658" s="258"/>
      <c r="AO658" s="258">
        <v>0</v>
      </c>
    </row>
    <row r="659" spans="1:41" s="259" customFormat="1" ht="36" customHeight="1" x14ac:dyDescent="0.25">
      <c r="A659" s="259">
        <v>1</v>
      </c>
      <c r="B659" s="135">
        <f>SUBTOTAL(103,$A$552:A659)</f>
        <v>107</v>
      </c>
      <c r="C659" s="94" t="s">
        <v>1141</v>
      </c>
      <c r="D659" s="124">
        <v>1933</v>
      </c>
      <c r="E659" s="124">
        <v>2008</v>
      </c>
      <c r="F659" s="129" t="s">
        <v>269</v>
      </c>
      <c r="G659" s="124">
        <v>3</v>
      </c>
      <c r="H659" s="124" t="s">
        <v>310</v>
      </c>
      <c r="I659" s="128">
        <v>1863.4</v>
      </c>
      <c r="J659" s="128">
        <v>1677.4</v>
      </c>
      <c r="K659" s="128">
        <v>1677.4</v>
      </c>
      <c r="L659" s="126">
        <v>86</v>
      </c>
      <c r="M659" s="124" t="s">
        <v>267</v>
      </c>
      <c r="N659" s="124" t="s">
        <v>271</v>
      </c>
      <c r="O659" s="127" t="s">
        <v>348</v>
      </c>
      <c r="P659" s="128">
        <v>2152387.4200000004</v>
      </c>
      <c r="Q659" s="128">
        <v>0</v>
      </c>
      <c r="R659" s="128">
        <v>0</v>
      </c>
      <c r="S659" s="128">
        <f t="shared" si="160"/>
        <v>2152387.4200000004</v>
      </c>
      <c r="T659" s="128">
        <f t="shared" si="159"/>
        <v>1155.086089943115</v>
      </c>
      <c r="U659" s="128">
        <v>3259.66</v>
      </c>
      <c r="V659" s="257">
        <f t="shared" si="161"/>
        <v>2104.5739100568849</v>
      </c>
      <c r="W659" s="257">
        <f t="shared" si="162"/>
        <v>3259.66</v>
      </c>
      <c r="X659" s="257">
        <v>0</v>
      </c>
      <c r="Y659" s="258">
        <v>0</v>
      </c>
      <c r="Z659" s="258">
        <v>3259.66</v>
      </c>
      <c r="AA659" s="258">
        <v>0</v>
      </c>
      <c r="AB659" s="258">
        <v>0</v>
      </c>
      <c r="AC659" s="258">
        <v>0</v>
      </c>
      <c r="AD659" s="258">
        <v>0</v>
      </c>
      <c r="AE659" s="258">
        <v>0</v>
      </c>
      <c r="AF659" s="257">
        <v>0</v>
      </c>
      <c r="AG659" s="258">
        <v>0</v>
      </c>
      <c r="AH659" s="257">
        <v>0</v>
      </c>
      <c r="AI659" s="258">
        <v>0</v>
      </c>
      <c r="AJ659" s="257">
        <v>0</v>
      </c>
      <c r="AK659" s="258">
        <v>0</v>
      </c>
      <c r="AL659" s="258">
        <v>0</v>
      </c>
      <c r="AM659" s="258">
        <v>0</v>
      </c>
      <c r="AN659" s="258"/>
      <c r="AO659" s="258">
        <v>0</v>
      </c>
    </row>
    <row r="660" spans="1:41" s="259" customFormat="1" ht="36" customHeight="1" x14ac:dyDescent="0.25">
      <c r="A660" s="259">
        <v>1</v>
      </c>
      <c r="B660" s="135">
        <f>SUBTOTAL(103,$A$552:A660)</f>
        <v>108</v>
      </c>
      <c r="C660" s="94" t="s">
        <v>1146</v>
      </c>
      <c r="D660" s="124">
        <v>1964</v>
      </c>
      <c r="E660" s="124"/>
      <c r="F660" s="129" t="s">
        <v>269</v>
      </c>
      <c r="G660" s="124">
        <v>2</v>
      </c>
      <c r="H660" s="124" t="s">
        <v>306</v>
      </c>
      <c r="I660" s="128">
        <v>380.8</v>
      </c>
      <c r="J660" s="128">
        <v>380.8</v>
      </c>
      <c r="K660" s="128">
        <v>380.8</v>
      </c>
      <c r="L660" s="126">
        <v>13</v>
      </c>
      <c r="M660" s="124" t="s">
        <v>267</v>
      </c>
      <c r="N660" s="124" t="s">
        <v>268</v>
      </c>
      <c r="O660" s="127" t="s">
        <v>270</v>
      </c>
      <c r="P660" s="128">
        <v>534516.64</v>
      </c>
      <c r="Q660" s="128">
        <v>0</v>
      </c>
      <c r="R660" s="128">
        <v>0</v>
      </c>
      <c r="S660" s="128">
        <f t="shared" si="160"/>
        <v>534516.64</v>
      </c>
      <c r="T660" s="128">
        <f t="shared" si="159"/>
        <v>1403.6676470588236</v>
      </c>
      <c r="U660" s="128">
        <v>3259.66</v>
      </c>
      <c r="V660" s="257">
        <f t="shared" si="161"/>
        <v>1855.9923529411763</v>
      </c>
      <c r="W660" s="257">
        <f t="shared" si="162"/>
        <v>3259.66</v>
      </c>
      <c r="X660" s="257">
        <v>0</v>
      </c>
      <c r="Y660" s="258">
        <v>0</v>
      </c>
      <c r="Z660" s="258">
        <v>3259.66</v>
      </c>
      <c r="AA660" s="258">
        <v>0</v>
      </c>
      <c r="AB660" s="258">
        <v>0</v>
      </c>
      <c r="AC660" s="258">
        <v>0</v>
      </c>
      <c r="AD660" s="258">
        <v>0</v>
      </c>
      <c r="AE660" s="258">
        <v>0</v>
      </c>
      <c r="AF660" s="257">
        <v>0</v>
      </c>
      <c r="AG660" s="258">
        <v>0</v>
      </c>
      <c r="AH660" s="257">
        <v>0</v>
      </c>
      <c r="AI660" s="258">
        <v>0</v>
      </c>
      <c r="AJ660" s="257">
        <v>0</v>
      </c>
      <c r="AK660" s="258">
        <v>0</v>
      </c>
      <c r="AL660" s="258">
        <v>0</v>
      </c>
      <c r="AM660" s="258">
        <v>0</v>
      </c>
      <c r="AN660" s="258"/>
      <c r="AO660" s="258">
        <v>0</v>
      </c>
    </row>
    <row r="661" spans="1:41" s="259" customFormat="1" ht="36" customHeight="1" x14ac:dyDescent="0.25">
      <c r="A661" s="259">
        <v>1</v>
      </c>
      <c r="B661" s="135">
        <f>SUBTOTAL(103,$A$552:A661)</f>
        <v>109</v>
      </c>
      <c r="C661" s="94" t="s">
        <v>1151</v>
      </c>
      <c r="D661" s="124">
        <v>1977</v>
      </c>
      <c r="E661" s="124">
        <v>2014</v>
      </c>
      <c r="F661" s="129" t="s">
        <v>269</v>
      </c>
      <c r="G661" s="124">
        <v>5</v>
      </c>
      <c r="H661" s="124" t="s">
        <v>310</v>
      </c>
      <c r="I661" s="128">
        <v>3912.3</v>
      </c>
      <c r="J661" s="128">
        <v>3639.1</v>
      </c>
      <c r="K661" s="128">
        <v>2732.3</v>
      </c>
      <c r="L661" s="126">
        <v>140</v>
      </c>
      <c r="M661" s="124" t="s">
        <v>267</v>
      </c>
      <c r="N661" s="124" t="s">
        <v>271</v>
      </c>
      <c r="O661" s="127" t="s">
        <v>1306</v>
      </c>
      <c r="P661" s="128">
        <v>1370144.55</v>
      </c>
      <c r="Q661" s="128">
        <v>0</v>
      </c>
      <c r="R661" s="128">
        <v>0</v>
      </c>
      <c r="S661" s="128">
        <f t="shared" si="160"/>
        <v>1370144.55</v>
      </c>
      <c r="T661" s="128">
        <f t="shared" si="159"/>
        <v>350.2145924392301</v>
      </c>
      <c r="U661" s="128">
        <v>3259.66</v>
      </c>
      <c r="V661" s="257">
        <f t="shared" si="161"/>
        <v>2909.4454075607696</v>
      </c>
      <c r="W661" s="257">
        <f t="shared" si="162"/>
        <v>4054.97</v>
      </c>
      <c r="X661" s="257">
        <v>0</v>
      </c>
      <c r="Y661" s="258">
        <v>0</v>
      </c>
      <c r="Z661" s="258">
        <v>3259.66</v>
      </c>
      <c r="AA661" s="258">
        <v>0</v>
      </c>
      <c r="AB661" s="258">
        <v>795.31</v>
      </c>
      <c r="AC661" s="258">
        <v>0</v>
      </c>
      <c r="AD661" s="258">
        <v>0</v>
      </c>
      <c r="AE661" s="258">
        <v>0</v>
      </c>
      <c r="AF661" s="257">
        <v>0</v>
      </c>
      <c r="AG661" s="258">
        <v>0</v>
      </c>
      <c r="AH661" s="257">
        <v>0</v>
      </c>
      <c r="AI661" s="258">
        <v>0</v>
      </c>
      <c r="AJ661" s="257">
        <v>0</v>
      </c>
      <c r="AK661" s="258">
        <v>0</v>
      </c>
      <c r="AL661" s="258">
        <v>0</v>
      </c>
      <c r="AM661" s="258">
        <v>0</v>
      </c>
      <c r="AN661" s="258"/>
      <c r="AO661" s="258">
        <v>0</v>
      </c>
    </row>
    <row r="662" spans="1:41" s="259" customFormat="1" ht="36" customHeight="1" x14ac:dyDescent="0.25">
      <c r="A662" s="259">
        <v>1</v>
      </c>
      <c r="B662" s="135">
        <f>SUBTOTAL(103,$A$552:A662)</f>
        <v>110</v>
      </c>
      <c r="C662" s="94" t="s">
        <v>1153</v>
      </c>
      <c r="D662" s="124">
        <v>1985</v>
      </c>
      <c r="E662" s="124">
        <v>2014</v>
      </c>
      <c r="F662" s="129" t="s">
        <v>269</v>
      </c>
      <c r="G662" s="124">
        <v>9</v>
      </c>
      <c r="H662" s="124" t="s">
        <v>314</v>
      </c>
      <c r="I662" s="128">
        <v>7073.4</v>
      </c>
      <c r="J662" s="128">
        <v>6236.1</v>
      </c>
      <c r="K662" s="128">
        <v>5330.6</v>
      </c>
      <c r="L662" s="126">
        <v>229</v>
      </c>
      <c r="M662" s="124" t="s">
        <v>267</v>
      </c>
      <c r="N662" s="124" t="s">
        <v>271</v>
      </c>
      <c r="O662" s="127" t="s">
        <v>1334</v>
      </c>
      <c r="P662" s="128">
        <v>4854047.7300000004</v>
      </c>
      <c r="Q662" s="128">
        <v>0</v>
      </c>
      <c r="R662" s="128">
        <v>0</v>
      </c>
      <c r="S662" s="128">
        <f t="shared" si="160"/>
        <v>4854047.7300000004</v>
      </c>
      <c r="T662" s="128">
        <f t="shared" si="159"/>
        <v>686.23967681737224</v>
      </c>
      <c r="U662" s="128">
        <v>4070.12</v>
      </c>
      <c r="V662" s="257">
        <f t="shared" si="161"/>
        <v>3383.8803231826278</v>
      </c>
      <c r="W662" s="257">
        <f t="shared" si="162"/>
        <v>473.37050216303339</v>
      </c>
      <c r="X662" s="257">
        <v>0</v>
      </c>
      <c r="Y662" s="258">
        <v>0</v>
      </c>
      <c r="Z662" s="258">
        <v>0</v>
      </c>
      <c r="AA662" s="258">
        <v>0</v>
      </c>
      <c r="AB662" s="258">
        <v>0</v>
      </c>
      <c r="AC662" s="258">
        <v>0</v>
      </c>
      <c r="AD662" s="258">
        <v>0</v>
      </c>
      <c r="AE662" s="258">
        <v>0</v>
      </c>
      <c r="AF662" s="257">
        <v>0</v>
      </c>
      <c r="AG662" s="258">
        <v>0</v>
      </c>
      <c r="AH662" s="257">
        <v>0</v>
      </c>
      <c r="AI662" s="258">
        <v>450.1</v>
      </c>
      <c r="AJ662" s="257">
        <f>7439.1*AI662/I662</f>
        <v>473.37050216303339</v>
      </c>
      <c r="AK662" s="258">
        <v>0</v>
      </c>
      <c r="AL662" s="258">
        <v>0</v>
      </c>
      <c r="AM662" s="258">
        <v>0</v>
      </c>
      <c r="AN662" s="258"/>
      <c r="AO662" s="258">
        <v>0</v>
      </c>
    </row>
    <row r="663" spans="1:41" s="259" customFormat="1" ht="36" customHeight="1" x14ac:dyDescent="0.25">
      <c r="A663" s="259">
        <v>1</v>
      </c>
      <c r="B663" s="135">
        <f>SUBTOTAL(103,$A$552:A663)</f>
        <v>111</v>
      </c>
      <c r="C663" s="94" t="s">
        <v>1149</v>
      </c>
      <c r="D663" s="124">
        <v>1955</v>
      </c>
      <c r="E663" s="124"/>
      <c r="F663" s="129" t="s">
        <v>269</v>
      </c>
      <c r="G663" s="124">
        <v>2</v>
      </c>
      <c r="H663" s="124" t="s">
        <v>306</v>
      </c>
      <c r="I663" s="128">
        <v>388.3</v>
      </c>
      <c r="J663" s="128">
        <v>388.3</v>
      </c>
      <c r="K663" s="128">
        <v>388.3</v>
      </c>
      <c r="L663" s="126">
        <v>24</v>
      </c>
      <c r="M663" s="124" t="s">
        <v>267</v>
      </c>
      <c r="N663" s="124" t="s">
        <v>268</v>
      </c>
      <c r="O663" s="127" t="s">
        <v>270</v>
      </c>
      <c r="P663" s="128">
        <v>1971369.43</v>
      </c>
      <c r="Q663" s="128">
        <v>0</v>
      </c>
      <c r="R663" s="128">
        <v>0</v>
      </c>
      <c r="S663" s="128">
        <f t="shared" si="160"/>
        <v>1971369.43</v>
      </c>
      <c r="T663" s="128">
        <f t="shared" si="159"/>
        <v>5076.9235900077256</v>
      </c>
      <c r="U663" s="128">
        <v>8623.072134947206</v>
      </c>
      <c r="V663" s="257">
        <f t="shared" si="161"/>
        <v>3546.1485449394804</v>
      </c>
      <c r="W663" s="257">
        <f>T663</f>
        <v>5076.9235900077256</v>
      </c>
      <c r="X663" s="257">
        <v>0</v>
      </c>
      <c r="Y663" s="258">
        <v>0</v>
      </c>
      <c r="Z663" s="258">
        <v>0</v>
      </c>
      <c r="AA663" s="258">
        <v>0</v>
      </c>
      <c r="AB663" s="258">
        <v>0</v>
      </c>
      <c r="AC663" s="258">
        <v>0</v>
      </c>
      <c r="AD663" s="258">
        <v>0</v>
      </c>
      <c r="AE663" s="258">
        <v>0</v>
      </c>
      <c r="AF663" s="257">
        <v>0</v>
      </c>
      <c r="AG663" s="258">
        <v>0</v>
      </c>
      <c r="AH663" s="257">
        <v>0</v>
      </c>
      <c r="AI663" s="258">
        <v>538.6</v>
      </c>
      <c r="AJ663" s="257">
        <f>3979.46*AI663/I663</f>
        <v>5519.7969508112283</v>
      </c>
      <c r="AK663" s="258">
        <v>0</v>
      </c>
      <c r="AL663" s="258">
        <v>0</v>
      </c>
      <c r="AM663" s="258">
        <v>0</v>
      </c>
      <c r="AN663" s="258"/>
      <c r="AO663" s="258">
        <v>0</v>
      </c>
    </row>
    <row r="664" spans="1:41" s="259" customFormat="1" ht="36" customHeight="1" x14ac:dyDescent="0.25">
      <c r="A664" s="259">
        <v>1</v>
      </c>
      <c r="B664" s="135">
        <f>SUBTOTAL(103,$A$552:A664)</f>
        <v>112</v>
      </c>
      <c r="C664" s="94" t="s">
        <v>456</v>
      </c>
      <c r="D664" s="124">
        <v>1937</v>
      </c>
      <c r="E664" s="124">
        <v>2010</v>
      </c>
      <c r="F664" s="129" t="s">
        <v>332</v>
      </c>
      <c r="G664" s="124">
        <v>2</v>
      </c>
      <c r="H664" s="124" t="s">
        <v>305</v>
      </c>
      <c r="I664" s="125">
        <v>522</v>
      </c>
      <c r="J664" s="125">
        <v>471.4</v>
      </c>
      <c r="K664" s="125">
        <v>471.4</v>
      </c>
      <c r="L664" s="126">
        <v>22</v>
      </c>
      <c r="M664" s="124" t="s">
        <v>267</v>
      </c>
      <c r="N664" s="124" t="s">
        <v>268</v>
      </c>
      <c r="O664" s="127" t="s">
        <v>270</v>
      </c>
      <c r="P664" s="128">
        <v>2358287.8899999997</v>
      </c>
      <c r="Q664" s="128">
        <v>0</v>
      </c>
      <c r="R664" s="128">
        <v>0</v>
      </c>
      <c r="S664" s="128">
        <f t="shared" si="156"/>
        <v>2358287.8899999997</v>
      </c>
      <c r="T664" s="128">
        <f t="shared" si="159"/>
        <v>4517.7928927203056</v>
      </c>
      <c r="U664" s="128">
        <v>4517.7928927203056</v>
      </c>
      <c r="V664" s="257">
        <f t="shared" si="155"/>
        <v>0</v>
      </c>
      <c r="W664" s="257">
        <f t="shared" si="157"/>
        <v>6095.4867816091955</v>
      </c>
      <c r="X664" s="257">
        <v>0</v>
      </c>
      <c r="Y664" s="258">
        <v>0</v>
      </c>
      <c r="Z664" s="258">
        <v>0</v>
      </c>
      <c r="AA664" s="258">
        <v>0</v>
      </c>
      <c r="AB664" s="258">
        <v>0</v>
      </c>
      <c r="AC664" s="258">
        <v>0</v>
      </c>
      <c r="AD664" s="258">
        <v>0</v>
      </c>
      <c r="AE664" s="258">
        <v>510</v>
      </c>
      <c r="AF664" s="257">
        <f>6238.91*AE664/I664</f>
        <v>6095.4867816091955</v>
      </c>
      <c r="AG664" s="258">
        <v>0</v>
      </c>
      <c r="AH664" s="257">
        <v>0</v>
      </c>
      <c r="AI664" s="258">
        <v>0</v>
      </c>
      <c r="AJ664" s="257">
        <v>0</v>
      </c>
      <c r="AK664" s="258">
        <v>0</v>
      </c>
      <c r="AL664" s="258">
        <v>0</v>
      </c>
      <c r="AM664" s="258">
        <v>0</v>
      </c>
      <c r="AN664" s="258"/>
      <c r="AO664" s="258">
        <v>0</v>
      </c>
    </row>
    <row r="665" spans="1:41" s="259" customFormat="1" ht="36" customHeight="1" x14ac:dyDescent="0.25">
      <c r="A665" s="259">
        <v>1</v>
      </c>
      <c r="B665" s="135">
        <f>SUBTOTAL(103,$A$552:A665)</f>
        <v>113</v>
      </c>
      <c r="C665" s="94" t="s">
        <v>1142</v>
      </c>
      <c r="D665" s="124">
        <v>1928</v>
      </c>
      <c r="E665" s="124"/>
      <c r="F665" s="129" t="s">
        <v>1585</v>
      </c>
      <c r="G665" s="124" t="s">
        <v>305</v>
      </c>
      <c r="H665" s="124" t="s">
        <v>305</v>
      </c>
      <c r="I665" s="128">
        <v>550</v>
      </c>
      <c r="J665" s="128">
        <v>498.3</v>
      </c>
      <c r="K665" s="128">
        <v>498.3</v>
      </c>
      <c r="L665" s="126">
        <v>28</v>
      </c>
      <c r="M665" s="124" t="s">
        <v>267</v>
      </c>
      <c r="N665" s="124" t="s">
        <v>268</v>
      </c>
      <c r="O665" s="127" t="s">
        <v>270</v>
      </c>
      <c r="P665" s="128">
        <v>2333192.16</v>
      </c>
      <c r="Q665" s="128">
        <v>0</v>
      </c>
      <c r="R665" s="128">
        <v>0</v>
      </c>
      <c r="S665" s="128">
        <f t="shared" si="156"/>
        <v>2333192.16</v>
      </c>
      <c r="T665" s="128">
        <f t="shared" si="159"/>
        <v>4242.1675636363643</v>
      </c>
      <c r="U665" s="128">
        <v>10033.85808</v>
      </c>
      <c r="V665" s="257">
        <f t="shared" si="155"/>
        <v>5791.6905163636357</v>
      </c>
      <c r="W665" s="257">
        <f t="shared" si="157"/>
        <v>3259.66</v>
      </c>
      <c r="X665" s="257">
        <v>0</v>
      </c>
      <c r="Y665" s="258">
        <v>0</v>
      </c>
      <c r="Z665" s="258">
        <v>3259.66</v>
      </c>
      <c r="AA665" s="258">
        <v>0</v>
      </c>
      <c r="AB665" s="258">
        <v>0</v>
      </c>
      <c r="AC665" s="258">
        <v>0</v>
      </c>
      <c r="AD665" s="258">
        <v>0</v>
      </c>
      <c r="AE665" s="258">
        <v>0</v>
      </c>
      <c r="AF665" s="257">
        <v>0</v>
      </c>
      <c r="AG665" s="258">
        <v>0</v>
      </c>
      <c r="AH665" s="257">
        <v>0</v>
      </c>
      <c r="AI665" s="258">
        <v>0</v>
      </c>
      <c r="AJ665" s="257">
        <v>0</v>
      </c>
      <c r="AK665" s="258">
        <v>0</v>
      </c>
      <c r="AL665" s="258">
        <v>0</v>
      </c>
      <c r="AM665" s="258">
        <v>0</v>
      </c>
      <c r="AN665" s="258"/>
      <c r="AO665" s="258">
        <v>0</v>
      </c>
    </row>
    <row r="666" spans="1:41" s="259" customFormat="1" ht="36" customHeight="1" x14ac:dyDescent="0.25">
      <c r="A666" s="259">
        <v>1</v>
      </c>
      <c r="B666" s="135">
        <f>SUBTOTAL(103,$A$552:A666)</f>
        <v>114</v>
      </c>
      <c r="C666" s="94" t="s">
        <v>1152</v>
      </c>
      <c r="D666" s="124">
        <v>1970</v>
      </c>
      <c r="E666" s="124"/>
      <c r="F666" s="129" t="s">
        <v>269</v>
      </c>
      <c r="G666" s="124">
        <v>5</v>
      </c>
      <c r="H666" s="124" t="s">
        <v>310</v>
      </c>
      <c r="I666" s="128">
        <v>3635.4</v>
      </c>
      <c r="J666" s="128">
        <v>3360</v>
      </c>
      <c r="K666" s="128">
        <v>3247.2</v>
      </c>
      <c r="L666" s="126">
        <v>167</v>
      </c>
      <c r="M666" s="124" t="s">
        <v>267</v>
      </c>
      <c r="N666" s="124" t="s">
        <v>271</v>
      </c>
      <c r="O666" s="127" t="s">
        <v>1334</v>
      </c>
      <c r="P666" s="128">
        <v>1540784.43</v>
      </c>
      <c r="Q666" s="128">
        <v>0</v>
      </c>
      <c r="R666" s="128">
        <v>0</v>
      </c>
      <c r="S666" s="128">
        <f t="shared" si="156"/>
        <v>1540784.43</v>
      </c>
      <c r="T666" s="128">
        <f t="shared" si="159"/>
        <v>423.82803267865984</v>
      </c>
      <c r="U666" s="128">
        <v>3259.66</v>
      </c>
      <c r="V666" s="257">
        <f t="shared" si="155"/>
        <v>2835.83196732134</v>
      </c>
      <c r="W666" s="257">
        <f t="shared" si="157"/>
        <v>3259.66</v>
      </c>
      <c r="X666" s="257">
        <v>0</v>
      </c>
      <c r="Y666" s="258">
        <v>0</v>
      </c>
      <c r="Z666" s="258">
        <v>3259.66</v>
      </c>
      <c r="AA666" s="258">
        <v>0</v>
      </c>
      <c r="AB666" s="258">
        <v>0</v>
      </c>
      <c r="AC666" s="258">
        <v>0</v>
      </c>
      <c r="AD666" s="258">
        <v>0</v>
      </c>
      <c r="AE666" s="258">
        <v>0</v>
      </c>
      <c r="AF666" s="257">
        <v>0</v>
      </c>
      <c r="AG666" s="258">
        <v>0</v>
      </c>
      <c r="AH666" s="257">
        <v>0</v>
      </c>
      <c r="AI666" s="258">
        <v>0</v>
      </c>
      <c r="AJ666" s="257">
        <v>0</v>
      </c>
      <c r="AK666" s="258">
        <v>0</v>
      </c>
      <c r="AL666" s="258">
        <v>0</v>
      </c>
      <c r="AM666" s="258">
        <v>0</v>
      </c>
      <c r="AN666" s="258"/>
      <c r="AO666" s="258">
        <v>0</v>
      </c>
    </row>
    <row r="667" spans="1:41" s="259" customFormat="1" ht="36" customHeight="1" x14ac:dyDescent="0.25">
      <c r="A667" s="259">
        <v>1</v>
      </c>
      <c r="B667" s="135">
        <f>SUBTOTAL(103,$A$552:A667)</f>
        <v>115</v>
      </c>
      <c r="C667" s="94" t="s">
        <v>464</v>
      </c>
      <c r="D667" s="124">
        <v>1970</v>
      </c>
      <c r="E667" s="124"/>
      <c r="F667" s="129" t="s">
        <v>269</v>
      </c>
      <c r="G667" s="124">
        <v>2</v>
      </c>
      <c r="H667" s="124" t="s">
        <v>305</v>
      </c>
      <c r="I667" s="128">
        <v>794.7</v>
      </c>
      <c r="J667" s="128">
        <v>737.8</v>
      </c>
      <c r="K667" s="128">
        <v>737.8</v>
      </c>
      <c r="L667" s="126">
        <v>38</v>
      </c>
      <c r="M667" s="124" t="s">
        <v>267</v>
      </c>
      <c r="N667" s="124" t="s">
        <v>268</v>
      </c>
      <c r="O667" s="127" t="s">
        <v>270</v>
      </c>
      <c r="P667" s="128">
        <v>4238701.74</v>
      </c>
      <c r="Q667" s="128">
        <v>0</v>
      </c>
      <c r="R667" s="128">
        <v>0</v>
      </c>
      <c r="S667" s="128">
        <f t="shared" si="156"/>
        <v>4238701.74</v>
      </c>
      <c r="T667" s="128">
        <f t="shared" si="159"/>
        <v>5333.7130237825595</v>
      </c>
      <c r="U667" s="128">
        <v>5333.7130237825595</v>
      </c>
      <c r="V667" s="257">
        <f t="shared" si="155"/>
        <v>0</v>
      </c>
      <c r="W667" s="257">
        <f t="shared" si="157"/>
        <v>3259.66</v>
      </c>
      <c r="X667" s="257">
        <v>0</v>
      </c>
      <c r="Y667" s="258">
        <v>0</v>
      </c>
      <c r="Z667" s="258">
        <v>3259.66</v>
      </c>
      <c r="AA667" s="258">
        <v>0</v>
      </c>
      <c r="AB667" s="258">
        <v>0</v>
      </c>
      <c r="AC667" s="258">
        <v>0</v>
      </c>
      <c r="AD667" s="258">
        <v>0</v>
      </c>
      <c r="AE667" s="258">
        <v>0</v>
      </c>
      <c r="AF667" s="257">
        <v>0</v>
      </c>
      <c r="AG667" s="258">
        <v>0</v>
      </c>
      <c r="AH667" s="257">
        <v>0</v>
      </c>
      <c r="AI667" s="258">
        <v>0</v>
      </c>
      <c r="AJ667" s="257">
        <v>0</v>
      </c>
      <c r="AK667" s="258">
        <v>0</v>
      </c>
      <c r="AL667" s="258">
        <v>0</v>
      </c>
      <c r="AM667" s="258">
        <v>0</v>
      </c>
      <c r="AN667" s="258"/>
      <c r="AO667" s="258">
        <v>0</v>
      </c>
    </row>
    <row r="668" spans="1:41" s="259" customFormat="1" ht="36" customHeight="1" x14ac:dyDescent="0.25">
      <c r="A668" s="259">
        <v>1</v>
      </c>
      <c r="B668" s="135">
        <f>SUBTOTAL(103,$A$552:A668)</f>
        <v>116</v>
      </c>
      <c r="C668" s="94" t="s">
        <v>1291</v>
      </c>
      <c r="D668" s="124">
        <v>1978</v>
      </c>
      <c r="E668" s="124"/>
      <c r="F668" s="129" t="s">
        <v>332</v>
      </c>
      <c r="G668" s="124" t="s">
        <v>305</v>
      </c>
      <c r="H668" s="124" t="s">
        <v>314</v>
      </c>
      <c r="I668" s="128">
        <v>873.7</v>
      </c>
      <c r="J668" s="128">
        <v>873.7</v>
      </c>
      <c r="K668" s="128">
        <v>873.7</v>
      </c>
      <c r="L668" s="126">
        <v>31</v>
      </c>
      <c r="M668" s="124" t="s">
        <v>267</v>
      </c>
      <c r="N668" s="124" t="s">
        <v>268</v>
      </c>
      <c r="O668" s="127" t="s">
        <v>270</v>
      </c>
      <c r="P668" s="128">
        <v>2922293.2399999998</v>
      </c>
      <c r="Q668" s="128">
        <v>0</v>
      </c>
      <c r="R668" s="128">
        <v>0</v>
      </c>
      <c r="S668" s="128">
        <f t="shared" si="156"/>
        <v>2922293.2399999998</v>
      </c>
      <c r="T668" s="128">
        <f t="shared" si="159"/>
        <v>3344.7330204875811</v>
      </c>
      <c r="U668" s="128">
        <v>3344.7330204875811</v>
      </c>
      <c r="V668" s="257">
        <f t="shared" si="155"/>
        <v>0</v>
      </c>
      <c r="W668" s="257">
        <f t="shared" si="157"/>
        <v>4054.97</v>
      </c>
      <c r="X668" s="257">
        <v>0</v>
      </c>
      <c r="Y668" s="258">
        <v>0</v>
      </c>
      <c r="Z668" s="258">
        <v>3259.66</v>
      </c>
      <c r="AA668" s="258">
        <v>0</v>
      </c>
      <c r="AB668" s="258">
        <v>795.31</v>
      </c>
      <c r="AC668" s="258">
        <v>0</v>
      </c>
      <c r="AD668" s="258">
        <v>0</v>
      </c>
      <c r="AE668" s="258">
        <v>0</v>
      </c>
      <c r="AF668" s="257">
        <v>0</v>
      </c>
      <c r="AG668" s="258">
        <v>0</v>
      </c>
      <c r="AH668" s="257">
        <v>0</v>
      </c>
      <c r="AI668" s="258">
        <v>0</v>
      </c>
      <c r="AJ668" s="257">
        <v>0</v>
      </c>
      <c r="AK668" s="258">
        <v>0</v>
      </c>
      <c r="AL668" s="258">
        <v>0</v>
      </c>
      <c r="AM668" s="258">
        <v>0</v>
      </c>
      <c r="AN668" s="258"/>
      <c r="AO668" s="258">
        <v>0</v>
      </c>
    </row>
    <row r="669" spans="1:41" s="259" customFormat="1" ht="61.5" x14ac:dyDescent="0.25">
      <c r="A669" s="259">
        <v>1</v>
      </c>
      <c r="B669" s="135">
        <f>SUBTOTAL(103,$A$552:A669)</f>
        <v>117</v>
      </c>
      <c r="C669" s="94" t="s">
        <v>1567</v>
      </c>
      <c r="D669" s="124">
        <v>1927</v>
      </c>
      <c r="E669" s="124"/>
      <c r="F669" s="129" t="s">
        <v>1585</v>
      </c>
      <c r="G669" s="124">
        <v>2</v>
      </c>
      <c r="H669" s="124" t="s">
        <v>305</v>
      </c>
      <c r="I669" s="128">
        <v>522.4</v>
      </c>
      <c r="J669" s="128">
        <v>474.6</v>
      </c>
      <c r="K669" s="128">
        <v>239.9</v>
      </c>
      <c r="L669" s="126">
        <v>7</v>
      </c>
      <c r="M669" s="124" t="s">
        <v>267</v>
      </c>
      <c r="N669" s="124" t="s">
        <v>271</v>
      </c>
      <c r="O669" s="127" t="s">
        <v>1584</v>
      </c>
      <c r="P669" s="128">
        <v>3021062.87</v>
      </c>
      <c r="Q669" s="128">
        <v>0</v>
      </c>
      <c r="R669" s="128">
        <v>0</v>
      </c>
      <c r="S669" s="128">
        <f t="shared" si="156"/>
        <v>3021062.87</v>
      </c>
      <c r="T669" s="128">
        <f t="shared" si="159"/>
        <v>5783.045310107198</v>
      </c>
      <c r="U669" s="128">
        <v>9036.8546324655454</v>
      </c>
      <c r="V669" s="257">
        <f t="shared" si="155"/>
        <v>3253.8093223583473</v>
      </c>
      <c r="W669" s="257">
        <f t="shared" si="157"/>
        <v>6409.5308384379787</v>
      </c>
      <c r="X669" s="257">
        <v>0</v>
      </c>
      <c r="Y669" s="258">
        <v>0</v>
      </c>
      <c r="Z669" s="258">
        <v>0</v>
      </c>
      <c r="AA669" s="258">
        <v>0</v>
      </c>
      <c r="AB669" s="258">
        <v>0</v>
      </c>
      <c r="AC669" s="258">
        <v>0</v>
      </c>
      <c r="AD669" s="258">
        <v>0</v>
      </c>
      <c r="AE669" s="258">
        <v>0</v>
      </c>
      <c r="AF669" s="257">
        <v>0</v>
      </c>
      <c r="AG669" s="258">
        <v>0</v>
      </c>
      <c r="AH669" s="257">
        <v>0</v>
      </c>
      <c r="AI669" s="258">
        <v>450.1</v>
      </c>
      <c r="AJ669" s="257">
        <f>7439.1*AI669/I669</f>
        <v>6409.5308384379787</v>
      </c>
      <c r="AK669" s="258">
        <v>0</v>
      </c>
      <c r="AL669" s="258">
        <v>0</v>
      </c>
      <c r="AM669" s="258">
        <v>0</v>
      </c>
      <c r="AN669" s="258"/>
      <c r="AO669" s="258">
        <v>0</v>
      </c>
    </row>
    <row r="670" spans="1:41" s="259" customFormat="1" ht="36" customHeight="1" x14ac:dyDescent="0.25">
      <c r="A670" s="259">
        <v>1</v>
      </c>
      <c r="B670" s="135">
        <f>SUBTOTAL(103,$A$552:A670)</f>
        <v>118</v>
      </c>
      <c r="C670" s="94" t="s">
        <v>455</v>
      </c>
      <c r="D670" s="124">
        <v>1962</v>
      </c>
      <c r="E670" s="124"/>
      <c r="F670" s="129" t="s">
        <v>269</v>
      </c>
      <c r="G670" s="124" t="s">
        <v>314</v>
      </c>
      <c r="H670" s="124" t="s">
        <v>314</v>
      </c>
      <c r="I670" s="128">
        <v>1651.8</v>
      </c>
      <c r="J670" s="128">
        <v>1537.5</v>
      </c>
      <c r="K670" s="128">
        <v>1462.9</v>
      </c>
      <c r="L670" s="126">
        <v>58</v>
      </c>
      <c r="M670" s="124" t="s">
        <v>267</v>
      </c>
      <c r="N670" s="124" t="s">
        <v>343</v>
      </c>
      <c r="O670" s="127" t="s">
        <v>349</v>
      </c>
      <c r="P670" s="128">
        <v>4406829.16</v>
      </c>
      <c r="Q670" s="128">
        <v>0</v>
      </c>
      <c r="R670" s="128">
        <v>0</v>
      </c>
      <c r="S670" s="128">
        <f t="shared" si="156"/>
        <v>4406829.16</v>
      </c>
      <c r="T670" s="128">
        <f t="shared" si="159"/>
        <v>2667.895120474634</v>
      </c>
      <c r="U670" s="128">
        <v>3262.7801022520885</v>
      </c>
      <c r="V670" s="257">
        <f t="shared" si="155"/>
        <v>594.88498177745441</v>
      </c>
      <c r="W670" s="257">
        <f t="shared" si="157"/>
        <v>3251.6890713766797</v>
      </c>
      <c r="X670" s="257">
        <v>0</v>
      </c>
      <c r="Y670" s="258">
        <v>0</v>
      </c>
      <c r="Z670" s="258">
        <v>0</v>
      </c>
      <c r="AA670" s="258">
        <v>0</v>
      </c>
      <c r="AB670" s="258">
        <v>0</v>
      </c>
      <c r="AC670" s="258">
        <v>0</v>
      </c>
      <c r="AD670" s="258">
        <v>0</v>
      </c>
      <c r="AE670" s="258">
        <v>860.91</v>
      </c>
      <c r="AF670" s="257">
        <f t="shared" ref="AF670" si="163">6238.91*AE670/I670</f>
        <v>3251.6890713766797</v>
      </c>
      <c r="AG670" s="258">
        <v>0</v>
      </c>
      <c r="AH670" s="257">
        <v>0</v>
      </c>
      <c r="AI670" s="258">
        <v>0</v>
      </c>
      <c r="AJ670" s="257">
        <v>0</v>
      </c>
      <c r="AK670" s="258">
        <v>0</v>
      </c>
      <c r="AL670" s="258">
        <v>0</v>
      </c>
      <c r="AM670" s="258">
        <v>0</v>
      </c>
      <c r="AN670" s="258"/>
      <c r="AO670" s="258">
        <v>0</v>
      </c>
    </row>
    <row r="671" spans="1:41" s="259" customFormat="1" ht="61.5" x14ac:dyDescent="0.25">
      <c r="A671" s="259">
        <v>1</v>
      </c>
      <c r="B671" s="135">
        <f>SUBTOTAL(103,$A$552:A671)</f>
        <v>119</v>
      </c>
      <c r="C671" s="94" t="s">
        <v>1951</v>
      </c>
      <c r="D671" s="124">
        <v>1976</v>
      </c>
      <c r="E671" s="124"/>
      <c r="F671" s="129" t="s">
        <v>1585</v>
      </c>
      <c r="G671" s="124" t="s">
        <v>353</v>
      </c>
      <c r="H671" s="124" t="s">
        <v>373</v>
      </c>
      <c r="I671" s="128">
        <v>4908.2</v>
      </c>
      <c r="J671" s="128">
        <v>4507.3</v>
      </c>
      <c r="K671" s="128">
        <v>4121.8</v>
      </c>
      <c r="L671" s="126">
        <v>252</v>
      </c>
      <c r="M671" s="124" t="s">
        <v>267</v>
      </c>
      <c r="N671" s="124" t="s">
        <v>268</v>
      </c>
      <c r="O671" s="127" t="s">
        <v>270</v>
      </c>
      <c r="P671" s="128">
        <v>8022387.3700000001</v>
      </c>
      <c r="Q671" s="128">
        <v>0</v>
      </c>
      <c r="R671" s="128">
        <v>0</v>
      </c>
      <c r="S671" s="128">
        <f t="shared" si="156"/>
        <v>8022387.3700000001</v>
      </c>
      <c r="T671" s="128">
        <f t="shared" si="159"/>
        <v>1634.4866488733142</v>
      </c>
      <c r="U671" s="128">
        <v>1755.5994769782912</v>
      </c>
      <c r="V671" s="257">
        <f t="shared" si="155"/>
        <v>121.1128281049771</v>
      </c>
      <c r="W671" s="257">
        <f>T671</f>
        <v>1634.4866488733142</v>
      </c>
      <c r="X671" s="257">
        <v>0</v>
      </c>
      <c r="Y671" s="258">
        <v>0</v>
      </c>
      <c r="Z671" s="258">
        <v>0</v>
      </c>
      <c r="AA671" s="258">
        <v>0</v>
      </c>
      <c r="AB671" s="258">
        <v>0</v>
      </c>
      <c r="AC671" s="258">
        <v>0</v>
      </c>
      <c r="AD671" s="258">
        <v>0</v>
      </c>
      <c r="AE671" s="258">
        <v>0</v>
      </c>
      <c r="AF671" s="257">
        <v>0</v>
      </c>
      <c r="AG671" s="258">
        <v>0</v>
      </c>
      <c r="AH671" s="257">
        <v>0</v>
      </c>
      <c r="AI671" s="258">
        <v>538.6</v>
      </c>
      <c r="AJ671" s="257">
        <f>3979.46*AI671/I671</f>
        <v>436.68496719775072</v>
      </c>
      <c r="AK671" s="258">
        <v>0</v>
      </c>
      <c r="AL671" s="258">
        <v>0</v>
      </c>
      <c r="AM671" s="258">
        <v>0</v>
      </c>
      <c r="AN671" s="258"/>
      <c r="AO671" s="258">
        <v>0</v>
      </c>
    </row>
    <row r="672" spans="1:41" s="259" customFormat="1" ht="36" customHeight="1" x14ac:dyDescent="0.25">
      <c r="B672" s="94" t="s">
        <v>763</v>
      </c>
      <c r="C672" s="261"/>
      <c r="D672" s="124" t="s">
        <v>896</v>
      </c>
      <c r="E672" s="124" t="s">
        <v>896</v>
      </c>
      <c r="F672" s="124" t="s">
        <v>896</v>
      </c>
      <c r="G672" s="124" t="s">
        <v>896</v>
      </c>
      <c r="H672" s="124" t="s">
        <v>896</v>
      </c>
      <c r="I672" s="125">
        <f>SUM(I673:I711)</f>
        <v>72545.37000000001</v>
      </c>
      <c r="J672" s="125">
        <f>SUM(J673:J711)</f>
        <v>60668.02</v>
      </c>
      <c r="K672" s="125">
        <f>SUM(K673:K711)</f>
        <v>55258.720000000001</v>
      </c>
      <c r="L672" s="126">
        <f>SUM(L673:L711)</f>
        <v>2673</v>
      </c>
      <c r="M672" s="124" t="s">
        <v>896</v>
      </c>
      <c r="N672" s="124" t="s">
        <v>896</v>
      </c>
      <c r="O672" s="127" t="s">
        <v>896</v>
      </c>
      <c r="P672" s="125">
        <v>138702295.03999999</v>
      </c>
      <c r="Q672" s="125">
        <f>SUM(Q673:Q711)</f>
        <v>0</v>
      </c>
      <c r="R672" s="125">
        <f>SUM(R673:R711)</f>
        <v>0</v>
      </c>
      <c r="S672" s="125">
        <f>SUM(S673:S711)</f>
        <v>138702295.03999999</v>
      </c>
      <c r="T672" s="128">
        <f t="shared" si="159"/>
        <v>1911.9386259936364</v>
      </c>
      <c r="U672" s="128">
        <f>MAX(U673:U711)</f>
        <v>8343.4424447922102</v>
      </c>
      <c r="V672" s="257">
        <f t="shared" si="155"/>
        <v>6431.5038187985738</v>
      </c>
      <c r="W672" s="257"/>
      <c r="X672" s="257"/>
      <c r="Y672" s="258"/>
      <c r="Z672" s="258"/>
      <c r="AA672" s="258"/>
      <c r="AB672" s="258"/>
      <c r="AC672" s="258"/>
      <c r="AD672" s="258"/>
      <c r="AE672" s="258"/>
      <c r="AF672" s="258"/>
      <c r="AG672" s="258"/>
      <c r="AH672" s="258"/>
      <c r="AI672" s="258"/>
      <c r="AJ672" s="258"/>
      <c r="AK672" s="258"/>
      <c r="AL672" s="258"/>
      <c r="AM672" s="258"/>
      <c r="AN672" s="258"/>
      <c r="AO672" s="258"/>
    </row>
    <row r="673" spans="1:41" s="259" customFormat="1" ht="36" customHeight="1" x14ac:dyDescent="0.25">
      <c r="A673" s="259">
        <v>1</v>
      </c>
      <c r="B673" s="135">
        <f>SUBTOTAL(103,$A$552:A673)</f>
        <v>120</v>
      </c>
      <c r="C673" s="94" t="s">
        <v>403</v>
      </c>
      <c r="D673" s="124">
        <v>1985</v>
      </c>
      <c r="E673" s="124"/>
      <c r="F673" s="129" t="s">
        <v>269</v>
      </c>
      <c r="G673" s="124">
        <v>5</v>
      </c>
      <c r="H673" s="124" t="s">
        <v>373</v>
      </c>
      <c r="I673" s="125">
        <v>4537.2</v>
      </c>
      <c r="J673" s="125">
        <v>4163</v>
      </c>
      <c r="K673" s="125">
        <v>4163</v>
      </c>
      <c r="L673" s="126">
        <v>198</v>
      </c>
      <c r="M673" s="124" t="s">
        <v>267</v>
      </c>
      <c r="N673" s="124" t="s">
        <v>271</v>
      </c>
      <c r="O673" s="127" t="s">
        <v>996</v>
      </c>
      <c r="P673" s="128">
        <v>6231804.3600000003</v>
      </c>
      <c r="Q673" s="128">
        <v>0</v>
      </c>
      <c r="R673" s="128">
        <v>0</v>
      </c>
      <c r="S673" s="128">
        <f t="shared" ref="S673:S711" si="164">P673-Q673-R673</f>
        <v>6231804.3600000003</v>
      </c>
      <c r="T673" s="128">
        <f t="shared" si="159"/>
        <v>1373.4912192541658</v>
      </c>
      <c r="U673" s="128">
        <v>1614.304482941021</v>
      </c>
      <c r="V673" s="257">
        <f t="shared" si="155"/>
        <v>240.81326368685518</v>
      </c>
      <c r="W673" s="257">
        <f t="shared" ref="W673:W709" si="165">X673+Y673+Z673+AA673+AB673+AD673+AF673+AH673+AJ673+AL673+AN673+AO673</f>
        <v>1608.8170457550914</v>
      </c>
      <c r="X673" s="257">
        <v>0</v>
      </c>
      <c r="Y673" s="258">
        <v>0</v>
      </c>
      <c r="Z673" s="258">
        <v>0</v>
      </c>
      <c r="AA673" s="258">
        <v>0</v>
      </c>
      <c r="AB673" s="258">
        <v>0</v>
      </c>
      <c r="AC673" s="258">
        <v>0</v>
      </c>
      <c r="AD673" s="258">
        <v>0</v>
      </c>
      <c r="AE673" s="258">
        <v>1170</v>
      </c>
      <c r="AF673" s="257">
        <f>6238.91*AE673/I673</f>
        <v>1608.8170457550914</v>
      </c>
      <c r="AG673" s="258">
        <v>0</v>
      </c>
      <c r="AH673" s="257">
        <v>0</v>
      </c>
      <c r="AI673" s="258">
        <v>0</v>
      </c>
      <c r="AJ673" s="257">
        <v>0</v>
      </c>
      <c r="AK673" s="258">
        <v>0</v>
      </c>
      <c r="AL673" s="258">
        <v>0</v>
      </c>
      <c r="AM673" s="258">
        <v>0</v>
      </c>
      <c r="AN673" s="258"/>
      <c r="AO673" s="258">
        <v>0</v>
      </c>
    </row>
    <row r="674" spans="1:41" s="259" customFormat="1" ht="36" customHeight="1" x14ac:dyDescent="0.25">
      <c r="A674" s="259">
        <v>1</v>
      </c>
      <c r="B674" s="135">
        <f>SUBTOTAL(103,$A$552:A674)</f>
        <v>121</v>
      </c>
      <c r="C674" s="94" t="s">
        <v>405</v>
      </c>
      <c r="D674" s="124">
        <v>1987</v>
      </c>
      <c r="E674" s="124"/>
      <c r="F674" s="129" t="s">
        <v>269</v>
      </c>
      <c r="G674" s="124">
        <v>9</v>
      </c>
      <c r="H674" s="124" t="s">
        <v>306</v>
      </c>
      <c r="I674" s="125">
        <v>6006.9</v>
      </c>
      <c r="J674" s="125">
        <v>4691.3999999999996</v>
      </c>
      <c r="K674" s="125">
        <v>3628.4</v>
      </c>
      <c r="L674" s="126">
        <v>297</v>
      </c>
      <c r="M674" s="124" t="s">
        <v>267</v>
      </c>
      <c r="N674" s="124" t="s">
        <v>271</v>
      </c>
      <c r="O674" s="127" t="s">
        <v>323</v>
      </c>
      <c r="P674" s="128">
        <v>4914920.1100000003</v>
      </c>
      <c r="Q674" s="128">
        <v>0</v>
      </c>
      <c r="R674" s="128">
        <v>0</v>
      </c>
      <c r="S674" s="128">
        <f t="shared" si="164"/>
        <v>4914920.1100000003</v>
      </c>
      <c r="T674" s="128">
        <f t="shared" si="159"/>
        <v>818.21240739815892</v>
      </c>
      <c r="U674" s="128">
        <v>917.10652749338249</v>
      </c>
      <c r="V674" s="257">
        <f t="shared" si="155"/>
        <v>98.89412009522357</v>
      </c>
      <c r="W674" s="257">
        <f t="shared" si="165"/>
        <v>913.98904593051327</v>
      </c>
      <c r="X674" s="257">
        <v>0</v>
      </c>
      <c r="Y674" s="258">
        <v>0</v>
      </c>
      <c r="Z674" s="258">
        <v>0</v>
      </c>
      <c r="AA674" s="258">
        <v>0</v>
      </c>
      <c r="AB674" s="258">
        <v>0</v>
      </c>
      <c r="AC674" s="258">
        <v>0</v>
      </c>
      <c r="AD674" s="258">
        <v>0</v>
      </c>
      <c r="AE674" s="258">
        <v>880</v>
      </c>
      <c r="AF674" s="257">
        <f>6238.91*AE674/I674</f>
        <v>913.98904593051327</v>
      </c>
      <c r="AG674" s="258">
        <v>0</v>
      </c>
      <c r="AH674" s="257">
        <v>0</v>
      </c>
      <c r="AI674" s="258">
        <v>0</v>
      </c>
      <c r="AJ674" s="257">
        <v>0</v>
      </c>
      <c r="AK674" s="258">
        <v>0</v>
      </c>
      <c r="AL674" s="258">
        <v>0</v>
      </c>
      <c r="AM674" s="258">
        <v>0</v>
      </c>
      <c r="AN674" s="258"/>
      <c r="AO674" s="258">
        <v>0</v>
      </c>
    </row>
    <row r="675" spans="1:41" s="259" customFormat="1" ht="36" customHeight="1" x14ac:dyDescent="0.25">
      <c r="A675" s="259">
        <v>1</v>
      </c>
      <c r="B675" s="135">
        <f>SUBTOTAL(103,$A$552:A675)</f>
        <v>122</v>
      </c>
      <c r="C675" s="94" t="s">
        <v>406</v>
      </c>
      <c r="D675" s="124">
        <v>1992</v>
      </c>
      <c r="E675" s="124"/>
      <c r="F675" s="129" t="s">
        <v>269</v>
      </c>
      <c r="G675" s="124">
        <v>4</v>
      </c>
      <c r="H675" s="124" t="s">
        <v>306</v>
      </c>
      <c r="I675" s="125">
        <v>1756.3</v>
      </c>
      <c r="J675" s="125">
        <v>1356.3</v>
      </c>
      <c r="K675" s="125">
        <v>1356.3</v>
      </c>
      <c r="L675" s="126">
        <v>65</v>
      </c>
      <c r="M675" s="124" t="s">
        <v>267</v>
      </c>
      <c r="N675" s="124" t="s">
        <v>268</v>
      </c>
      <c r="O675" s="127" t="s">
        <v>270</v>
      </c>
      <c r="P675" s="128">
        <v>3567125.84</v>
      </c>
      <c r="Q675" s="128">
        <v>0</v>
      </c>
      <c r="R675" s="128">
        <v>0</v>
      </c>
      <c r="S675" s="128">
        <f t="shared" si="164"/>
        <v>3567125.84</v>
      </c>
      <c r="T675" s="128">
        <f t="shared" si="159"/>
        <v>2031.0458577691738</v>
      </c>
      <c r="U675" s="128">
        <v>2316.8726868985937</v>
      </c>
      <c r="V675" s="257">
        <f t="shared" si="155"/>
        <v>285.82682912941982</v>
      </c>
      <c r="W675" s="257">
        <f t="shared" si="165"/>
        <v>2308.9970392301998</v>
      </c>
      <c r="X675" s="257">
        <v>0</v>
      </c>
      <c r="Y675" s="258">
        <v>0</v>
      </c>
      <c r="Z675" s="258">
        <v>0</v>
      </c>
      <c r="AA675" s="258">
        <v>0</v>
      </c>
      <c r="AB675" s="258">
        <v>0</v>
      </c>
      <c r="AC675" s="258">
        <v>0</v>
      </c>
      <c r="AD675" s="258">
        <v>0</v>
      </c>
      <c r="AE675" s="258">
        <v>650</v>
      </c>
      <c r="AF675" s="257">
        <f>6238.91*AE675/I675</f>
        <v>2308.9970392301998</v>
      </c>
      <c r="AG675" s="258">
        <v>0</v>
      </c>
      <c r="AH675" s="257">
        <v>0</v>
      </c>
      <c r="AI675" s="258">
        <v>0</v>
      </c>
      <c r="AJ675" s="257">
        <v>0</v>
      </c>
      <c r="AK675" s="258">
        <v>0</v>
      </c>
      <c r="AL675" s="258">
        <v>0</v>
      </c>
      <c r="AM675" s="258">
        <v>0</v>
      </c>
      <c r="AN675" s="258"/>
      <c r="AO675" s="258">
        <v>0</v>
      </c>
    </row>
    <row r="676" spans="1:41" s="259" customFormat="1" ht="36" customHeight="1" x14ac:dyDescent="0.25">
      <c r="A676" s="259">
        <v>1</v>
      </c>
      <c r="B676" s="135">
        <f>SUBTOTAL(103,$A$552:A676)</f>
        <v>123</v>
      </c>
      <c r="C676" s="94" t="s">
        <v>407</v>
      </c>
      <c r="D676" s="124">
        <v>1941</v>
      </c>
      <c r="E676" s="124"/>
      <c r="F676" s="129" t="s">
        <v>326</v>
      </c>
      <c r="G676" s="124">
        <v>2</v>
      </c>
      <c r="H676" s="124" t="s">
        <v>305</v>
      </c>
      <c r="I676" s="125">
        <v>743.7</v>
      </c>
      <c r="J676" s="125">
        <v>670.6</v>
      </c>
      <c r="K676" s="125">
        <v>553.1</v>
      </c>
      <c r="L676" s="126">
        <v>23</v>
      </c>
      <c r="M676" s="124" t="s">
        <v>267</v>
      </c>
      <c r="N676" s="124" t="s">
        <v>271</v>
      </c>
      <c r="O676" s="127" t="s">
        <v>327</v>
      </c>
      <c r="P676" s="128">
        <v>3399322.55</v>
      </c>
      <c r="Q676" s="128">
        <v>0</v>
      </c>
      <c r="R676" s="128">
        <v>0</v>
      </c>
      <c r="S676" s="128">
        <f t="shared" si="164"/>
        <v>3399322.55</v>
      </c>
      <c r="T676" s="128">
        <f t="shared" si="159"/>
        <v>4570.8249966384292</v>
      </c>
      <c r="U676" s="128">
        <v>5218.929407018959</v>
      </c>
      <c r="V676" s="257">
        <f t="shared" si="155"/>
        <v>648.10441038052977</v>
      </c>
      <c r="W676" s="257">
        <f t="shared" si="165"/>
        <v>5201.1889202635466</v>
      </c>
      <c r="X676" s="257">
        <v>0</v>
      </c>
      <c r="Y676" s="258">
        <v>0</v>
      </c>
      <c r="Z676" s="258">
        <v>0</v>
      </c>
      <c r="AA676" s="258">
        <v>0</v>
      </c>
      <c r="AB676" s="258">
        <v>0</v>
      </c>
      <c r="AC676" s="258">
        <v>0</v>
      </c>
      <c r="AD676" s="258">
        <v>0</v>
      </c>
      <c r="AE676" s="258">
        <v>620</v>
      </c>
      <c r="AF676" s="257">
        <f>6238.91*AE676/I676</f>
        <v>5201.1889202635466</v>
      </c>
      <c r="AG676" s="258">
        <v>0</v>
      </c>
      <c r="AH676" s="257">
        <v>0</v>
      </c>
      <c r="AI676" s="258">
        <v>0</v>
      </c>
      <c r="AJ676" s="257">
        <v>0</v>
      </c>
      <c r="AK676" s="258">
        <v>0</v>
      </c>
      <c r="AL676" s="258">
        <v>0</v>
      </c>
      <c r="AM676" s="258">
        <v>0</v>
      </c>
      <c r="AN676" s="258"/>
      <c r="AO676" s="258">
        <v>0</v>
      </c>
    </row>
    <row r="677" spans="1:41" s="259" customFormat="1" ht="36" customHeight="1" x14ac:dyDescent="0.25">
      <c r="A677" s="259">
        <v>1</v>
      </c>
      <c r="B677" s="135">
        <f>SUBTOTAL(103,$A$552:A677)</f>
        <v>124</v>
      </c>
      <c r="C677" s="94" t="s">
        <v>408</v>
      </c>
      <c r="D677" s="124">
        <v>1957</v>
      </c>
      <c r="E677" s="124"/>
      <c r="F677" s="129" t="s">
        <v>269</v>
      </c>
      <c r="G677" s="124">
        <v>2</v>
      </c>
      <c r="H677" s="124" t="s">
        <v>305</v>
      </c>
      <c r="I677" s="125">
        <v>706.7</v>
      </c>
      <c r="J677" s="125">
        <v>646.1</v>
      </c>
      <c r="K677" s="125">
        <v>646.1</v>
      </c>
      <c r="L677" s="126">
        <v>18</v>
      </c>
      <c r="M677" s="124" t="s">
        <v>267</v>
      </c>
      <c r="N677" s="124" t="s">
        <v>268</v>
      </c>
      <c r="O677" s="127" t="s">
        <v>270</v>
      </c>
      <c r="P677" s="128">
        <v>3460627.9299999997</v>
      </c>
      <c r="Q677" s="128">
        <v>0</v>
      </c>
      <c r="R677" s="128">
        <v>0</v>
      </c>
      <c r="S677" s="128">
        <f t="shared" si="164"/>
        <v>3460627.9299999997</v>
      </c>
      <c r="T677" s="128">
        <f t="shared" si="159"/>
        <v>4896.8840101881979</v>
      </c>
      <c r="U677" s="128">
        <v>5669.338616103013</v>
      </c>
      <c r="V677" s="257">
        <f t="shared" si="155"/>
        <v>772.45460591481515</v>
      </c>
      <c r="W677" s="257">
        <f t="shared" si="165"/>
        <v>5650.0670723079093</v>
      </c>
      <c r="X677" s="257">
        <v>0</v>
      </c>
      <c r="Y677" s="258">
        <v>0</v>
      </c>
      <c r="Z677" s="258">
        <v>0</v>
      </c>
      <c r="AA677" s="258">
        <v>0</v>
      </c>
      <c r="AB677" s="258">
        <v>0</v>
      </c>
      <c r="AC677" s="258">
        <v>0</v>
      </c>
      <c r="AD677" s="258">
        <v>0</v>
      </c>
      <c r="AE677" s="258">
        <v>640</v>
      </c>
      <c r="AF677" s="257">
        <f>6238.91*AE677/I677</f>
        <v>5650.0670723079093</v>
      </c>
      <c r="AG677" s="258">
        <v>0</v>
      </c>
      <c r="AH677" s="257">
        <v>0</v>
      </c>
      <c r="AI677" s="258">
        <v>0</v>
      </c>
      <c r="AJ677" s="257">
        <v>0</v>
      </c>
      <c r="AK677" s="258">
        <v>0</v>
      </c>
      <c r="AL677" s="258">
        <v>0</v>
      </c>
      <c r="AM677" s="258">
        <v>0</v>
      </c>
      <c r="AN677" s="258"/>
      <c r="AO677" s="258">
        <v>0</v>
      </c>
    </row>
    <row r="678" spans="1:41" s="259" customFormat="1" ht="36" customHeight="1" x14ac:dyDescent="0.25">
      <c r="A678" s="259">
        <v>1</v>
      </c>
      <c r="B678" s="135">
        <f>SUBTOTAL(103,$A$552:A678)</f>
        <v>125</v>
      </c>
      <c r="C678" s="94" t="s">
        <v>199</v>
      </c>
      <c r="D678" s="130">
        <v>1967</v>
      </c>
      <c r="E678" s="124"/>
      <c r="F678" s="129" t="s">
        <v>269</v>
      </c>
      <c r="G678" s="124">
        <v>2</v>
      </c>
      <c r="H678" s="124" t="s">
        <v>305</v>
      </c>
      <c r="I678" s="125">
        <v>1003.5</v>
      </c>
      <c r="J678" s="125">
        <v>634.5</v>
      </c>
      <c r="K678" s="125">
        <v>634.5</v>
      </c>
      <c r="L678" s="126">
        <v>28</v>
      </c>
      <c r="M678" s="124" t="s">
        <v>267</v>
      </c>
      <c r="N678" s="124" t="s">
        <v>271</v>
      </c>
      <c r="O678" s="127" t="s">
        <v>328</v>
      </c>
      <c r="P678" s="128">
        <v>686139</v>
      </c>
      <c r="Q678" s="128">
        <v>0</v>
      </c>
      <c r="R678" s="128">
        <v>0</v>
      </c>
      <c r="S678" s="128">
        <f t="shared" si="164"/>
        <v>686139</v>
      </c>
      <c r="T678" s="128">
        <f t="shared" si="159"/>
        <v>683.74588938714498</v>
      </c>
      <c r="U678" s="128">
        <v>896.63</v>
      </c>
      <c r="V678" s="257">
        <f t="shared" si="155"/>
        <v>212.88411061285501</v>
      </c>
      <c r="W678" s="257">
        <f t="shared" ref="W678:W680" si="166">T678</f>
        <v>683.74588938714498</v>
      </c>
      <c r="X678" s="257">
        <v>0</v>
      </c>
      <c r="Y678" s="258">
        <v>0</v>
      </c>
      <c r="Z678" s="258">
        <v>0</v>
      </c>
      <c r="AA678" s="258">
        <v>184.98</v>
      </c>
      <c r="AB678" s="258">
        <v>810.46</v>
      </c>
      <c r="AC678" s="258">
        <v>0</v>
      </c>
      <c r="AD678" s="258">
        <v>0</v>
      </c>
      <c r="AE678" s="258">
        <v>0</v>
      </c>
      <c r="AF678" s="257">
        <v>0</v>
      </c>
      <c r="AG678" s="258">
        <v>0</v>
      </c>
      <c r="AH678" s="257">
        <v>0</v>
      </c>
      <c r="AI678" s="258">
        <v>0</v>
      </c>
      <c r="AJ678" s="257">
        <v>0</v>
      </c>
      <c r="AK678" s="258">
        <v>0</v>
      </c>
      <c r="AL678" s="258">
        <v>0</v>
      </c>
      <c r="AM678" s="258">
        <v>0</v>
      </c>
      <c r="AN678" s="258"/>
      <c r="AO678" s="258">
        <v>0</v>
      </c>
    </row>
    <row r="679" spans="1:41" s="259" customFormat="1" ht="36" customHeight="1" x14ac:dyDescent="0.25">
      <c r="A679" s="259">
        <v>1</v>
      </c>
      <c r="B679" s="135">
        <f>SUBTOTAL(103,$A$552:A679)</f>
        <v>126</v>
      </c>
      <c r="C679" s="94" t="s">
        <v>200</v>
      </c>
      <c r="D679" s="130">
        <v>1974</v>
      </c>
      <c r="E679" s="124"/>
      <c r="F679" s="129" t="s">
        <v>269</v>
      </c>
      <c r="G679" s="124">
        <v>2</v>
      </c>
      <c r="H679" s="124" t="s">
        <v>305</v>
      </c>
      <c r="I679" s="125">
        <v>1163.5</v>
      </c>
      <c r="J679" s="125">
        <v>704.1</v>
      </c>
      <c r="K679" s="125">
        <v>704.1</v>
      </c>
      <c r="L679" s="126">
        <v>46</v>
      </c>
      <c r="M679" s="124" t="s">
        <v>267</v>
      </c>
      <c r="N679" s="124" t="s">
        <v>271</v>
      </c>
      <c r="O679" s="127" t="s">
        <v>328</v>
      </c>
      <c r="P679" s="128">
        <v>783943</v>
      </c>
      <c r="Q679" s="128">
        <v>0</v>
      </c>
      <c r="R679" s="128">
        <v>0</v>
      </c>
      <c r="S679" s="128">
        <f t="shared" si="164"/>
        <v>783943</v>
      </c>
      <c r="T679" s="128">
        <f t="shared" si="159"/>
        <v>673.77997421572843</v>
      </c>
      <c r="U679" s="128">
        <v>810.46</v>
      </c>
      <c r="V679" s="257">
        <f t="shared" si="155"/>
        <v>136.68002578427161</v>
      </c>
      <c r="W679" s="257">
        <f t="shared" si="166"/>
        <v>673.77997421572843</v>
      </c>
      <c r="X679" s="257">
        <v>0</v>
      </c>
      <c r="Y679" s="258">
        <v>0</v>
      </c>
      <c r="Z679" s="258">
        <v>0</v>
      </c>
      <c r="AA679" s="258">
        <v>0</v>
      </c>
      <c r="AB679" s="258">
        <v>810.46</v>
      </c>
      <c r="AC679" s="258">
        <v>0</v>
      </c>
      <c r="AD679" s="258">
        <v>0</v>
      </c>
      <c r="AE679" s="258">
        <v>0</v>
      </c>
      <c r="AF679" s="257">
        <v>0</v>
      </c>
      <c r="AG679" s="258">
        <v>0</v>
      </c>
      <c r="AH679" s="257">
        <v>0</v>
      </c>
      <c r="AI679" s="258">
        <v>0</v>
      </c>
      <c r="AJ679" s="257">
        <v>0</v>
      </c>
      <c r="AK679" s="258">
        <v>0</v>
      </c>
      <c r="AL679" s="258">
        <v>0</v>
      </c>
      <c r="AM679" s="258">
        <v>0</v>
      </c>
      <c r="AN679" s="258"/>
      <c r="AO679" s="258">
        <v>0</v>
      </c>
    </row>
    <row r="680" spans="1:41" s="259" customFormat="1" ht="36" customHeight="1" x14ac:dyDescent="0.25">
      <c r="A680" s="259">
        <v>1</v>
      </c>
      <c r="B680" s="135">
        <f>SUBTOTAL(103,$A$552:A680)</f>
        <v>127</v>
      </c>
      <c r="C680" s="94" t="s">
        <v>201</v>
      </c>
      <c r="D680" s="124">
        <v>1973</v>
      </c>
      <c r="E680" s="124"/>
      <c r="F680" s="129" t="s">
        <v>269</v>
      </c>
      <c r="G680" s="124">
        <v>2</v>
      </c>
      <c r="H680" s="124" t="s">
        <v>305</v>
      </c>
      <c r="I680" s="125">
        <v>692.9</v>
      </c>
      <c r="J680" s="125">
        <v>692.9</v>
      </c>
      <c r="K680" s="125">
        <v>692.9</v>
      </c>
      <c r="L680" s="126">
        <v>47</v>
      </c>
      <c r="M680" s="124" t="s">
        <v>267</v>
      </c>
      <c r="N680" s="124" t="s">
        <v>271</v>
      </c>
      <c r="O680" s="127" t="s">
        <v>328</v>
      </c>
      <c r="P680" s="128">
        <v>776127.96</v>
      </c>
      <c r="Q680" s="128">
        <v>0</v>
      </c>
      <c r="R680" s="128">
        <v>0</v>
      </c>
      <c r="S680" s="128">
        <f t="shared" si="164"/>
        <v>776127.96</v>
      </c>
      <c r="T680" s="128">
        <f t="shared" si="159"/>
        <v>1120.1153990474816</v>
      </c>
      <c r="U680" s="128">
        <v>1120.1153990474816</v>
      </c>
      <c r="V680" s="257">
        <f t="shared" si="155"/>
        <v>0</v>
      </c>
      <c r="W680" s="257">
        <f t="shared" si="166"/>
        <v>1120.1153990474816</v>
      </c>
      <c r="X680" s="257">
        <v>0</v>
      </c>
      <c r="Y680" s="258">
        <v>0</v>
      </c>
      <c r="Z680" s="258">
        <v>0</v>
      </c>
      <c r="AA680" s="258">
        <v>0</v>
      </c>
      <c r="AB680" s="258">
        <v>810.46</v>
      </c>
      <c r="AC680" s="258">
        <v>0</v>
      </c>
      <c r="AD680" s="258">
        <v>0</v>
      </c>
      <c r="AE680" s="258">
        <v>0</v>
      </c>
      <c r="AF680" s="257">
        <v>0</v>
      </c>
      <c r="AG680" s="258">
        <v>0</v>
      </c>
      <c r="AH680" s="257">
        <v>0</v>
      </c>
      <c r="AI680" s="258">
        <v>0</v>
      </c>
      <c r="AJ680" s="257">
        <v>0</v>
      </c>
      <c r="AK680" s="258">
        <v>0</v>
      </c>
      <c r="AL680" s="258">
        <v>0</v>
      </c>
      <c r="AM680" s="258">
        <v>0</v>
      </c>
      <c r="AN680" s="258"/>
      <c r="AO680" s="258">
        <v>0</v>
      </c>
    </row>
    <row r="681" spans="1:41" s="259" customFormat="1" ht="36" customHeight="1" x14ac:dyDescent="0.25">
      <c r="A681" s="259">
        <v>1</v>
      </c>
      <c r="B681" s="135">
        <f>SUBTOTAL(103,$A$552:A681)</f>
        <v>128</v>
      </c>
      <c r="C681" s="94" t="s">
        <v>409</v>
      </c>
      <c r="D681" s="124">
        <v>1960</v>
      </c>
      <c r="E681" s="124"/>
      <c r="F681" s="129" t="s">
        <v>269</v>
      </c>
      <c r="G681" s="124">
        <v>2</v>
      </c>
      <c r="H681" s="124" t="s">
        <v>305</v>
      </c>
      <c r="I681" s="125">
        <v>582.70000000000005</v>
      </c>
      <c r="J681" s="125">
        <v>576.70000000000005</v>
      </c>
      <c r="K681" s="125">
        <v>576.70000000000005</v>
      </c>
      <c r="L681" s="126">
        <v>31</v>
      </c>
      <c r="M681" s="124" t="s">
        <v>267</v>
      </c>
      <c r="N681" s="124" t="s">
        <v>271</v>
      </c>
      <c r="O681" s="127" t="s">
        <v>323</v>
      </c>
      <c r="P681" s="128">
        <v>2549917.2999999998</v>
      </c>
      <c r="Q681" s="128">
        <v>0</v>
      </c>
      <c r="R681" s="128">
        <v>0</v>
      </c>
      <c r="S681" s="128">
        <f t="shared" si="164"/>
        <v>2549917.2999999998</v>
      </c>
      <c r="T681" s="128">
        <f t="shared" si="159"/>
        <v>4376.0379268920533</v>
      </c>
      <c r="U681" s="128">
        <v>5124.6106572850522</v>
      </c>
      <c r="V681" s="257">
        <f t="shared" si="155"/>
        <v>748.57273039299889</v>
      </c>
      <c r="W681" s="257">
        <f t="shared" si="165"/>
        <v>5107.1907842800747</v>
      </c>
      <c r="X681" s="257">
        <v>0</v>
      </c>
      <c r="Y681" s="258">
        <v>0</v>
      </c>
      <c r="Z681" s="258">
        <v>0</v>
      </c>
      <c r="AA681" s="258">
        <v>0</v>
      </c>
      <c r="AB681" s="258">
        <v>0</v>
      </c>
      <c r="AC681" s="258">
        <v>0</v>
      </c>
      <c r="AD681" s="258">
        <v>0</v>
      </c>
      <c r="AE681" s="258">
        <v>477</v>
      </c>
      <c r="AF681" s="257">
        <f t="shared" ref="AF681:AF691" si="167">6238.91*AE681/I681</f>
        <v>5107.1907842800747</v>
      </c>
      <c r="AG681" s="258">
        <v>0</v>
      </c>
      <c r="AH681" s="257">
        <v>0</v>
      </c>
      <c r="AI681" s="258">
        <v>0</v>
      </c>
      <c r="AJ681" s="257">
        <v>0</v>
      </c>
      <c r="AK681" s="258">
        <v>0</v>
      </c>
      <c r="AL681" s="258">
        <v>0</v>
      </c>
      <c r="AM681" s="258">
        <v>0</v>
      </c>
      <c r="AN681" s="258"/>
      <c r="AO681" s="258">
        <v>0</v>
      </c>
    </row>
    <row r="682" spans="1:41" s="259" customFormat="1" ht="36" customHeight="1" x14ac:dyDescent="0.25">
      <c r="A682" s="259">
        <v>1</v>
      </c>
      <c r="B682" s="135">
        <f>SUBTOTAL(103,$A$552:A682)</f>
        <v>129</v>
      </c>
      <c r="C682" s="94" t="s">
        <v>410</v>
      </c>
      <c r="D682" s="124">
        <v>1960</v>
      </c>
      <c r="E682" s="124"/>
      <c r="F682" s="129" t="s">
        <v>269</v>
      </c>
      <c r="G682" s="124">
        <v>2</v>
      </c>
      <c r="H682" s="124" t="s">
        <v>305</v>
      </c>
      <c r="I682" s="125">
        <v>592.20000000000005</v>
      </c>
      <c r="J682" s="125">
        <v>550.70000000000005</v>
      </c>
      <c r="K682" s="125">
        <v>550.70000000000005</v>
      </c>
      <c r="L682" s="126">
        <v>37</v>
      </c>
      <c r="M682" s="124" t="s">
        <v>267</v>
      </c>
      <c r="N682" s="124" t="s">
        <v>271</v>
      </c>
      <c r="O682" s="127" t="s">
        <v>330</v>
      </c>
      <c r="P682" s="128">
        <v>2559962.94</v>
      </c>
      <c r="Q682" s="128">
        <v>0</v>
      </c>
      <c r="R682" s="128">
        <v>0</v>
      </c>
      <c r="S682" s="128">
        <f t="shared" si="164"/>
        <v>2559962.94</v>
      </c>
      <c r="T682" s="128">
        <f t="shared" si="159"/>
        <v>4322.801317122593</v>
      </c>
      <c r="U682" s="128">
        <v>4989.5469098277599</v>
      </c>
      <c r="V682" s="257">
        <f t="shared" si="155"/>
        <v>666.74559270516693</v>
      </c>
      <c r="W682" s="257">
        <f t="shared" si="165"/>
        <v>4972.5861533265788</v>
      </c>
      <c r="X682" s="257">
        <v>0</v>
      </c>
      <c r="Y682" s="258">
        <v>0</v>
      </c>
      <c r="Z682" s="258">
        <v>0</v>
      </c>
      <c r="AA682" s="258">
        <v>0</v>
      </c>
      <c r="AB682" s="258">
        <v>0</v>
      </c>
      <c r="AC682" s="258">
        <v>0</v>
      </c>
      <c r="AD682" s="258">
        <v>0</v>
      </c>
      <c r="AE682" s="258">
        <v>472</v>
      </c>
      <c r="AF682" s="257">
        <f t="shared" si="167"/>
        <v>4972.5861533265788</v>
      </c>
      <c r="AG682" s="258">
        <v>0</v>
      </c>
      <c r="AH682" s="257">
        <v>0</v>
      </c>
      <c r="AI682" s="258">
        <v>0</v>
      </c>
      <c r="AJ682" s="257">
        <v>0</v>
      </c>
      <c r="AK682" s="258">
        <v>0</v>
      </c>
      <c r="AL682" s="258">
        <v>0</v>
      </c>
      <c r="AM682" s="258">
        <v>0</v>
      </c>
      <c r="AN682" s="258"/>
      <c r="AO682" s="258">
        <v>0</v>
      </c>
    </row>
    <row r="683" spans="1:41" s="259" customFormat="1" ht="36" customHeight="1" x14ac:dyDescent="0.25">
      <c r="A683" s="259">
        <v>1</v>
      </c>
      <c r="B683" s="135">
        <f>SUBTOTAL(103,$A$552:A683)</f>
        <v>130</v>
      </c>
      <c r="C683" s="94" t="s">
        <v>411</v>
      </c>
      <c r="D683" s="124">
        <v>1950</v>
      </c>
      <c r="E683" s="124"/>
      <c r="F683" s="129" t="s">
        <v>269</v>
      </c>
      <c r="G683" s="124">
        <v>3</v>
      </c>
      <c r="H683" s="124" t="s">
        <v>305</v>
      </c>
      <c r="I683" s="125">
        <v>786.1</v>
      </c>
      <c r="J683" s="125">
        <v>786.1</v>
      </c>
      <c r="K683" s="125">
        <v>527.79999999999995</v>
      </c>
      <c r="L683" s="126">
        <v>18</v>
      </c>
      <c r="M683" s="124" t="s">
        <v>267</v>
      </c>
      <c r="N683" s="124" t="s">
        <v>271</v>
      </c>
      <c r="O683" s="127" t="s">
        <v>328</v>
      </c>
      <c r="P683" s="128">
        <v>2456912.8200000003</v>
      </c>
      <c r="Q683" s="128">
        <v>0</v>
      </c>
      <c r="R683" s="128">
        <v>0</v>
      </c>
      <c r="S683" s="128">
        <f t="shared" si="164"/>
        <v>2456912.8200000003</v>
      </c>
      <c r="T683" s="128">
        <f t="shared" si="159"/>
        <v>3125.4456430479586</v>
      </c>
      <c r="U683" s="128">
        <v>3503.9862612899115</v>
      </c>
      <c r="V683" s="257">
        <f t="shared" si="155"/>
        <v>378.54061824195287</v>
      </c>
      <c r="W683" s="257">
        <f t="shared" si="165"/>
        <v>3492.0753084849252</v>
      </c>
      <c r="X683" s="257">
        <v>0</v>
      </c>
      <c r="Y683" s="258">
        <v>0</v>
      </c>
      <c r="Z683" s="258">
        <v>0</v>
      </c>
      <c r="AA683" s="258">
        <v>0</v>
      </c>
      <c r="AB683" s="258">
        <v>0</v>
      </c>
      <c r="AC683" s="258">
        <v>0</v>
      </c>
      <c r="AD683" s="258">
        <v>0</v>
      </c>
      <c r="AE683" s="258">
        <v>440</v>
      </c>
      <c r="AF683" s="257">
        <f t="shared" si="167"/>
        <v>3492.0753084849252</v>
      </c>
      <c r="AG683" s="258">
        <v>0</v>
      </c>
      <c r="AH683" s="257">
        <v>0</v>
      </c>
      <c r="AI683" s="258">
        <v>0</v>
      </c>
      <c r="AJ683" s="257">
        <v>0</v>
      </c>
      <c r="AK683" s="258">
        <v>0</v>
      </c>
      <c r="AL683" s="258">
        <v>0</v>
      </c>
      <c r="AM683" s="258">
        <v>0</v>
      </c>
      <c r="AN683" s="258"/>
      <c r="AO683" s="258">
        <v>0</v>
      </c>
    </row>
    <row r="684" spans="1:41" s="259" customFormat="1" ht="36" customHeight="1" x14ac:dyDescent="0.25">
      <c r="A684" s="259">
        <v>1</v>
      </c>
      <c r="B684" s="135">
        <f>SUBTOTAL(103,$A$552:A684)</f>
        <v>131</v>
      </c>
      <c r="C684" s="94" t="s">
        <v>412</v>
      </c>
      <c r="D684" s="124">
        <v>1977</v>
      </c>
      <c r="E684" s="124"/>
      <c r="F684" s="129" t="s">
        <v>269</v>
      </c>
      <c r="G684" s="124">
        <v>9</v>
      </c>
      <c r="H684" s="124" t="s">
        <v>305</v>
      </c>
      <c r="I684" s="125">
        <v>4984</v>
      </c>
      <c r="J684" s="125">
        <v>3767.5</v>
      </c>
      <c r="K684" s="125">
        <v>3767.5</v>
      </c>
      <c r="L684" s="126">
        <v>163</v>
      </c>
      <c r="M684" s="124" t="s">
        <v>267</v>
      </c>
      <c r="N684" s="124" t="s">
        <v>271</v>
      </c>
      <c r="O684" s="127" t="s">
        <v>996</v>
      </c>
      <c r="P684" s="128">
        <v>3762569.57</v>
      </c>
      <c r="Q684" s="128">
        <v>0</v>
      </c>
      <c r="R684" s="128">
        <v>0</v>
      </c>
      <c r="S684" s="128">
        <f t="shared" si="164"/>
        <v>3762569.57</v>
      </c>
      <c r="T684" s="128">
        <f t="shared" si="159"/>
        <v>754.92968900481537</v>
      </c>
      <c r="U684" s="128">
        <v>826.48575842696619</v>
      </c>
      <c r="V684" s="257">
        <f t="shared" si="155"/>
        <v>71.556069422150813</v>
      </c>
      <c r="W684" s="257">
        <f t="shared" si="165"/>
        <v>823.67632022471901</v>
      </c>
      <c r="X684" s="257">
        <v>0</v>
      </c>
      <c r="Y684" s="258">
        <v>0</v>
      </c>
      <c r="Z684" s="258">
        <v>0</v>
      </c>
      <c r="AA684" s="258">
        <v>0</v>
      </c>
      <c r="AB684" s="258">
        <v>0</v>
      </c>
      <c r="AC684" s="258">
        <v>0</v>
      </c>
      <c r="AD684" s="258">
        <v>0</v>
      </c>
      <c r="AE684" s="258">
        <v>658</v>
      </c>
      <c r="AF684" s="257">
        <f t="shared" si="167"/>
        <v>823.67632022471901</v>
      </c>
      <c r="AG684" s="258">
        <v>0</v>
      </c>
      <c r="AH684" s="257">
        <v>0</v>
      </c>
      <c r="AI684" s="258">
        <v>0</v>
      </c>
      <c r="AJ684" s="257">
        <v>0</v>
      </c>
      <c r="AK684" s="258">
        <v>0</v>
      </c>
      <c r="AL684" s="258">
        <v>0</v>
      </c>
      <c r="AM684" s="258">
        <v>0</v>
      </c>
      <c r="AN684" s="258"/>
      <c r="AO684" s="258">
        <v>0</v>
      </c>
    </row>
    <row r="685" spans="1:41" s="259" customFormat="1" ht="36" customHeight="1" x14ac:dyDescent="0.25">
      <c r="A685" s="259">
        <v>1</v>
      </c>
      <c r="B685" s="135">
        <f>SUBTOTAL(103,$A$552:A685)</f>
        <v>132</v>
      </c>
      <c r="C685" s="94" t="s">
        <v>413</v>
      </c>
      <c r="D685" s="124">
        <v>1961</v>
      </c>
      <c r="E685" s="124"/>
      <c r="F685" s="129" t="s">
        <v>269</v>
      </c>
      <c r="G685" s="124">
        <v>4</v>
      </c>
      <c r="H685" s="124" t="s">
        <v>310</v>
      </c>
      <c r="I685" s="125">
        <v>2700.93</v>
      </c>
      <c r="J685" s="125">
        <v>2461.3000000000002</v>
      </c>
      <c r="K685" s="125">
        <v>2280.6999999999998</v>
      </c>
      <c r="L685" s="126">
        <v>87</v>
      </c>
      <c r="M685" s="124" t="s">
        <v>267</v>
      </c>
      <c r="N685" s="124" t="s">
        <v>271</v>
      </c>
      <c r="O685" s="127" t="s">
        <v>323</v>
      </c>
      <c r="P685" s="128">
        <v>5669999.9900000002</v>
      </c>
      <c r="Q685" s="128">
        <v>0</v>
      </c>
      <c r="R685" s="128">
        <v>0</v>
      </c>
      <c r="S685" s="128">
        <f t="shared" si="164"/>
        <v>5669999.9900000002</v>
      </c>
      <c r="T685" s="128">
        <f t="shared" si="159"/>
        <v>2099.2769120265984</v>
      </c>
      <c r="U685" s="128">
        <v>2628.3744710155393</v>
      </c>
      <c r="V685" s="257">
        <f t="shared" si="155"/>
        <v>529.09755898894082</v>
      </c>
      <c r="W685" s="257">
        <f t="shared" si="165"/>
        <v>2619.4399484621963</v>
      </c>
      <c r="X685" s="257">
        <v>0</v>
      </c>
      <c r="Y685" s="258">
        <v>0</v>
      </c>
      <c r="Z685" s="258">
        <v>0</v>
      </c>
      <c r="AA685" s="258">
        <v>0</v>
      </c>
      <c r="AB685" s="258">
        <v>0</v>
      </c>
      <c r="AC685" s="258">
        <v>0</v>
      </c>
      <c r="AD685" s="258">
        <v>0</v>
      </c>
      <c r="AE685" s="258">
        <v>1134</v>
      </c>
      <c r="AF685" s="257">
        <f t="shared" si="167"/>
        <v>2619.4399484621963</v>
      </c>
      <c r="AG685" s="258">
        <v>0</v>
      </c>
      <c r="AH685" s="257">
        <v>0</v>
      </c>
      <c r="AI685" s="258">
        <v>0</v>
      </c>
      <c r="AJ685" s="257">
        <v>0</v>
      </c>
      <c r="AK685" s="258">
        <v>0</v>
      </c>
      <c r="AL685" s="258">
        <v>0</v>
      </c>
      <c r="AM685" s="258">
        <v>0</v>
      </c>
      <c r="AN685" s="258"/>
      <c r="AO685" s="258">
        <v>0</v>
      </c>
    </row>
    <row r="686" spans="1:41" s="259" customFormat="1" ht="36" customHeight="1" x14ac:dyDescent="0.25">
      <c r="A686" s="259">
        <v>1</v>
      </c>
      <c r="B686" s="135">
        <f>SUBTOTAL(103,$A$552:A686)</f>
        <v>133</v>
      </c>
      <c r="C686" s="94" t="s">
        <v>414</v>
      </c>
      <c r="D686" s="124">
        <v>1960</v>
      </c>
      <c r="E686" s="124"/>
      <c r="F686" s="129" t="s">
        <v>269</v>
      </c>
      <c r="G686" s="124">
        <v>4</v>
      </c>
      <c r="H686" s="124" t="s">
        <v>305</v>
      </c>
      <c r="I686" s="125">
        <v>1374.8</v>
      </c>
      <c r="J686" s="125">
        <v>1203.9000000000001</v>
      </c>
      <c r="K686" s="125">
        <v>773.1</v>
      </c>
      <c r="L686" s="126">
        <v>43</v>
      </c>
      <c r="M686" s="124" t="s">
        <v>267</v>
      </c>
      <c r="N686" s="124" t="s">
        <v>271</v>
      </c>
      <c r="O686" s="127" t="s">
        <v>323</v>
      </c>
      <c r="P686" s="128">
        <v>2895000</v>
      </c>
      <c r="Q686" s="128">
        <v>0</v>
      </c>
      <c r="R686" s="128">
        <v>0</v>
      </c>
      <c r="S686" s="128">
        <f t="shared" si="164"/>
        <v>2895000</v>
      </c>
      <c r="T686" s="128">
        <f t="shared" si="159"/>
        <v>2105.760837940064</v>
      </c>
      <c r="U686" s="128">
        <v>2636.4925880128017</v>
      </c>
      <c r="V686" s="257">
        <f t="shared" si="155"/>
        <v>530.73175007273767</v>
      </c>
      <c r="W686" s="257">
        <f t="shared" si="165"/>
        <v>2627.5304698865293</v>
      </c>
      <c r="X686" s="257">
        <v>0</v>
      </c>
      <c r="Y686" s="258">
        <v>0</v>
      </c>
      <c r="Z686" s="258">
        <v>0</v>
      </c>
      <c r="AA686" s="258">
        <v>0</v>
      </c>
      <c r="AB686" s="258">
        <v>0</v>
      </c>
      <c r="AC686" s="258">
        <v>0</v>
      </c>
      <c r="AD686" s="258">
        <v>0</v>
      </c>
      <c r="AE686" s="258">
        <v>579</v>
      </c>
      <c r="AF686" s="257">
        <f t="shared" si="167"/>
        <v>2627.5304698865293</v>
      </c>
      <c r="AG686" s="258">
        <v>0</v>
      </c>
      <c r="AH686" s="257">
        <v>0</v>
      </c>
      <c r="AI686" s="258">
        <v>0</v>
      </c>
      <c r="AJ686" s="257">
        <v>0</v>
      </c>
      <c r="AK686" s="258">
        <v>0</v>
      </c>
      <c r="AL686" s="258">
        <v>0</v>
      </c>
      <c r="AM686" s="258">
        <v>0</v>
      </c>
      <c r="AN686" s="258"/>
      <c r="AO686" s="258">
        <v>0</v>
      </c>
    </row>
    <row r="687" spans="1:41" s="259" customFormat="1" ht="36" customHeight="1" x14ac:dyDescent="0.25">
      <c r="A687" s="259">
        <v>1</v>
      </c>
      <c r="B687" s="135">
        <f>SUBTOTAL(103,$A$552:A687)</f>
        <v>134</v>
      </c>
      <c r="C687" s="94" t="s">
        <v>415</v>
      </c>
      <c r="D687" s="124">
        <v>1958</v>
      </c>
      <c r="E687" s="124"/>
      <c r="F687" s="129" t="s">
        <v>269</v>
      </c>
      <c r="G687" s="124">
        <v>2</v>
      </c>
      <c r="H687" s="124" t="s">
        <v>305</v>
      </c>
      <c r="I687" s="125">
        <v>653.29999999999995</v>
      </c>
      <c r="J687" s="125">
        <v>605.6</v>
      </c>
      <c r="K687" s="125">
        <v>605.6</v>
      </c>
      <c r="L687" s="126">
        <v>30</v>
      </c>
      <c r="M687" s="124" t="s">
        <v>267</v>
      </c>
      <c r="N687" s="124" t="s">
        <v>271</v>
      </c>
      <c r="O687" s="127" t="s">
        <v>327</v>
      </c>
      <c r="P687" s="128">
        <v>2988437.47</v>
      </c>
      <c r="Q687" s="128">
        <v>0</v>
      </c>
      <c r="R687" s="128">
        <v>0</v>
      </c>
      <c r="S687" s="128">
        <f t="shared" si="164"/>
        <v>2988437.47</v>
      </c>
      <c r="T687" s="128">
        <f t="shared" si="159"/>
        <v>4574.3723710393397</v>
      </c>
      <c r="U687" s="128">
        <v>5461.9750497474361</v>
      </c>
      <c r="V687" s="257">
        <f t="shared" si="155"/>
        <v>887.60267870809639</v>
      </c>
      <c r="W687" s="257">
        <f t="shared" si="165"/>
        <v>5443.4083881830702</v>
      </c>
      <c r="X687" s="257">
        <v>0</v>
      </c>
      <c r="Y687" s="258">
        <v>0</v>
      </c>
      <c r="Z687" s="258">
        <v>0</v>
      </c>
      <c r="AA687" s="258">
        <v>0</v>
      </c>
      <c r="AB687" s="258">
        <v>0</v>
      </c>
      <c r="AC687" s="258">
        <v>0</v>
      </c>
      <c r="AD687" s="258">
        <v>0</v>
      </c>
      <c r="AE687" s="258">
        <v>570</v>
      </c>
      <c r="AF687" s="257">
        <f t="shared" si="167"/>
        <v>5443.4083881830702</v>
      </c>
      <c r="AG687" s="258">
        <v>0</v>
      </c>
      <c r="AH687" s="257">
        <v>0</v>
      </c>
      <c r="AI687" s="258">
        <v>0</v>
      </c>
      <c r="AJ687" s="257">
        <v>0</v>
      </c>
      <c r="AK687" s="258">
        <v>0</v>
      </c>
      <c r="AL687" s="258">
        <v>0</v>
      </c>
      <c r="AM687" s="258">
        <v>0</v>
      </c>
      <c r="AN687" s="258"/>
      <c r="AO687" s="258">
        <v>0</v>
      </c>
    </row>
    <row r="688" spans="1:41" s="259" customFormat="1" ht="36" customHeight="1" x14ac:dyDescent="0.25">
      <c r="A688" s="259">
        <v>1</v>
      </c>
      <c r="B688" s="135">
        <f>SUBTOTAL(103,$A$552:A688)</f>
        <v>135</v>
      </c>
      <c r="C688" s="94" t="s">
        <v>416</v>
      </c>
      <c r="D688" s="124">
        <v>1961</v>
      </c>
      <c r="E688" s="124"/>
      <c r="F688" s="129" t="s">
        <v>269</v>
      </c>
      <c r="G688" s="124">
        <v>2</v>
      </c>
      <c r="H688" s="124" t="s">
        <v>306</v>
      </c>
      <c r="I688" s="125">
        <v>291.64999999999998</v>
      </c>
      <c r="J688" s="125">
        <v>275.13</v>
      </c>
      <c r="K688" s="125">
        <v>275.13</v>
      </c>
      <c r="L688" s="126">
        <v>17</v>
      </c>
      <c r="M688" s="124" t="s">
        <v>267</v>
      </c>
      <c r="N688" s="124" t="s">
        <v>268</v>
      </c>
      <c r="O688" s="127" t="s">
        <v>270</v>
      </c>
      <c r="P688" s="128">
        <v>1433090.1199999999</v>
      </c>
      <c r="Q688" s="128">
        <v>0</v>
      </c>
      <c r="R688" s="128">
        <v>0</v>
      </c>
      <c r="S688" s="128">
        <f t="shared" si="164"/>
        <v>1433090.1199999999</v>
      </c>
      <c r="T688" s="128">
        <f t="shared" si="159"/>
        <v>4913.7326247214123</v>
      </c>
      <c r="U688" s="128">
        <v>5709.6195439739413</v>
      </c>
      <c r="V688" s="257">
        <f t="shared" si="155"/>
        <v>795.88691925252897</v>
      </c>
      <c r="W688" s="257">
        <f t="shared" si="165"/>
        <v>5690.2110749185676</v>
      </c>
      <c r="X688" s="257">
        <v>0</v>
      </c>
      <c r="Y688" s="258">
        <v>0</v>
      </c>
      <c r="Z688" s="258">
        <v>0</v>
      </c>
      <c r="AA688" s="258">
        <v>0</v>
      </c>
      <c r="AB688" s="258">
        <v>0</v>
      </c>
      <c r="AC688" s="258">
        <v>0</v>
      </c>
      <c r="AD688" s="258">
        <v>0</v>
      </c>
      <c r="AE688" s="258">
        <v>266</v>
      </c>
      <c r="AF688" s="257">
        <f t="shared" si="167"/>
        <v>5690.2110749185676</v>
      </c>
      <c r="AG688" s="258">
        <v>0</v>
      </c>
      <c r="AH688" s="257">
        <v>0</v>
      </c>
      <c r="AI688" s="258">
        <v>0</v>
      </c>
      <c r="AJ688" s="257">
        <v>0</v>
      </c>
      <c r="AK688" s="258">
        <v>0</v>
      </c>
      <c r="AL688" s="258">
        <v>0</v>
      </c>
      <c r="AM688" s="258">
        <v>0</v>
      </c>
      <c r="AN688" s="258"/>
      <c r="AO688" s="258">
        <v>0</v>
      </c>
    </row>
    <row r="689" spans="1:41" s="259" customFormat="1" ht="36" customHeight="1" x14ac:dyDescent="0.25">
      <c r="A689" s="259">
        <v>1</v>
      </c>
      <c r="B689" s="135">
        <f>SUBTOTAL(103,$A$552:A689)</f>
        <v>136</v>
      </c>
      <c r="C689" s="94" t="s">
        <v>417</v>
      </c>
      <c r="D689" s="124">
        <v>1971</v>
      </c>
      <c r="E689" s="124"/>
      <c r="F689" s="129" t="s">
        <v>269</v>
      </c>
      <c r="G689" s="124">
        <v>5</v>
      </c>
      <c r="H689" s="124" t="s">
        <v>373</v>
      </c>
      <c r="I689" s="125">
        <v>5077.5</v>
      </c>
      <c r="J689" s="125">
        <v>4703.1000000000004</v>
      </c>
      <c r="K689" s="125">
        <v>3712.4</v>
      </c>
      <c r="L689" s="126">
        <v>180</v>
      </c>
      <c r="M689" s="124" t="s">
        <v>267</v>
      </c>
      <c r="N689" s="124" t="s">
        <v>271</v>
      </c>
      <c r="O689" s="127" t="s">
        <v>330</v>
      </c>
      <c r="P689" s="128">
        <v>8150000</v>
      </c>
      <c r="Q689" s="128">
        <v>0</v>
      </c>
      <c r="R689" s="128">
        <v>0</v>
      </c>
      <c r="S689" s="128">
        <f t="shared" si="164"/>
        <v>8150000</v>
      </c>
      <c r="T689" s="128">
        <f t="shared" si="159"/>
        <v>1605.1206302314131</v>
      </c>
      <c r="U689" s="128">
        <v>2009.6720236336778</v>
      </c>
      <c r="V689" s="257">
        <f t="shared" ref="V689:V711" si="168">U689-T689</f>
        <v>404.55139340226469</v>
      </c>
      <c r="W689" s="257">
        <f t="shared" si="165"/>
        <v>2002.8406302314129</v>
      </c>
      <c r="X689" s="257">
        <v>0</v>
      </c>
      <c r="Y689" s="258">
        <v>0</v>
      </c>
      <c r="Z689" s="258">
        <v>0</v>
      </c>
      <c r="AA689" s="258">
        <v>0</v>
      </c>
      <c r="AB689" s="258">
        <v>0</v>
      </c>
      <c r="AC689" s="258">
        <v>0</v>
      </c>
      <c r="AD689" s="258">
        <v>0</v>
      </c>
      <c r="AE689" s="258">
        <v>1630</v>
      </c>
      <c r="AF689" s="257">
        <f t="shared" si="167"/>
        <v>2002.8406302314129</v>
      </c>
      <c r="AG689" s="258">
        <v>0</v>
      </c>
      <c r="AH689" s="257">
        <v>0</v>
      </c>
      <c r="AI689" s="258">
        <v>0</v>
      </c>
      <c r="AJ689" s="257">
        <v>0</v>
      </c>
      <c r="AK689" s="258">
        <v>0</v>
      </c>
      <c r="AL689" s="258">
        <v>0</v>
      </c>
      <c r="AM689" s="258">
        <v>0</v>
      </c>
      <c r="AN689" s="258"/>
      <c r="AO689" s="258">
        <v>0</v>
      </c>
    </row>
    <row r="690" spans="1:41" s="259" customFormat="1" ht="36" customHeight="1" x14ac:dyDescent="0.25">
      <c r="A690" s="259">
        <v>1</v>
      </c>
      <c r="B690" s="135">
        <f>SUBTOTAL(103,$A$552:A690)</f>
        <v>137</v>
      </c>
      <c r="C690" s="94" t="s">
        <v>418</v>
      </c>
      <c r="D690" s="124">
        <v>1941</v>
      </c>
      <c r="E690" s="124"/>
      <c r="F690" s="129" t="s">
        <v>326</v>
      </c>
      <c r="G690" s="124">
        <v>2</v>
      </c>
      <c r="H690" s="124" t="s">
        <v>305</v>
      </c>
      <c r="I690" s="125">
        <v>613.70000000000005</v>
      </c>
      <c r="J690" s="125">
        <v>345.1</v>
      </c>
      <c r="K690" s="125">
        <v>345.1</v>
      </c>
      <c r="L690" s="126">
        <v>22</v>
      </c>
      <c r="M690" s="124" t="s">
        <v>267</v>
      </c>
      <c r="N690" s="124" t="s">
        <v>271</v>
      </c>
      <c r="O690" s="127" t="s">
        <v>327</v>
      </c>
      <c r="P690" s="128">
        <v>2837751.8</v>
      </c>
      <c r="Q690" s="128">
        <v>0</v>
      </c>
      <c r="R690" s="128">
        <v>0</v>
      </c>
      <c r="S690" s="128">
        <f t="shared" si="164"/>
        <v>2837751.8</v>
      </c>
      <c r="T690" s="128">
        <f t="shared" si="159"/>
        <v>4624.0048883819445</v>
      </c>
      <c r="U690" s="128">
        <v>5100.3666286459174</v>
      </c>
      <c r="V690" s="257">
        <f t="shared" si="168"/>
        <v>476.36174026397293</v>
      </c>
      <c r="W690" s="257">
        <f t="shared" si="165"/>
        <v>5083.0291673456086</v>
      </c>
      <c r="X690" s="257">
        <v>0</v>
      </c>
      <c r="Y690" s="258">
        <v>0</v>
      </c>
      <c r="Z690" s="258">
        <v>0</v>
      </c>
      <c r="AA690" s="258">
        <v>0</v>
      </c>
      <c r="AB690" s="258">
        <v>0</v>
      </c>
      <c r="AC690" s="258">
        <v>0</v>
      </c>
      <c r="AD690" s="258">
        <v>0</v>
      </c>
      <c r="AE690" s="258">
        <v>500</v>
      </c>
      <c r="AF690" s="257">
        <f t="shared" si="167"/>
        <v>5083.0291673456086</v>
      </c>
      <c r="AG690" s="258">
        <v>0</v>
      </c>
      <c r="AH690" s="257">
        <v>0</v>
      </c>
      <c r="AI690" s="258">
        <v>0</v>
      </c>
      <c r="AJ690" s="257">
        <v>0</v>
      </c>
      <c r="AK690" s="258">
        <v>0</v>
      </c>
      <c r="AL690" s="258">
        <v>0</v>
      </c>
      <c r="AM690" s="258">
        <v>0</v>
      </c>
      <c r="AN690" s="258"/>
      <c r="AO690" s="258">
        <v>0</v>
      </c>
    </row>
    <row r="691" spans="1:41" s="259" customFormat="1" ht="36" customHeight="1" x14ac:dyDescent="0.25">
      <c r="A691" s="259">
        <v>1</v>
      </c>
      <c r="B691" s="135">
        <f>SUBTOTAL(103,$A$552:A691)</f>
        <v>138</v>
      </c>
      <c r="C691" s="94" t="s">
        <v>419</v>
      </c>
      <c r="D691" s="124">
        <v>1954</v>
      </c>
      <c r="E691" s="124"/>
      <c r="F691" s="129" t="s">
        <v>326</v>
      </c>
      <c r="G691" s="124">
        <v>2</v>
      </c>
      <c r="H691" s="124" t="s">
        <v>305</v>
      </c>
      <c r="I691" s="125">
        <v>441</v>
      </c>
      <c r="J691" s="125">
        <v>399.8</v>
      </c>
      <c r="K691" s="125">
        <v>399.8</v>
      </c>
      <c r="L691" s="126">
        <v>27</v>
      </c>
      <c r="M691" s="124" t="s">
        <v>267</v>
      </c>
      <c r="N691" s="124" t="s">
        <v>271</v>
      </c>
      <c r="O691" s="127" t="s">
        <v>327</v>
      </c>
      <c r="P691" s="128">
        <v>2479122.38</v>
      </c>
      <c r="Q691" s="128">
        <v>0</v>
      </c>
      <c r="R691" s="128">
        <v>0</v>
      </c>
      <c r="S691" s="128">
        <f t="shared" si="164"/>
        <v>2479122.38</v>
      </c>
      <c r="T691" s="128">
        <f t="shared" si="159"/>
        <v>5621.5926984126982</v>
      </c>
      <c r="U691" s="128">
        <v>5962.0857142857139</v>
      </c>
      <c r="V691" s="257">
        <f t="shared" si="168"/>
        <v>340.49301587301579</v>
      </c>
      <c r="W691" s="257">
        <f t="shared" si="165"/>
        <v>5941.8190476190466</v>
      </c>
      <c r="X691" s="257">
        <v>0</v>
      </c>
      <c r="Y691" s="258">
        <v>0</v>
      </c>
      <c r="Z691" s="258">
        <v>0</v>
      </c>
      <c r="AA691" s="258">
        <v>0</v>
      </c>
      <c r="AB691" s="258">
        <v>0</v>
      </c>
      <c r="AC691" s="258">
        <v>0</v>
      </c>
      <c r="AD691" s="258">
        <v>0</v>
      </c>
      <c r="AE691" s="258">
        <v>420</v>
      </c>
      <c r="AF691" s="257">
        <f t="shared" si="167"/>
        <v>5941.8190476190466</v>
      </c>
      <c r="AG691" s="258">
        <v>0</v>
      </c>
      <c r="AH691" s="257">
        <v>0</v>
      </c>
      <c r="AI691" s="258">
        <v>0</v>
      </c>
      <c r="AJ691" s="257">
        <v>0</v>
      </c>
      <c r="AK691" s="258">
        <v>0</v>
      </c>
      <c r="AL691" s="258">
        <v>0</v>
      </c>
      <c r="AM691" s="258">
        <v>0</v>
      </c>
      <c r="AN691" s="258"/>
      <c r="AO691" s="258">
        <v>0</v>
      </c>
    </row>
    <row r="692" spans="1:41" s="259" customFormat="1" ht="36" customHeight="1" x14ac:dyDescent="0.25">
      <c r="A692" s="259">
        <v>1</v>
      </c>
      <c r="B692" s="135">
        <f>SUBTOTAL(103,$A$552:A692)</f>
        <v>139</v>
      </c>
      <c r="C692" s="94" t="s">
        <v>202</v>
      </c>
      <c r="D692" s="124">
        <v>1980</v>
      </c>
      <c r="E692" s="124"/>
      <c r="F692" s="129" t="s">
        <v>269</v>
      </c>
      <c r="G692" s="124">
        <v>2</v>
      </c>
      <c r="H692" s="124" t="s">
        <v>314</v>
      </c>
      <c r="I692" s="125">
        <v>962.22</v>
      </c>
      <c r="J692" s="125">
        <v>829.52</v>
      </c>
      <c r="K692" s="125">
        <v>829.52</v>
      </c>
      <c r="L692" s="126">
        <v>30</v>
      </c>
      <c r="M692" s="124" t="s">
        <v>267</v>
      </c>
      <c r="N692" s="124" t="s">
        <v>271</v>
      </c>
      <c r="O692" s="127" t="s">
        <v>329</v>
      </c>
      <c r="P692" s="128">
        <v>3697950</v>
      </c>
      <c r="Q692" s="128">
        <v>0</v>
      </c>
      <c r="R692" s="128">
        <v>0</v>
      </c>
      <c r="S692" s="128">
        <f t="shared" si="164"/>
        <v>3697950</v>
      </c>
      <c r="T692" s="128">
        <f t="shared" si="159"/>
        <v>3843.1439795472966</v>
      </c>
      <c r="U692" s="128">
        <v>4712.384261395523</v>
      </c>
      <c r="V692" s="257">
        <f t="shared" si="168"/>
        <v>869.24028184822646</v>
      </c>
      <c r="W692" s="257">
        <f t="shared" si="165"/>
        <v>4712.384261395523</v>
      </c>
      <c r="X692" s="257">
        <v>0</v>
      </c>
      <c r="Y692" s="258">
        <v>0</v>
      </c>
      <c r="Z692" s="258">
        <v>0</v>
      </c>
      <c r="AA692" s="258">
        <v>0</v>
      </c>
      <c r="AB692" s="258">
        <v>0</v>
      </c>
      <c r="AC692" s="258">
        <v>0</v>
      </c>
      <c r="AD692" s="258">
        <v>0</v>
      </c>
      <c r="AE692" s="258">
        <v>0</v>
      </c>
      <c r="AF692" s="257">
        <v>0</v>
      </c>
      <c r="AG692" s="258">
        <v>0</v>
      </c>
      <c r="AH692" s="257">
        <v>0</v>
      </c>
      <c r="AI692" s="258">
        <v>0</v>
      </c>
      <c r="AJ692" s="257">
        <v>0</v>
      </c>
      <c r="AK692" s="258">
        <v>0</v>
      </c>
      <c r="AL692" s="258">
        <v>0</v>
      </c>
      <c r="AM692" s="258">
        <v>649.20000000000005</v>
      </c>
      <c r="AN692" s="258">
        <f>6984.52*AM692/I692</f>
        <v>4712.384261395523</v>
      </c>
      <c r="AO692" s="258">
        <v>0</v>
      </c>
    </row>
    <row r="693" spans="1:41" s="259" customFormat="1" ht="36" customHeight="1" x14ac:dyDescent="0.25">
      <c r="A693" s="259">
        <v>1</v>
      </c>
      <c r="B693" s="135">
        <f>SUBTOTAL(103,$A$552:A693)</f>
        <v>140</v>
      </c>
      <c r="C693" s="94" t="s">
        <v>204</v>
      </c>
      <c r="D693" s="124">
        <v>1981</v>
      </c>
      <c r="E693" s="124"/>
      <c r="F693" s="129" t="s">
        <v>269</v>
      </c>
      <c r="G693" s="124">
        <v>2</v>
      </c>
      <c r="H693" s="124" t="s">
        <v>314</v>
      </c>
      <c r="I693" s="125">
        <v>955.1</v>
      </c>
      <c r="J693" s="125">
        <v>865.5</v>
      </c>
      <c r="K693" s="125">
        <v>865.5</v>
      </c>
      <c r="L693" s="126">
        <v>44</v>
      </c>
      <c r="M693" s="124" t="s">
        <v>267</v>
      </c>
      <c r="N693" s="124" t="s">
        <v>271</v>
      </c>
      <c r="O693" s="127" t="s">
        <v>329</v>
      </c>
      <c r="P693" s="128">
        <v>3680000</v>
      </c>
      <c r="Q693" s="128">
        <v>0</v>
      </c>
      <c r="R693" s="128">
        <v>0</v>
      </c>
      <c r="S693" s="128">
        <f t="shared" si="164"/>
        <v>3680000</v>
      </c>
      <c r="T693" s="128">
        <f t="shared" si="159"/>
        <v>3852.9996858967647</v>
      </c>
      <c r="U693" s="128">
        <v>4674.385073814261</v>
      </c>
      <c r="V693" s="257">
        <f t="shared" si="168"/>
        <v>821.38538791749625</v>
      </c>
      <c r="W693" s="257">
        <f t="shared" si="165"/>
        <v>4674.385073814261</v>
      </c>
      <c r="X693" s="257">
        <v>0</v>
      </c>
      <c r="Y693" s="258">
        <v>0</v>
      </c>
      <c r="Z693" s="258">
        <v>0</v>
      </c>
      <c r="AA693" s="258">
        <v>0</v>
      </c>
      <c r="AB693" s="258">
        <v>0</v>
      </c>
      <c r="AC693" s="258">
        <v>0</v>
      </c>
      <c r="AD693" s="258">
        <v>0</v>
      </c>
      <c r="AE693" s="258">
        <v>0</v>
      </c>
      <c r="AF693" s="257">
        <v>0</v>
      </c>
      <c r="AG693" s="258">
        <v>0</v>
      </c>
      <c r="AH693" s="257">
        <v>0</v>
      </c>
      <c r="AI693" s="258">
        <v>0</v>
      </c>
      <c r="AJ693" s="257">
        <v>0</v>
      </c>
      <c r="AK693" s="258">
        <v>0</v>
      </c>
      <c r="AL693" s="258">
        <v>0</v>
      </c>
      <c r="AM693" s="258">
        <v>639.20000000000005</v>
      </c>
      <c r="AN693" s="258">
        <f>6984.52*AM693/I693</f>
        <v>4674.385073814261</v>
      </c>
      <c r="AO693" s="258">
        <v>0</v>
      </c>
    </row>
    <row r="694" spans="1:41" s="259" customFormat="1" ht="36" customHeight="1" x14ac:dyDescent="0.25">
      <c r="A694" s="259">
        <v>1</v>
      </c>
      <c r="B694" s="135">
        <f>SUBTOTAL(103,$A$552:A694)</f>
        <v>141</v>
      </c>
      <c r="C694" s="94" t="s">
        <v>203</v>
      </c>
      <c r="D694" s="124">
        <v>1981</v>
      </c>
      <c r="E694" s="124"/>
      <c r="F694" s="129" t="s">
        <v>269</v>
      </c>
      <c r="G694" s="124">
        <v>2</v>
      </c>
      <c r="H694" s="124" t="s">
        <v>305</v>
      </c>
      <c r="I694" s="125">
        <v>946.6</v>
      </c>
      <c r="J694" s="125">
        <v>861.8</v>
      </c>
      <c r="K694" s="125">
        <v>861.8</v>
      </c>
      <c r="L694" s="126">
        <v>44</v>
      </c>
      <c r="M694" s="124" t="s">
        <v>267</v>
      </c>
      <c r="N694" s="124" t="s">
        <v>271</v>
      </c>
      <c r="O694" s="127" t="s">
        <v>329</v>
      </c>
      <c r="P694" s="128">
        <v>3519757</v>
      </c>
      <c r="Q694" s="128">
        <v>0</v>
      </c>
      <c r="R694" s="128">
        <v>0</v>
      </c>
      <c r="S694" s="128">
        <f t="shared" si="164"/>
        <v>3519757</v>
      </c>
      <c r="T694" s="128">
        <f t="shared" si="159"/>
        <v>3718.3150221846608</v>
      </c>
      <c r="U694" s="128">
        <v>4559.1959729558421</v>
      </c>
      <c r="V694" s="257">
        <f t="shared" si="168"/>
        <v>840.88095077118123</v>
      </c>
      <c r="W694" s="257">
        <f t="shared" si="165"/>
        <v>4559.1959729558421</v>
      </c>
      <c r="X694" s="257">
        <v>0</v>
      </c>
      <c r="Y694" s="258">
        <v>0</v>
      </c>
      <c r="Z694" s="258">
        <v>0</v>
      </c>
      <c r="AA694" s="258">
        <v>0</v>
      </c>
      <c r="AB694" s="258">
        <v>0</v>
      </c>
      <c r="AC694" s="258">
        <v>0</v>
      </c>
      <c r="AD694" s="258">
        <v>0</v>
      </c>
      <c r="AE694" s="258">
        <v>0</v>
      </c>
      <c r="AF694" s="257">
        <v>0</v>
      </c>
      <c r="AG694" s="258">
        <v>0</v>
      </c>
      <c r="AH694" s="257">
        <v>0</v>
      </c>
      <c r="AI694" s="258">
        <v>0</v>
      </c>
      <c r="AJ694" s="257">
        <v>0</v>
      </c>
      <c r="AK694" s="258">
        <v>0</v>
      </c>
      <c r="AL694" s="258">
        <v>0</v>
      </c>
      <c r="AM694" s="258">
        <v>617.9</v>
      </c>
      <c r="AN694" s="258">
        <f>6984.52*AM694/I694</f>
        <v>4559.1959729558421</v>
      </c>
      <c r="AO694" s="258">
        <v>0</v>
      </c>
    </row>
    <row r="695" spans="1:41" s="259" customFormat="1" ht="36" customHeight="1" x14ac:dyDescent="0.25">
      <c r="A695" s="259">
        <v>1</v>
      </c>
      <c r="B695" s="135">
        <f>SUBTOTAL(103,$A$552:A695)</f>
        <v>142</v>
      </c>
      <c r="C695" s="94" t="s">
        <v>420</v>
      </c>
      <c r="D695" s="124">
        <v>1987</v>
      </c>
      <c r="E695" s="124"/>
      <c r="F695" s="129" t="s">
        <v>269</v>
      </c>
      <c r="G695" s="124">
        <v>5</v>
      </c>
      <c r="H695" s="124" t="s">
        <v>310</v>
      </c>
      <c r="I695" s="125">
        <v>4250.6000000000004</v>
      </c>
      <c r="J695" s="125">
        <v>2613.6</v>
      </c>
      <c r="K695" s="125">
        <v>2613.6</v>
      </c>
      <c r="L695" s="126">
        <v>107</v>
      </c>
      <c r="M695" s="124" t="s">
        <v>267</v>
      </c>
      <c r="N695" s="124" t="s">
        <v>271</v>
      </c>
      <c r="O695" s="127" t="s">
        <v>328</v>
      </c>
      <c r="P695" s="128">
        <v>4335791.2699999996</v>
      </c>
      <c r="Q695" s="128">
        <v>0</v>
      </c>
      <c r="R695" s="128">
        <v>0</v>
      </c>
      <c r="S695" s="128">
        <f t="shared" si="164"/>
        <v>4335791.2699999996</v>
      </c>
      <c r="T695" s="128">
        <f t="shared" si="159"/>
        <v>1020.0421752223214</v>
      </c>
      <c r="U695" s="128">
        <v>1142.8756975485812</v>
      </c>
      <c r="V695" s="257">
        <f t="shared" si="168"/>
        <v>122.83352232625987</v>
      </c>
      <c r="W695" s="257">
        <f t="shared" si="165"/>
        <v>1138.9907683621136</v>
      </c>
      <c r="X695" s="257">
        <v>0</v>
      </c>
      <c r="Y695" s="258">
        <v>0</v>
      </c>
      <c r="Z695" s="258">
        <v>0</v>
      </c>
      <c r="AA695" s="258">
        <v>0</v>
      </c>
      <c r="AB695" s="258">
        <v>0</v>
      </c>
      <c r="AC695" s="258">
        <v>0</v>
      </c>
      <c r="AD695" s="258">
        <v>0</v>
      </c>
      <c r="AE695" s="258">
        <v>776</v>
      </c>
      <c r="AF695" s="257">
        <f>6238.91*AE695/I695</f>
        <v>1138.9907683621136</v>
      </c>
      <c r="AG695" s="258">
        <v>0</v>
      </c>
      <c r="AH695" s="257">
        <v>0</v>
      </c>
      <c r="AI695" s="258">
        <v>0</v>
      </c>
      <c r="AJ695" s="257">
        <v>0</v>
      </c>
      <c r="AK695" s="258">
        <v>0</v>
      </c>
      <c r="AL695" s="258">
        <v>0</v>
      </c>
      <c r="AM695" s="258">
        <v>0</v>
      </c>
      <c r="AN695" s="258"/>
      <c r="AO695" s="258">
        <v>0</v>
      </c>
    </row>
    <row r="696" spans="1:41" s="259" customFormat="1" ht="36" customHeight="1" x14ac:dyDescent="0.25">
      <c r="A696" s="259">
        <v>1</v>
      </c>
      <c r="B696" s="135">
        <f>SUBTOTAL(103,$A$552:A696)</f>
        <v>143</v>
      </c>
      <c r="C696" s="94" t="s">
        <v>429</v>
      </c>
      <c r="D696" s="124">
        <v>1880</v>
      </c>
      <c r="E696" s="124"/>
      <c r="F696" s="129" t="s">
        <v>269</v>
      </c>
      <c r="G696" s="124">
        <v>2</v>
      </c>
      <c r="H696" s="124" t="s">
        <v>306</v>
      </c>
      <c r="I696" s="125">
        <v>646.49</v>
      </c>
      <c r="J696" s="125">
        <v>646.49</v>
      </c>
      <c r="K696" s="125">
        <v>646.49</v>
      </c>
      <c r="L696" s="126">
        <v>37</v>
      </c>
      <c r="M696" s="124" t="s">
        <v>267</v>
      </c>
      <c r="N696" s="124" t="s">
        <v>268</v>
      </c>
      <c r="O696" s="127" t="s">
        <v>270</v>
      </c>
      <c r="P696" s="128">
        <v>3541530.1000000006</v>
      </c>
      <c r="Q696" s="128">
        <v>0</v>
      </c>
      <c r="R696" s="128">
        <v>0</v>
      </c>
      <c r="S696" s="128">
        <f t="shared" si="164"/>
        <v>3541530.1000000006</v>
      </c>
      <c r="T696" s="128">
        <f t="shared" si="159"/>
        <v>5478.0895296137614</v>
      </c>
      <c r="U696" s="128">
        <v>7107.5801017803833</v>
      </c>
      <c r="V696" s="257">
        <f t="shared" si="168"/>
        <v>1629.4905721666219</v>
      </c>
      <c r="W696" s="257">
        <f t="shared" si="165"/>
        <v>3633.9826602112944</v>
      </c>
      <c r="X696" s="257">
        <v>0</v>
      </c>
      <c r="Y696" s="258">
        <v>0</v>
      </c>
      <c r="Z696" s="258">
        <v>0</v>
      </c>
      <c r="AA696" s="258">
        <v>0</v>
      </c>
      <c r="AB696" s="258">
        <v>0</v>
      </c>
      <c r="AC696" s="258">
        <v>0</v>
      </c>
      <c r="AD696" s="258">
        <v>0</v>
      </c>
      <c r="AE696" s="258">
        <v>365</v>
      </c>
      <c r="AF696" s="257">
        <f>6436.53*AE696/I696</f>
        <v>3633.9826602112944</v>
      </c>
      <c r="AG696" s="258">
        <v>0</v>
      </c>
      <c r="AH696" s="257">
        <v>0</v>
      </c>
      <c r="AI696" s="258">
        <v>0</v>
      </c>
      <c r="AJ696" s="257">
        <v>0</v>
      </c>
      <c r="AK696" s="258">
        <v>0</v>
      </c>
      <c r="AL696" s="258">
        <v>0</v>
      </c>
      <c r="AM696" s="258">
        <v>0</v>
      </c>
      <c r="AN696" s="258"/>
      <c r="AO696" s="258">
        <v>0</v>
      </c>
    </row>
    <row r="697" spans="1:41" s="259" customFormat="1" ht="36" customHeight="1" x14ac:dyDescent="0.25">
      <c r="A697" s="259">
        <v>1</v>
      </c>
      <c r="B697" s="135">
        <f>SUBTOTAL(103,$A$552:A697)</f>
        <v>144</v>
      </c>
      <c r="C697" s="94" t="s">
        <v>422</v>
      </c>
      <c r="D697" s="124">
        <v>1964</v>
      </c>
      <c r="E697" s="124"/>
      <c r="F697" s="129" t="s">
        <v>269</v>
      </c>
      <c r="G697" s="124">
        <v>3</v>
      </c>
      <c r="H697" s="124" t="s">
        <v>305</v>
      </c>
      <c r="I697" s="125">
        <v>1192.79</v>
      </c>
      <c r="J697" s="125">
        <v>1192.79</v>
      </c>
      <c r="K697" s="125">
        <v>1192.79</v>
      </c>
      <c r="L697" s="126">
        <v>56</v>
      </c>
      <c r="M697" s="124" t="s">
        <v>267</v>
      </c>
      <c r="N697" s="124" t="s">
        <v>271</v>
      </c>
      <c r="O697" s="127" t="s">
        <v>324</v>
      </c>
      <c r="P697" s="128">
        <v>4900000</v>
      </c>
      <c r="Q697" s="128">
        <v>0</v>
      </c>
      <c r="R697" s="128">
        <v>0</v>
      </c>
      <c r="S697" s="128">
        <f t="shared" si="164"/>
        <v>4900000</v>
      </c>
      <c r="T697" s="128">
        <f t="shared" si="159"/>
        <v>4108.0156607617437</v>
      </c>
      <c r="U697" s="128">
        <v>5906.1760242792116</v>
      </c>
      <c r="V697" s="257">
        <f t="shared" si="168"/>
        <v>1798.1603635174679</v>
      </c>
      <c r="W697" s="257">
        <f t="shared" si="165"/>
        <v>5906.1760242792116</v>
      </c>
      <c r="X697" s="257">
        <v>0</v>
      </c>
      <c r="Y697" s="258">
        <v>0</v>
      </c>
      <c r="Z697" s="258">
        <v>0</v>
      </c>
      <c r="AA697" s="258">
        <v>0</v>
      </c>
      <c r="AB697" s="258">
        <v>0</v>
      </c>
      <c r="AC697" s="258">
        <v>0</v>
      </c>
      <c r="AD697" s="258">
        <v>0</v>
      </c>
      <c r="AE697" s="258">
        <v>0</v>
      </c>
      <c r="AF697" s="257">
        <v>0</v>
      </c>
      <c r="AG697" s="258">
        <v>0</v>
      </c>
      <c r="AH697" s="257">
        <v>0</v>
      </c>
      <c r="AI697" s="258">
        <v>947</v>
      </c>
      <c r="AJ697" s="257">
        <f>7439.1*AI697/I697</f>
        <v>5906.1760242792116</v>
      </c>
      <c r="AK697" s="258">
        <v>0</v>
      </c>
      <c r="AL697" s="258">
        <v>0</v>
      </c>
      <c r="AM697" s="258">
        <v>0</v>
      </c>
      <c r="AN697" s="258"/>
      <c r="AO697" s="258">
        <v>0</v>
      </c>
    </row>
    <row r="698" spans="1:41" s="259" customFormat="1" ht="36" customHeight="1" x14ac:dyDescent="0.25">
      <c r="A698" s="259">
        <v>1</v>
      </c>
      <c r="B698" s="135">
        <f>SUBTOTAL(103,$A$552:A698)</f>
        <v>145</v>
      </c>
      <c r="C698" s="94" t="s">
        <v>423</v>
      </c>
      <c r="D698" s="124">
        <v>1941</v>
      </c>
      <c r="E698" s="124"/>
      <c r="F698" s="129" t="s">
        <v>269</v>
      </c>
      <c r="G698" s="124">
        <v>2</v>
      </c>
      <c r="H698" s="124" t="s">
        <v>305</v>
      </c>
      <c r="I698" s="125">
        <v>858.3</v>
      </c>
      <c r="J698" s="125">
        <v>655.4</v>
      </c>
      <c r="K698" s="125">
        <v>655.4</v>
      </c>
      <c r="L698" s="126">
        <v>31</v>
      </c>
      <c r="M698" s="124" t="s">
        <v>267</v>
      </c>
      <c r="N698" s="124" t="s">
        <v>271</v>
      </c>
      <c r="O698" s="127" t="s">
        <v>327</v>
      </c>
      <c r="P698" s="128">
        <v>3393815.22</v>
      </c>
      <c r="Q698" s="128">
        <v>0</v>
      </c>
      <c r="R698" s="128">
        <v>0</v>
      </c>
      <c r="S698" s="128">
        <f t="shared" si="164"/>
        <v>3393815.22</v>
      </c>
      <c r="T698" s="128">
        <f t="shared" si="159"/>
        <v>3954.1130373995111</v>
      </c>
      <c r="U698" s="128">
        <v>4376.2250961202371</v>
      </c>
      <c r="V698" s="257">
        <f t="shared" si="168"/>
        <v>422.11205872072605</v>
      </c>
      <c r="W698" s="257">
        <f t="shared" si="165"/>
        <v>4361.349178608878</v>
      </c>
      <c r="X698" s="257">
        <v>0</v>
      </c>
      <c r="Y698" s="258">
        <v>0</v>
      </c>
      <c r="Z698" s="258">
        <v>0</v>
      </c>
      <c r="AA698" s="258">
        <v>0</v>
      </c>
      <c r="AB698" s="258">
        <v>0</v>
      </c>
      <c r="AC698" s="258">
        <v>0</v>
      </c>
      <c r="AD698" s="258">
        <v>0</v>
      </c>
      <c r="AE698" s="258">
        <v>600</v>
      </c>
      <c r="AF698" s="257">
        <f>6238.91*AE698/I698</f>
        <v>4361.349178608878</v>
      </c>
      <c r="AG698" s="258">
        <v>0</v>
      </c>
      <c r="AH698" s="257">
        <v>0</v>
      </c>
      <c r="AI698" s="258">
        <v>0</v>
      </c>
      <c r="AJ698" s="257">
        <v>0</v>
      </c>
      <c r="AK698" s="258">
        <v>0</v>
      </c>
      <c r="AL698" s="258">
        <v>0</v>
      </c>
      <c r="AM698" s="258">
        <v>0</v>
      </c>
      <c r="AN698" s="258"/>
      <c r="AO698" s="258">
        <v>0</v>
      </c>
    </row>
    <row r="699" spans="1:41" s="259" customFormat="1" ht="36" customHeight="1" x14ac:dyDescent="0.25">
      <c r="A699" s="259">
        <v>1</v>
      </c>
      <c r="B699" s="135">
        <f>SUBTOTAL(103,$A$552:A699)</f>
        <v>146</v>
      </c>
      <c r="C699" s="94" t="s">
        <v>424</v>
      </c>
      <c r="D699" s="124">
        <v>1962</v>
      </c>
      <c r="E699" s="124"/>
      <c r="F699" s="129" t="s">
        <v>326</v>
      </c>
      <c r="G699" s="124">
        <v>2</v>
      </c>
      <c r="H699" s="124" t="s">
        <v>305</v>
      </c>
      <c r="I699" s="125">
        <v>590.99</v>
      </c>
      <c r="J699" s="125">
        <v>550.29</v>
      </c>
      <c r="K699" s="125">
        <v>550.29</v>
      </c>
      <c r="L699" s="126">
        <v>18</v>
      </c>
      <c r="M699" s="124" t="s">
        <v>267</v>
      </c>
      <c r="N699" s="124" t="s">
        <v>271</v>
      </c>
      <c r="O699" s="127" t="s">
        <v>330</v>
      </c>
      <c r="P699" s="128">
        <v>2624171.2799999998</v>
      </c>
      <c r="Q699" s="128">
        <v>0</v>
      </c>
      <c r="R699" s="128">
        <v>0</v>
      </c>
      <c r="S699" s="128">
        <f t="shared" si="164"/>
        <v>2624171.2799999998</v>
      </c>
      <c r="T699" s="128">
        <f t="shared" si="159"/>
        <v>4440.2972639130949</v>
      </c>
      <c r="U699" s="128">
        <v>5148.0606101626081</v>
      </c>
      <c r="V699" s="257">
        <f t="shared" si="168"/>
        <v>707.76334624951323</v>
      </c>
      <c r="W699" s="257">
        <f t="shared" si="165"/>
        <v>5130.5610247212298</v>
      </c>
      <c r="X699" s="257">
        <v>0</v>
      </c>
      <c r="Y699" s="258">
        <v>0</v>
      </c>
      <c r="Z699" s="258">
        <v>0</v>
      </c>
      <c r="AA699" s="258">
        <v>0</v>
      </c>
      <c r="AB699" s="258">
        <v>0</v>
      </c>
      <c r="AC699" s="258">
        <v>0</v>
      </c>
      <c r="AD699" s="258">
        <v>0</v>
      </c>
      <c r="AE699" s="258">
        <v>486</v>
      </c>
      <c r="AF699" s="257">
        <f>6238.91*AE699/I699</f>
        <v>5130.5610247212298</v>
      </c>
      <c r="AG699" s="258">
        <v>0</v>
      </c>
      <c r="AH699" s="257">
        <v>0</v>
      </c>
      <c r="AI699" s="258">
        <v>0</v>
      </c>
      <c r="AJ699" s="257">
        <v>0</v>
      </c>
      <c r="AK699" s="258">
        <v>0</v>
      </c>
      <c r="AL699" s="258">
        <v>0</v>
      </c>
      <c r="AM699" s="258">
        <v>0</v>
      </c>
      <c r="AN699" s="258"/>
      <c r="AO699" s="258">
        <v>0</v>
      </c>
    </row>
    <row r="700" spans="1:41" s="259" customFormat="1" ht="36" customHeight="1" x14ac:dyDescent="0.25">
      <c r="A700" s="259">
        <v>1</v>
      </c>
      <c r="B700" s="135">
        <f>SUBTOTAL(103,$A$552:A700)</f>
        <v>147</v>
      </c>
      <c r="C700" s="94" t="s">
        <v>1634</v>
      </c>
      <c r="D700" s="124">
        <v>1960</v>
      </c>
      <c r="E700" s="124"/>
      <c r="F700" s="129" t="s">
        <v>1348</v>
      </c>
      <c r="G700" s="124">
        <v>4</v>
      </c>
      <c r="H700" s="124" t="s">
        <v>310</v>
      </c>
      <c r="I700" s="125">
        <v>2241.9</v>
      </c>
      <c r="J700" s="125">
        <v>2091.3000000000002</v>
      </c>
      <c r="K700" s="125">
        <v>1908.9</v>
      </c>
      <c r="L700" s="126">
        <v>87</v>
      </c>
      <c r="M700" s="124" t="s">
        <v>267</v>
      </c>
      <c r="N700" s="124" t="s">
        <v>271</v>
      </c>
      <c r="O700" s="127" t="s">
        <v>993</v>
      </c>
      <c r="P700" s="128">
        <v>5101600</v>
      </c>
      <c r="Q700" s="128">
        <v>0</v>
      </c>
      <c r="R700" s="128">
        <v>0</v>
      </c>
      <c r="S700" s="128">
        <f t="shared" si="164"/>
        <v>5101600</v>
      </c>
      <c r="T700" s="128">
        <f t="shared" si="159"/>
        <v>2275.5698291627637</v>
      </c>
      <c r="U700" s="128">
        <v>2543.839194433293</v>
      </c>
      <c r="V700" s="257">
        <f t="shared" si="168"/>
        <v>268.26936527052931</v>
      </c>
      <c r="W700" s="257">
        <f t="shared" si="165"/>
        <v>2535.1920290824746</v>
      </c>
      <c r="X700" s="257">
        <v>0</v>
      </c>
      <c r="Y700" s="258">
        <v>0</v>
      </c>
      <c r="Z700" s="258">
        <v>0</v>
      </c>
      <c r="AA700" s="258">
        <v>0</v>
      </c>
      <c r="AB700" s="258">
        <v>0</v>
      </c>
      <c r="AC700" s="258">
        <v>0</v>
      </c>
      <c r="AD700" s="258">
        <v>0</v>
      </c>
      <c r="AE700" s="258">
        <v>911</v>
      </c>
      <c r="AF700" s="257">
        <f>6238.91*AE700/I700</f>
        <v>2535.1920290824746</v>
      </c>
      <c r="AG700" s="258">
        <v>0</v>
      </c>
      <c r="AH700" s="257">
        <v>0</v>
      </c>
      <c r="AI700" s="258">
        <v>0</v>
      </c>
      <c r="AJ700" s="257">
        <v>0</v>
      </c>
      <c r="AK700" s="258">
        <v>0</v>
      </c>
      <c r="AL700" s="258">
        <v>0</v>
      </c>
      <c r="AM700" s="258">
        <v>0</v>
      </c>
      <c r="AN700" s="258"/>
      <c r="AO700" s="258">
        <v>0</v>
      </c>
    </row>
    <row r="701" spans="1:41" s="259" customFormat="1" ht="36" customHeight="1" x14ac:dyDescent="0.25">
      <c r="A701" s="259">
        <v>1</v>
      </c>
      <c r="B701" s="135">
        <f>SUBTOTAL(103,$A$552:A701)</f>
        <v>148</v>
      </c>
      <c r="C701" s="94" t="s">
        <v>1665</v>
      </c>
      <c r="D701" s="124">
        <v>1959</v>
      </c>
      <c r="E701" s="124"/>
      <c r="F701" s="129" t="s">
        <v>1348</v>
      </c>
      <c r="G701" s="124">
        <v>3</v>
      </c>
      <c r="H701" s="124" t="s">
        <v>305</v>
      </c>
      <c r="I701" s="125">
        <v>1638.8</v>
      </c>
      <c r="J701" s="125">
        <v>1086.7</v>
      </c>
      <c r="K701" s="125">
        <v>1052.4000000000001</v>
      </c>
      <c r="L701" s="126">
        <v>92</v>
      </c>
      <c r="M701" s="124" t="s">
        <v>267</v>
      </c>
      <c r="N701" s="124" t="s">
        <v>268</v>
      </c>
      <c r="O701" s="127" t="s">
        <v>270</v>
      </c>
      <c r="P701" s="128">
        <v>2638742.77</v>
      </c>
      <c r="Q701" s="128">
        <v>0</v>
      </c>
      <c r="R701" s="128">
        <v>0</v>
      </c>
      <c r="S701" s="128">
        <f t="shared" si="164"/>
        <v>2638742.77</v>
      </c>
      <c r="T701" s="128">
        <f t="shared" si="159"/>
        <v>1610.1676653649013</v>
      </c>
      <c r="U701" s="128">
        <v>1833.592384671711</v>
      </c>
      <c r="V701" s="257">
        <f t="shared" si="168"/>
        <v>223.42471930680972</v>
      </c>
      <c r="W701" s="257">
        <f t="shared" si="165"/>
        <v>1827.359531364413</v>
      </c>
      <c r="X701" s="257">
        <v>0</v>
      </c>
      <c r="Y701" s="258">
        <v>0</v>
      </c>
      <c r="Z701" s="258">
        <v>0</v>
      </c>
      <c r="AA701" s="258">
        <v>0</v>
      </c>
      <c r="AB701" s="258">
        <v>0</v>
      </c>
      <c r="AC701" s="258">
        <v>0</v>
      </c>
      <c r="AD701" s="258">
        <v>0</v>
      </c>
      <c r="AE701" s="258">
        <v>480</v>
      </c>
      <c r="AF701" s="257">
        <f>6238.91*AE701/I701</f>
        <v>1827.359531364413</v>
      </c>
      <c r="AG701" s="258">
        <v>0</v>
      </c>
      <c r="AH701" s="257">
        <v>0</v>
      </c>
      <c r="AI701" s="258">
        <v>0</v>
      </c>
      <c r="AJ701" s="257">
        <v>0</v>
      </c>
      <c r="AK701" s="258">
        <v>0</v>
      </c>
      <c r="AL701" s="258">
        <v>0</v>
      </c>
      <c r="AM701" s="258">
        <v>0</v>
      </c>
      <c r="AN701" s="258"/>
      <c r="AO701" s="258">
        <v>0</v>
      </c>
    </row>
    <row r="702" spans="1:41" s="259" customFormat="1" ht="36" customHeight="1" x14ac:dyDescent="0.25">
      <c r="A702" s="259">
        <v>1</v>
      </c>
      <c r="B702" s="135">
        <f>SUBTOTAL(103,$A$552:A702)</f>
        <v>149</v>
      </c>
      <c r="C702" s="94" t="s">
        <v>1666</v>
      </c>
      <c r="D702" s="124">
        <v>1942</v>
      </c>
      <c r="E702" s="124"/>
      <c r="F702" s="129" t="s">
        <v>1348</v>
      </c>
      <c r="G702" s="124">
        <v>2</v>
      </c>
      <c r="H702" s="124" t="s">
        <v>305</v>
      </c>
      <c r="I702" s="125">
        <v>659.9</v>
      </c>
      <c r="J702" s="125">
        <v>659.9</v>
      </c>
      <c r="K702" s="125">
        <v>659.9</v>
      </c>
      <c r="L702" s="126">
        <v>25</v>
      </c>
      <c r="M702" s="124" t="s">
        <v>267</v>
      </c>
      <c r="N702" s="124" t="s">
        <v>268</v>
      </c>
      <c r="O702" s="127" t="s">
        <v>270</v>
      </c>
      <c r="P702" s="128">
        <v>3267279.28</v>
      </c>
      <c r="Q702" s="128">
        <v>0</v>
      </c>
      <c r="R702" s="128">
        <v>0</v>
      </c>
      <c r="S702" s="128">
        <f t="shared" si="164"/>
        <v>3267279.28</v>
      </c>
      <c r="T702" s="128">
        <f t="shared" si="159"/>
        <v>4951.1733292923172</v>
      </c>
      <c r="U702" s="128">
        <v>5691.9442339748439</v>
      </c>
      <c r="V702" s="257">
        <f t="shared" si="168"/>
        <v>740.77090468252663</v>
      </c>
      <c r="W702" s="257">
        <f t="shared" si="165"/>
        <v>5672.5958478557359</v>
      </c>
      <c r="X702" s="257">
        <v>0</v>
      </c>
      <c r="Y702" s="258">
        <v>0</v>
      </c>
      <c r="Z702" s="258">
        <v>0</v>
      </c>
      <c r="AA702" s="258">
        <v>0</v>
      </c>
      <c r="AB702" s="258">
        <v>0</v>
      </c>
      <c r="AC702" s="258">
        <v>0</v>
      </c>
      <c r="AD702" s="258">
        <v>0</v>
      </c>
      <c r="AE702" s="258">
        <v>600</v>
      </c>
      <c r="AF702" s="257">
        <f>6238.91*AE702/I702</f>
        <v>5672.5958478557359</v>
      </c>
      <c r="AG702" s="258">
        <v>0</v>
      </c>
      <c r="AH702" s="257">
        <v>0</v>
      </c>
      <c r="AI702" s="258">
        <v>0</v>
      </c>
      <c r="AJ702" s="257">
        <v>0</v>
      </c>
      <c r="AK702" s="258">
        <v>0</v>
      </c>
      <c r="AL702" s="258">
        <v>0</v>
      </c>
      <c r="AM702" s="258">
        <v>0</v>
      </c>
      <c r="AN702" s="258"/>
      <c r="AO702" s="258">
        <v>0</v>
      </c>
    </row>
    <row r="703" spans="1:41" s="259" customFormat="1" ht="36" customHeight="1" x14ac:dyDescent="0.25">
      <c r="A703" s="259">
        <v>1</v>
      </c>
      <c r="B703" s="135">
        <f>SUBTOTAL(103,$A$552:A703)</f>
        <v>150</v>
      </c>
      <c r="C703" s="94" t="s">
        <v>440</v>
      </c>
      <c r="D703" s="124">
        <v>1994</v>
      </c>
      <c r="E703" s="124"/>
      <c r="F703" s="129" t="s">
        <v>313</v>
      </c>
      <c r="G703" s="124">
        <v>9</v>
      </c>
      <c r="H703" s="124" t="s">
        <v>305</v>
      </c>
      <c r="I703" s="125">
        <v>4306.3</v>
      </c>
      <c r="J703" s="125">
        <v>3866</v>
      </c>
      <c r="K703" s="125">
        <v>3866</v>
      </c>
      <c r="L703" s="126">
        <v>182</v>
      </c>
      <c r="M703" s="124" t="s">
        <v>267</v>
      </c>
      <c r="N703" s="124" t="s">
        <v>271</v>
      </c>
      <c r="O703" s="127" t="s">
        <v>323</v>
      </c>
      <c r="P703" s="128">
        <v>4331631.53</v>
      </c>
      <c r="Q703" s="128">
        <v>0</v>
      </c>
      <c r="R703" s="128">
        <v>0</v>
      </c>
      <c r="S703" s="128">
        <f t="shared" si="164"/>
        <v>4331631.53</v>
      </c>
      <c r="T703" s="128">
        <f t="shared" si="159"/>
        <v>1005.8824350370388</v>
      </c>
      <c r="U703" s="128">
        <v>1141.4903745674942</v>
      </c>
      <c r="V703" s="257">
        <f t="shared" si="168"/>
        <v>135.60793953045538</v>
      </c>
      <c r="W703" s="257">
        <f t="shared" si="165"/>
        <v>1141.4903745674942</v>
      </c>
      <c r="X703" s="257">
        <v>0</v>
      </c>
      <c r="Y703" s="258">
        <v>0</v>
      </c>
      <c r="Z703" s="258">
        <v>0</v>
      </c>
      <c r="AA703" s="258">
        <v>0</v>
      </c>
      <c r="AB703" s="258">
        <v>0</v>
      </c>
      <c r="AC703" s="258">
        <v>2</v>
      </c>
      <c r="AD703" s="257">
        <f>2457800*AC703/I703</f>
        <v>1141.4903745674942</v>
      </c>
      <c r="AE703" s="258">
        <v>0</v>
      </c>
      <c r="AF703" s="257">
        <v>0</v>
      </c>
      <c r="AG703" s="258">
        <v>0</v>
      </c>
      <c r="AH703" s="257">
        <v>0</v>
      </c>
      <c r="AI703" s="258">
        <v>0</v>
      </c>
      <c r="AJ703" s="257">
        <v>0</v>
      </c>
      <c r="AK703" s="258">
        <v>0</v>
      </c>
      <c r="AL703" s="258">
        <v>0</v>
      </c>
      <c r="AM703" s="258">
        <v>0</v>
      </c>
      <c r="AN703" s="258"/>
      <c r="AO703" s="258">
        <v>0</v>
      </c>
    </row>
    <row r="704" spans="1:41" s="259" customFormat="1" ht="36" customHeight="1" x14ac:dyDescent="0.25">
      <c r="A704" s="259">
        <v>1</v>
      </c>
      <c r="B704" s="135">
        <f>SUBTOTAL(103,$A$552:A704)</f>
        <v>151</v>
      </c>
      <c r="C704" s="94" t="s">
        <v>1686</v>
      </c>
      <c r="D704" s="124">
        <v>1952</v>
      </c>
      <c r="E704" s="124"/>
      <c r="F704" s="129" t="s">
        <v>1348</v>
      </c>
      <c r="G704" s="124">
        <v>2</v>
      </c>
      <c r="H704" s="124" t="s">
        <v>305</v>
      </c>
      <c r="I704" s="125">
        <v>557.4</v>
      </c>
      <c r="J704" s="125">
        <v>517.5</v>
      </c>
      <c r="K704" s="125">
        <v>517.5</v>
      </c>
      <c r="L704" s="126">
        <v>31</v>
      </c>
      <c r="M704" s="124" t="s">
        <v>267</v>
      </c>
      <c r="N704" s="124" t="s">
        <v>268</v>
      </c>
      <c r="O704" s="127" t="s">
        <v>270</v>
      </c>
      <c r="P704" s="128">
        <v>3267843.12</v>
      </c>
      <c r="Q704" s="128">
        <v>0</v>
      </c>
      <c r="R704" s="128">
        <v>0</v>
      </c>
      <c r="S704" s="128">
        <f t="shared" si="164"/>
        <v>3267843.12</v>
      </c>
      <c r="T704" s="128">
        <f t="shared" si="159"/>
        <v>5862.6536060279877</v>
      </c>
      <c r="U704" s="128">
        <v>6738.6329386437028</v>
      </c>
      <c r="V704" s="257">
        <f t="shared" si="168"/>
        <v>875.97933261571507</v>
      </c>
      <c r="W704" s="257">
        <f t="shared" si="165"/>
        <v>6715.7265877287409</v>
      </c>
      <c r="X704" s="257">
        <v>0</v>
      </c>
      <c r="Y704" s="258">
        <v>0</v>
      </c>
      <c r="Z704" s="258">
        <v>0</v>
      </c>
      <c r="AA704" s="258">
        <v>0</v>
      </c>
      <c r="AB704" s="258">
        <v>0</v>
      </c>
      <c r="AC704" s="258">
        <v>0</v>
      </c>
      <c r="AD704" s="258">
        <v>0</v>
      </c>
      <c r="AE704" s="258">
        <v>600</v>
      </c>
      <c r="AF704" s="257">
        <f>6238.91*AE704/I704</f>
        <v>6715.7265877287409</v>
      </c>
      <c r="AG704" s="258">
        <v>0</v>
      </c>
      <c r="AH704" s="257">
        <v>0</v>
      </c>
      <c r="AI704" s="258">
        <v>0</v>
      </c>
      <c r="AJ704" s="257">
        <v>0</v>
      </c>
      <c r="AK704" s="258">
        <v>0</v>
      </c>
      <c r="AL704" s="258">
        <v>0</v>
      </c>
      <c r="AM704" s="258">
        <v>0</v>
      </c>
      <c r="AN704" s="258"/>
      <c r="AO704" s="258">
        <v>0</v>
      </c>
    </row>
    <row r="705" spans="1:41" s="259" customFormat="1" ht="36" customHeight="1" x14ac:dyDescent="0.25">
      <c r="A705" s="259">
        <v>1</v>
      </c>
      <c r="B705" s="135">
        <f>SUBTOTAL(103,$A$552:A705)</f>
        <v>152</v>
      </c>
      <c r="C705" s="94" t="s">
        <v>1687</v>
      </c>
      <c r="D705" s="124">
        <v>1950</v>
      </c>
      <c r="E705" s="124"/>
      <c r="F705" s="129" t="s">
        <v>1348</v>
      </c>
      <c r="G705" s="124">
        <v>2</v>
      </c>
      <c r="H705" s="124" t="s">
        <v>306</v>
      </c>
      <c r="I705" s="125">
        <v>462.7</v>
      </c>
      <c r="J705" s="125">
        <v>460.2</v>
      </c>
      <c r="K705" s="125">
        <v>460.2</v>
      </c>
      <c r="L705" s="126">
        <v>17</v>
      </c>
      <c r="M705" s="124" t="s">
        <v>267</v>
      </c>
      <c r="N705" s="124" t="s">
        <v>271</v>
      </c>
      <c r="O705" s="127" t="s">
        <v>323</v>
      </c>
      <c r="P705" s="128">
        <v>2422320</v>
      </c>
      <c r="Q705" s="128">
        <v>0</v>
      </c>
      <c r="R705" s="128">
        <v>0</v>
      </c>
      <c r="S705" s="128">
        <f t="shared" si="164"/>
        <v>2422320</v>
      </c>
      <c r="T705" s="128">
        <f t="shared" si="159"/>
        <v>5235.1847849578562</v>
      </c>
      <c r="U705" s="128">
        <v>5953.0659174411057</v>
      </c>
      <c r="V705" s="257">
        <f t="shared" si="168"/>
        <v>717.88113248324953</v>
      </c>
      <c r="W705" s="257">
        <f t="shared" si="165"/>
        <v>5932.8299113896692</v>
      </c>
      <c r="X705" s="257">
        <v>0</v>
      </c>
      <c r="Y705" s="258">
        <v>0</v>
      </c>
      <c r="Z705" s="258">
        <v>0</v>
      </c>
      <c r="AA705" s="258">
        <v>0</v>
      </c>
      <c r="AB705" s="258">
        <v>0</v>
      </c>
      <c r="AC705" s="258">
        <v>0</v>
      </c>
      <c r="AD705" s="258">
        <v>0</v>
      </c>
      <c r="AE705" s="258">
        <v>440</v>
      </c>
      <c r="AF705" s="257">
        <f>6238.91*AE705/I705</f>
        <v>5932.8299113896692</v>
      </c>
      <c r="AG705" s="258">
        <v>0</v>
      </c>
      <c r="AH705" s="257">
        <v>0</v>
      </c>
      <c r="AI705" s="258">
        <v>0</v>
      </c>
      <c r="AJ705" s="257">
        <v>0</v>
      </c>
      <c r="AK705" s="258">
        <v>0</v>
      </c>
      <c r="AL705" s="258">
        <v>0</v>
      </c>
      <c r="AM705" s="258">
        <v>0</v>
      </c>
      <c r="AN705" s="258"/>
      <c r="AO705" s="258">
        <v>0</v>
      </c>
    </row>
    <row r="706" spans="1:41" s="259" customFormat="1" ht="36" customHeight="1" x14ac:dyDescent="0.25">
      <c r="A706" s="259">
        <v>1</v>
      </c>
      <c r="B706" s="135">
        <f>SUBTOTAL(103,$A$552:A706)</f>
        <v>153</v>
      </c>
      <c r="C706" s="94" t="s">
        <v>1157</v>
      </c>
      <c r="D706" s="124">
        <v>1952</v>
      </c>
      <c r="E706" s="124"/>
      <c r="F706" s="129" t="s">
        <v>269</v>
      </c>
      <c r="G706" s="124">
        <v>3</v>
      </c>
      <c r="H706" s="124" t="s">
        <v>314</v>
      </c>
      <c r="I706" s="128">
        <v>1714.1</v>
      </c>
      <c r="J706" s="128">
        <v>1638</v>
      </c>
      <c r="K706" s="128">
        <v>1638</v>
      </c>
      <c r="L706" s="126">
        <v>55</v>
      </c>
      <c r="M706" s="124" t="s">
        <v>267</v>
      </c>
      <c r="N706" s="124" t="s">
        <v>271</v>
      </c>
      <c r="O706" s="127" t="s">
        <v>996</v>
      </c>
      <c r="P706" s="128">
        <v>2050106.0299999998</v>
      </c>
      <c r="Q706" s="128">
        <v>0</v>
      </c>
      <c r="R706" s="128">
        <v>0</v>
      </c>
      <c r="S706" s="128">
        <f t="shared" si="164"/>
        <v>2050106.0299999998</v>
      </c>
      <c r="T706" s="128">
        <f t="shared" si="159"/>
        <v>1196.024753514964</v>
      </c>
      <c r="U706" s="128">
        <v>7143.3327372965414</v>
      </c>
      <c r="V706" s="257">
        <f t="shared" si="168"/>
        <v>5947.3079837815776</v>
      </c>
      <c r="W706" s="257">
        <f t="shared" si="165"/>
        <v>7143.3327372965414</v>
      </c>
      <c r="X706" s="257">
        <v>0</v>
      </c>
      <c r="Y706" s="258">
        <v>0</v>
      </c>
      <c r="Z706" s="258">
        <v>0</v>
      </c>
      <c r="AA706" s="258">
        <v>0</v>
      </c>
      <c r="AB706" s="258">
        <v>0</v>
      </c>
      <c r="AC706" s="258">
        <v>0</v>
      </c>
      <c r="AD706" s="258">
        <v>0</v>
      </c>
      <c r="AE706" s="258">
        <v>0</v>
      </c>
      <c r="AF706" s="257">
        <v>0</v>
      </c>
      <c r="AG706" s="258">
        <v>0</v>
      </c>
      <c r="AH706" s="257">
        <v>0</v>
      </c>
      <c r="AI706" s="258">
        <v>1645.95</v>
      </c>
      <c r="AJ706" s="257">
        <f>7439.1*AI706/I706</f>
        <v>7143.3327372965414</v>
      </c>
      <c r="AK706" s="258">
        <v>0</v>
      </c>
      <c r="AL706" s="258">
        <v>0</v>
      </c>
      <c r="AM706" s="258">
        <v>0</v>
      </c>
      <c r="AN706" s="258"/>
      <c r="AO706" s="258">
        <v>0</v>
      </c>
    </row>
    <row r="707" spans="1:41" s="259" customFormat="1" ht="36" customHeight="1" x14ac:dyDescent="0.25">
      <c r="A707" s="259">
        <v>1</v>
      </c>
      <c r="B707" s="135">
        <f>SUBTOTAL(103,$A$552:A707)</f>
        <v>154</v>
      </c>
      <c r="C707" s="94" t="s">
        <v>1297</v>
      </c>
      <c r="D707" s="124">
        <v>1958</v>
      </c>
      <c r="E707" s="124"/>
      <c r="F707" s="129" t="s">
        <v>269</v>
      </c>
      <c r="G707" s="124">
        <v>4</v>
      </c>
      <c r="H707" s="124" t="s">
        <v>310</v>
      </c>
      <c r="I707" s="128">
        <v>5856.4</v>
      </c>
      <c r="J707" s="128">
        <v>3235.1</v>
      </c>
      <c r="K707" s="128">
        <v>2625</v>
      </c>
      <c r="L707" s="126">
        <v>86</v>
      </c>
      <c r="M707" s="124" t="s">
        <v>267</v>
      </c>
      <c r="N707" s="124" t="s">
        <v>271</v>
      </c>
      <c r="O707" s="127" t="s">
        <v>1359</v>
      </c>
      <c r="P707" s="128">
        <v>13280548.279999999</v>
      </c>
      <c r="Q707" s="128">
        <v>0</v>
      </c>
      <c r="R707" s="128">
        <v>0</v>
      </c>
      <c r="S707" s="128">
        <f t="shared" si="164"/>
        <v>13280548.279999999</v>
      </c>
      <c r="T707" s="128">
        <f t="shared" si="159"/>
        <v>2267.6982924663616</v>
      </c>
      <c r="U707" s="128">
        <v>3206.1144047537741</v>
      </c>
      <c r="V707" s="257">
        <f t="shared" si="168"/>
        <v>938.41611228741249</v>
      </c>
      <c r="W707" s="257">
        <f t="shared" si="165"/>
        <v>3206.1144047537741</v>
      </c>
      <c r="X707" s="257">
        <v>0</v>
      </c>
      <c r="Y707" s="258">
        <v>0</v>
      </c>
      <c r="Z707" s="258">
        <v>0</v>
      </c>
      <c r="AA707" s="258">
        <v>0</v>
      </c>
      <c r="AB707" s="258">
        <v>0</v>
      </c>
      <c r="AC707" s="258">
        <v>0</v>
      </c>
      <c r="AD707" s="258">
        <v>0</v>
      </c>
      <c r="AE707" s="258">
        <v>0</v>
      </c>
      <c r="AF707" s="257">
        <v>0</v>
      </c>
      <c r="AG707" s="258">
        <v>0</v>
      </c>
      <c r="AH707" s="257">
        <v>0</v>
      </c>
      <c r="AI707" s="258">
        <v>2524</v>
      </c>
      <c r="AJ707" s="257">
        <f>7439.1*AI707/I707</f>
        <v>3206.1144047537741</v>
      </c>
      <c r="AK707" s="258">
        <v>0</v>
      </c>
      <c r="AL707" s="258">
        <v>0</v>
      </c>
      <c r="AM707" s="258">
        <v>0</v>
      </c>
      <c r="AN707" s="258"/>
      <c r="AO707" s="258">
        <v>0</v>
      </c>
    </row>
    <row r="708" spans="1:41" s="259" customFormat="1" ht="36" customHeight="1" x14ac:dyDescent="0.25">
      <c r="A708" s="259">
        <v>1</v>
      </c>
      <c r="B708" s="135">
        <f>SUBTOTAL(103,$A$552:A708)</f>
        <v>155</v>
      </c>
      <c r="C708" s="94" t="s">
        <v>1603</v>
      </c>
      <c r="D708" s="124">
        <v>1986</v>
      </c>
      <c r="E708" s="124"/>
      <c r="F708" s="129" t="s">
        <v>320</v>
      </c>
      <c r="G708" s="124">
        <v>5</v>
      </c>
      <c r="H708" s="124" t="s">
        <v>310</v>
      </c>
      <c r="I708" s="128">
        <v>3450.6</v>
      </c>
      <c r="J708" s="128">
        <v>3118.5</v>
      </c>
      <c r="K708" s="128">
        <v>3118.5</v>
      </c>
      <c r="L708" s="126">
        <v>32</v>
      </c>
      <c r="M708" s="124" t="s">
        <v>267</v>
      </c>
      <c r="N708" s="124" t="s">
        <v>271</v>
      </c>
      <c r="O708" s="127" t="s">
        <v>1359</v>
      </c>
      <c r="P708" s="128">
        <v>7003500</v>
      </c>
      <c r="Q708" s="128">
        <v>0</v>
      </c>
      <c r="R708" s="128">
        <v>0</v>
      </c>
      <c r="S708" s="128">
        <f t="shared" si="164"/>
        <v>7003500</v>
      </c>
      <c r="T708" s="128">
        <f t="shared" si="159"/>
        <v>2029.6470179099288</v>
      </c>
      <c r="U708" s="128">
        <v>8343.4424447922102</v>
      </c>
      <c r="V708" s="257">
        <f t="shared" si="168"/>
        <v>6313.7954268822814</v>
      </c>
      <c r="W708" s="257">
        <f t="shared" si="165"/>
        <v>8343.4424447922102</v>
      </c>
      <c r="X708" s="257">
        <v>0</v>
      </c>
      <c r="Y708" s="258">
        <v>0</v>
      </c>
      <c r="Z708" s="258">
        <v>0</v>
      </c>
      <c r="AA708" s="258">
        <v>0</v>
      </c>
      <c r="AB708" s="258">
        <v>0</v>
      </c>
      <c r="AC708" s="258">
        <v>0</v>
      </c>
      <c r="AD708" s="258">
        <v>0</v>
      </c>
      <c r="AE708" s="258">
        <v>0</v>
      </c>
      <c r="AF708" s="257">
        <v>0</v>
      </c>
      <c r="AG708" s="258">
        <v>0</v>
      </c>
      <c r="AH708" s="257">
        <v>0</v>
      </c>
      <c r="AI708" s="258">
        <v>0</v>
      </c>
      <c r="AJ708" s="257">
        <v>0</v>
      </c>
      <c r="AK708" s="258">
        <v>375</v>
      </c>
      <c r="AL708" s="257">
        <f>76773.02*AK708/I708</f>
        <v>8343.4424447922102</v>
      </c>
      <c r="AM708" s="258">
        <v>0</v>
      </c>
      <c r="AN708" s="258"/>
      <c r="AO708" s="258">
        <v>0</v>
      </c>
    </row>
    <row r="709" spans="1:41" s="259" customFormat="1" ht="36" customHeight="1" x14ac:dyDescent="0.25">
      <c r="A709" s="259">
        <v>1</v>
      </c>
      <c r="B709" s="135">
        <f>SUBTOTAL(103,$A$552:A709)</f>
        <v>156</v>
      </c>
      <c r="C709" s="94" t="s">
        <v>1890</v>
      </c>
      <c r="D709" s="124">
        <v>1974</v>
      </c>
      <c r="E709" s="124"/>
      <c r="F709" s="129" t="s">
        <v>269</v>
      </c>
      <c r="G709" s="124">
        <v>5</v>
      </c>
      <c r="H709" s="124" t="s">
        <v>373</v>
      </c>
      <c r="I709" s="128">
        <v>4544.2</v>
      </c>
      <c r="J709" s="128">
        <v>4544.2</v>
      </c>
      <c r="K709" s="128">
        <v>3002.6</v>
      </c>
      <c r="L709" s="126">
        <v>207</v>
      </c>
      <c r="M709" s="124" t="s">
        <v>267</v>
      </c>
      <c r="N709" s="124" t="s">
        <v>271</v>
      </c>
      <c r="O709" s="127" t="s">
        <v>993</v>
      </c>
      <c r="P709" s="128">
        <v>3380273.29</v>
      </c>
      <c r="Q709" s="128">
        <v>0</v>
      </c>
      <c r="R709" s="128">
        <v>0</v>
      </c>
      <c r="S709" s="128">
        <f t="shared" si="164"/>
        <v>3380273.29</v>
      </c>
      <c r="T709" s="128">
        <f t="shared" si="159"/>
        <v>743.8654306588619</v>
      </c>
      <c r="U709" s="128">
        <v>810.46</v>
      </c>
      <c r="V709" s="257">
        <f t="shared" si="168"/>
        <v>66.59456934113814</v>
      </c>
      <c r="W709" s="257">
        <f t="shared" si="165"/>
        <v>795.31</v>
      </c>
      <c r="X709" s="257">
        <v>0</v>
      </c>
      <c r="Y709" s="258">
        <v>0</v>
      </c>
      <c r="Z709" s="258">
        <v>0</v>
      </c>
      <c r="AA709" s="258">
        <v>0</v>
      </c>
      <c r="AB709" s="258">
        <v>795.31</v>
      </c>
      <c r="AC709" s="258">
        <v>0</v>
      </c>
      <c r="AD709" s="258">
        <v>0</v>
      </c>
      <c r="AE709" s="258">
        <v>0</v>
      </c>
      <c r="AF709" s="257">
        <v>0</v>
      </c>
      <c r="AG709" s="258">
        <v>0</v>
      </c>
      <c r="AH709" s="257">
        <v>0</v>
      </c>
      <c r="AI709" s="258">
        <v>0</v>
      </c>
      <c r="AJ709" s="257">
        <v>0</v>
      </c>
      <c r="AK709" s="258">
        <v>0</v>
      </c>
      <c r="AL709" s="258">
        <v>0</v>
      </c>
      <c r="AM709" s="258">
        <v>0</v>
      </c>
      <c r="AN709" s="258"/>
      <c r="AO709" s="258">
        <v>0</v>
      </c>
    </row>
    <row r="710" spans="1:41" s="259" customFormat="1" ht="36" customHeight="1" x14ac:dyDescent="0.25">
      <c r="A710" s="259">
        <v>1</v>
      </c>
      <c r="B710" s="135">
        <f>SUBTOTAL(103,$A$552:A710)</f>
        <v>157</v>
      </c>
      <c r="C710" s="94" t="s">
        <v>1164</v>
      </c>
      <c r="D710" s="124">
        <v>1959</v>
      </c>
      <c r="E710" s="124"/>
      <c r="F710" s="129" t="s">
        <v>1585</v>
      </c>
      <c r="G710" s="124" t="s">
        <v>310</v>
      </c>
      <c r="H710" s="124" t="s">
        <v>305</v>
      </c>
      <c r="I710" s="125">
        <v>1378.1</v>
      </c>
      <c r="J710" s="125">
        <v>1378.1</v>
      </c>
      <c r="K710" s="125">
        <v>1378.1</v>
      </c>
      <c r="L710" s="126">
        <v>83</v>
      </c>
      <c r="M710" s="124" t="s">
        <v>267</v>
      </c>
      <c r="N710" s="124" t="s">
        <v>268</v>
      </c>
      <c r="O710" s="127" t="s">
        <v>270</v>
      </c>
      <c r="P710" s="128">
        <v>464475.87</v>
      </c>
      <c r="Q710" s="128">
        <v>0</v>
      </c>
      <c r="R710" s="128">
        <v>0</v>
      </c>
      <c r="S710" s="128">
        <f t="shared" si="164"/>
        <v>464475.87</v>
      </c>
      <c r="T710" s="128">
        <f t="shared" si="159"/>
        <v>337.04075901603659</v>
      </c>
      <c r="U710" s="128">
        <v>810.46</v>
      </c>
      <c r="V710" s="257">
        <f t="shared" si="168"/>
        <v>473.41924098396345</v>
      </c>
      <c r="W710" s="257">
        <f t="shared" ref="W710:W711" si="169">T710</f>
        <v>337.04075901603659</v>
      </c>
      <c r="X710" s="257">
        <v>0</v>
      </c>
      <c r="Y710" s="258">
        <v>0</v>
      </c>
      <c r="Z710" s="258">
        <v>0</v>
      </c>
      <c r="AA710" s="258">
        <v>0</v>
      </c>
      <c r="AB710" s="258">
        <v>0</v>
      </c>
      <c r="AC710" s="258">
        <v>0</v>
      </c>
      <c r="AD710" s="258">
        <v>0</v>
      </c>
      <c r="AE710" s="258">
        <v>0</v>
      </c>
      <c r="AF710" s="257">
        <v>0</v>
      </c>
      <c r="AG710" s="258">
        <v>0</v>
      </c>
      <c r="AH710" s="257">
        <v>0</v>
      </c>
      <c r="AI710" s="258">
        <v>0</v>
      </c>
      <c r="AJ710" s="257">
        <v>0</v>
      </c>
      <c r="AK710" s="258">
        <v>0</v>
      </c>
      <c r="AL710" s="258">
        <v>0</v>
      </c>
      <c r="AM710" s="258">
        <v>0</v>
      </c>
      <c r="AN710" s="258"/>
      <c r="AO710" s="258">
        <v>0</v>
      </c>
    </row>
    <row r="711" spans="1:41" s="259" customFormat="1" ht="36" customHeight="1" x14ac:dyDescent="0.25">
      <c r="A711" s="259">
        <v>1</v>
      </c>
      <c r="B711" s="135">
        <f>SUBTOTAL(103,$A$552:A711)</f>
        <v>158</v>
      </c>
      <c r="C711" s="94" t="s">
        <v>1165</v>
      </c>
      <c r="D711" s="124">
        <v>1963</v>
      </c>
      <c r="E711" s="124"/>
      <c r="F711" s="129" t="s">
        <v>1585</v>
      </c>
      <c r="G711" s="124" t="s">
        <v>305</v>
      </c>
      <c r="H711" s="124" t="s">
        <v>305</v>
      </c>
      <c r="I711" s="125">
        <v>623.29999999999995</v>
      </c>
      <c r="J711" s="125">
        <v>623.29999999999995</v>
      </c>
      <c r="K711" s="125">
        <v>623.29999999999995</v>
      </c>
      <c r="L711" s="126">
        <v>32</v>
      </c>
      <c r="M711" s="124" t="s">
        <v>267</v>
      </c>
      <c r="N711" s="124" t="s">
        <v>268</v>
      </c>
      <c r="O711" s="127" t="s">
        <v>270</v>
      </c>
      <c r="P711" s="128">
        <v>198184.86</v>
      </c>
      <c r="Q711" s="128">
        <v>0</v>
      </c>
      <c r="R711" s="128">
        <v>0</v>
      </c>
      <c r="S711" s="128">
        <f t="shared" si="164"/>
        <v>198184.86</v>
      </c>
      <c r="T711" s="128">
        <f t="shared" si="159"/>
        <v>317.96062891063696</v>
      </c>
      <c r="U711" s="128">
        <v>810.46</v>
      </c>
      <c r="V711" s="257">
        <f t="shared" si="168"/>
        <v>492.49937108936308</v>
      </c>
      <c r="W711" s="257">
        <f t="shared" si="169"/>
        <v>317.96062891063696</v>
      </c>
      <c r="X711" s="257">
        <v>0</v>
      </c>
      <c r="Y711" s="258">
        <v>0</v>
      </c>
      <c r="Z711" s="258">
        <v>0</v>
      </c>
      <c r="AA711" s="258">
        <v>0</v>
      </c>
      <c r="AB711" s="258">
        <v>0</v>
      </c>
      <c r="AC711" s="258">
        <v>0</v>
      </c>
      <c r="AD711" s="258">
        <v>0</v>
      </c>
      <c r="AE711" s="258">
        <v>0</v>
      </c>
      <c r="AF711" s="257">
        <v>0</v>
      </c>
      <c r="AG711" s="258">
        <v>0</v>
      </c>
      <c r="AH711" s="257">
        <v>0</v>
      </c>
      <c r="AI711" s="258">
        <v>0</v>
      </c>
      <c r="AJ711" s="257">
        <v>0</v>
      </c>
      <c r="AK711" s="258">
        <v>0</v>
      </c>
      <c r="AL711" s="258">
        <v>0</v>
      </c>
      <c r="AM711" s="258">
        <v>0</v>
      </c>
      <c r="AN711" s="258"/>
      <c r="AO711" s="258">
        <v>0</v>
      </c>
    </row>
    <row r="712" spans="1:41" s="259" customFormat="1" ht="36" customHeight="1" x14ac:dyDescent="0.25">
      <c r="B712" s="94" t="s">
        <v>766</v>
      </c>
      <c r="C712" s="94"/>
      <c r="D712" s="124" t="s">
        <v>896</v>
      </c>
      <c r="E712" s="124" t="s">
        <v>896</v>
      </c>
      <c r="F712" s="124" t="s">
        <v>896</v>
      </c>
      <c r="G712" s="124" t="s">
        <v>896</v>
      </c>
      <c r="H712" s="124" t="s">
        <v>896</v>
      </c>
      <c r="I712" s="125">
        <f>SUM(I713:I730)</f>
        <v>57948.899999999994</v>
      </c>
      <c r="J712" s="125">
        <f>SUM(J713:J730)</f>
        <v>47671.74</v>
      </c>
      <c r="K712" s="125">
        <f>SUM(K713:K730)</f>
        <v>43891.950000000004</v>
      </c>
      <c r="L712" s="126">
        <f>SUM(L713:L730)</f>
        <v>1563</v>
      </c>
      <c r="M712" s="124" t="s">
        <v>896</v>
      </c>
      <c r="N712" s="124" t="s">
        <v>896</v>
      </c>
      <c r="O712" s="127" t="s">
        <v>896</v>
      </c>
      <c r="P712" s="125">
        <v>88190296.719999999</v>
      </c>
      <c r="Q712" s="125">
        <f>SUM(Q713:Q730)</f>
        <v>0</v>
      </c>
      <c r="R712" s="125">
        <f>SUM(R713:R730)</f>
        <v>0</v>
      </c>
      <c r="S712" s="125">
        <f>SUM(S713:S730)</f>
        <v>88190296.719999999</v>
      </c>
      <c r="T712" s="128">
        <f t="shared" si="159"/>
        <v>1521.8631711732235</v>
      </c>
      <c r="U712" s="128">
        <f>MAX(U713:U730)</f>
        <v>12129.107030708114</v>
      </c>
      <c r="V712" s="257">
        <f t="shared" ref="V712:V728" si="170">U712-T712</f>
        <v>10607.24385953489</v>
      </c>
      <c r="W712" s="257"/>
      <c r="X712" s="257"/>
      <c r="Y712" s="258"/>
      <c r="Z712" s="258"/>
      <c r="AA712" s="258"/>
      <c r="AB712" s="258"/>
      <c r="AC712" s="258"/>
      <c r="AD712" s="258"/>
      <c r="AE712" s="258"/>
      <c r="AF712" s="258"/>
      <c r="AG712" s="258"/>
      <c r="AH712" s="258"/>
      <c r="AI712" s="258"/>
      <c r="AJ712" s="258"/>
      <c r="AK712" s="258"/>
      <c r="AL712" s="258"/>
      <c r="AM712" s="258"/>
      <c r="AN712" s="258"/>
      <c r="AO712" s="258"/>
    </row>
    <row r="713" spans="1:41" s="259" customFormat="1" ht="36" customHeight="1" x14ac:dyDescent="0.25">
      <c r="A713" s="259">
        <v>1</v>
      </c>
      <c r="B713" s="135">
        <f>SUBTOTAL(103,$A$552:A713)</f>
        <v>159</v>
      </c>
      <c r="C713" s="94" t="s">
        <v>779</v>
      </c>
      <c r="D713" s="124">
        <v>1959</v>
      </c>
      <c r="E713" s="124"/>
      <c r="F713" s="129" t="s">
        <v>338</v>
      </c>
      <c r="G713" s="124">
        <v>3</v>
      </c>
      <c r="H713" s="124" t="s">
        <v>305</v>
      </c>
      <c r="I713" s="125">
        <v>1267.5</v>
      </c>
      <c r="J713" s="125">
        <v>1160</v>
      </c>
      <c r="K713" s="125">
        <v>785.9</v>
      </c>
      <c r="L713" s="126">
        <v>31</v>
      </c>
      <c r="M713" s="124" t="s">
        <v>267</v>
      </c>
      <c r="N713" s="124" t="s">
        <v>268</v>
      </c>
      <c r="O713" s="127" t="s">
        <v>270</v>
      </c>
      <c r="P713" s="128">
        <v>3593042</v>
      </c>
      <c r="Q713" s="128">
        <v>0</v>
      </c>
      <c r="R713" s="128">
        <v>0</v>
      </c>
      <c r="S713" s="128">
        <f t="shared" ref="S713:S730" si="171">P713-Q713-R713</f>
        <v>3593042</v>
      </c>
      <c r="T713" s="128">
        <f t="shared" si="159"/>
        <v>2834.7471400394479</v>
      </c>
      <c r="U713" s="128">
        <v>3407.9140828402365</v>
      </c>
      <c r="V713" s="257">
        <f t="shared" si="170"/>
        <v>573.16694280078855</v>
      </c>
      <c r="W713" s="257">
        <f t="shared" ref="W713:W720" si="172">X713+Y713+Z713+AA713+AB713+AD713+AF713+AH713+AJ713+AL713+AN713+AO713</f>
        <v>3396.3297041420115</v>
      </c>
      <c r="X713" s="257">
        <v>0</v>
      </c>
      <c r="Y713" s="258">
        <v>0</v>
      </c>
      <c r="Z713" s="258">
        <v>0</v>
      </c>
      <c r="AA713" s="258">
        <v>0</v>
      </c>
      <c r="AB713" s="258">
        <v>0</v>
      </c>
      <c r="AC713" s="258">
        <v>0</v>
      </c>
      <c r="AD713" s="258">
        <v>0</v>
      </c>
      <c r="AE713" s="258">
        <v>690</v>
      </c>
      <c r="AF713" s="257">
        <f>6238.91*AE713/I713</f>
        <v>3396.3297041420115</v>
      </c>
      <c r="AG713" s="258">
        <v>0</v>
      </c>
      <c r="AH713" s="257">
        <v>0</v>
      </c>
      <c r="AI713" s="258">
        <v>0</v>
      </c>
      <c r="AJ713" s="257">
        <v>0</v>
      </c>
      <c r="AK713" s="258">
        <v>0</v>
      </c>
      <c r="AL713" s="258">
        <v>0</v>
      </c>
      <c r="AM713" s="258">
        <v>0</v>
      </c>
      <c r="AN713" s="258"/>
      <c r="AO713" s="258">
        <v>0</v>
      </c>
    </row>
    <row r="714" spans="1:41" s="259" customFormat="1" ht="36" customHeight="1" x14ac:dyDescent="0.25">
      <c r="A714" s="259">
        <v>1</v>
      </c>
      <c r="B714" s="135">
        <f>SUBTOTAL(103,$A$552:A714)</f>
        <v>160</v>
      </c>
      <c r="C714" s="94" t="s">
        <v>781</v>
      </c>
      <c r="D714" s="124">
        <v>1993</v>
      </c>
      <c r="E714" s="124"/>
      <c r="F714" s="129" t="s">
        <v>320</v>
      </c>
      <c r="G714" s="124">
        <v>9</v>
      </c>
      <c r="H714" s="124" t="s">
        <v>310</v>
      </c>
      <c r="I714" s="125">
        <v>11047.1</v>
      </c>
      <c r="J714" s="125">
        <v>7851.2</v>
      </c>
      <c r="K714" s="125">
        <v>7851.2</v>
      </c>
      <c r="L714" s="126">
        <v>267</v>
      </c>
      <c r="M714" s="124" t="s">
        <v>267</v>
      </c>
      <c r="N714" s="124" t="s">
        <v>271</v>
      </c>
      <c r="O714" s="127" t="s">
        <v>813</v>
      </c>
      <c r="P714" s="128">
        <v>8449445.7300000004</v>
      </c>
      <c r="Q714" s="128">
        <v>0</v>
      </c>
      <c r="R714" s="128">
        <v>0</v>
      </c>
      <c r="S714" s="128">
        <f t="shared" si="171"/>
        <v>8449445.7300000004</v>
      </c>
      <c r="T714" s="128">
        <f t="shared" si="159"/>
        <v>764.85645372993815</v>
      </c>
      <c r="U714" s="128">
        <v>889.93491504557755</v>
      </c>
      <c r="V714" s="257">
        <f t="shared" si="170"/>
        <v>125.0784613156394</v>
      </c>
      <c r="W714" s="257">
        <f t="shared" si="172"/>
        <v>889.93491504557755</v>
      </c>
      <c r="X714" s="257">
        <v>0</v>
      </c>
      <c r="Y714" s="258">
        <v>0</v>
      </c>
      <c r="Z714" s="258">
        <v>0</v>
      </c>
      <c r="AA714" s="258">
        <v>0</v>
      </c>
      <c r="AB714" s="258">
        <v>0</v>
      </c>
      <c r="AC714" s="258">
        <v>4</v>
      </c>
      <c r="AD714" s="257">
        <f>2457800*AC714/I714</f>
        <v>889.93491504557755</v>
      </c>
      <c r="AE714" s="258">
        <v>0</v>
      </c>
      <c r="AF714" s="257">
        <v>0</v>
      </c>
      <c r="AG714" s="258">
        <v>0</v>
      </c>
      <c r="AH714" s="257">
        <v>0</v>
      </c>
      <c r="AI714" s="258">
        <v>0</v>
      </c>
      <c r="AJ714" s="257">
        <v>0</v>
      </c>
      <c r="AK714" s="258">
        <v>0</v>
      </c>
      <c r="AL714" s="258">
        <v>0</v>
      </c>
      <c r="AM714" s="258">
        <v>0</v>
      </c>
      <c r="AN714" s="258"/>
      <c r="AO714" s="258">
        <v>0</v>
      </c>
    </row>
    <row r="715" spans="1:41" s="259" customFormat="1" ht="36" customHeight="1" x14ac:dyDescent="0.25">
      <c r="A715" s="259">
        <v>1</v>
      </c>
      <c r="B715" s="135">
        <f>SUBTOTAL(103,$A$552:A715)</f>
        <v>161</v>
      </c>
      <c r="C715" s="94" t="s">
        <v>1081</v>
      </c>
      <c r="D715" s="124">
        <v>1960</v>
      </c>
      <c r="E715" s="124"/>
      <c r="F715" s="129" t="s">
        <v>269</v>
      </c>
      <c r="G715" s="124">
        <v>3</v>
      </c>
      <c r="H715" s="124" t="s">
        <v>305</v>
      </c>
      <c r="I715" s="125">
        <v>1377.9</v>
      </c>
      <c r="J715" s="125">
        <v>966.6</v>
      </c>
      <c r="K715" s="125">
        <v>764.1</v>
      </c>
      <c r="L715" s="126">
        <v>28</v>
      </c>
      <c r="M715" s="124" t="s">
        <v>267</v>
      </c>
      <c r="N715" s="124" t="s">
        <v>268</v>
      </c>
      <c r="O715" s="127" t="s">
        <v>270</v>
      </c>
      <c r="P715" s="128">
        <v>2932000</v>
      </c>
      <c r="Q715" s="128">
        <v>0</v>
      </c>
      <c r="R715" s="128">
        <v>0</v>
      </c>
      <c r="S715" s="128">
        <f t="shared" si="171"/>
        <v>2932000</v>
      </c>
      <c r="T715" s="128">
        <f t="shared" si="159"/>
        <v>2127.8757529573986</v>
      </c>
      <c r="U715" s="128">
        <v>2680.5371217069451</v>
      </c>
      <c r="V715" s="257">
        <f t="shared" si="170"/>
        <v>552.66136874954645</v>
      </c>
      <c r="W715" s="257">
        <f t="shared" si="172"/>
        <v>2671.4252848537626</v>
      </c>
      <c r="X715" s="257">
        <v>0</v>
      </c>
      <c r="Y715" s="258">
        <v>0</v>
      </c>
      <c r="Z715" s="258">
        <v>0</v>
      </c>
      <c r="AA715" s="258">
        <v>0</v>
      </c>
      <c r="AB715" s="258">
        <v>0</v>
      </c>
      <c r="AC715" s="258">
        <v>0</v>
      </c>
      <c r="AD715" s="258">
        <v>0</v>
      </c>
      <c r="AE715" s="258">
        <v>590</v>
      </c>
      <c r="AF715" s="257">
        <f>6238.91*AE715/I715</f>
        <v>2671.4252848537626</v>
      </c>
      <c r="AG715" s="258">
        <v>0</v>
      </c>
      <c r="AH715" s="257">
        <v>0</v>
      </c>
      <c r="AI715" s="258">
        <v>0</v>
      </c>
      <c r="AJ715" s="257">
        <v>0</v>
      </c>
      <c r="AK715" s="258">
        <v>0</v>
      </c>
      <c r="AL715" s="258">
        <v>0</v>
      </c>
      <c r="AM715" s="258">
        <v>0</v>
      </c>
      <c r="AN715" s="258"/>
      <c r="AO715" s="258">
        <v>0</v>
      </c>
    </row>
    <row r="716" spans="1:41" s="259" customFormat="1" ht="36" customHeight="1" x14ac:dyDescent="0.25">
      <c r="A716" s="259">
        <v>1</v>
      </c>
      <c r="B716" s="135">
        <f>SUBTOTAL(103,$A$552:A716)</f>
        <v>162</v>
      </c>
      <c r="C716" s="94" t="s">
        <v>784</v>
      </c>
      <c r="D716" s="124">
        <v>1966</v>
      </c>
      <c r="E716" s="124"/>
      <c r="F716" s="129" t="s">
        <v>269</v>
      </c>
      <c r="G716" s="124">
        <v>4</v>
      </c>
      <c r="H716" s="124" t="s">
        <v>310</v>
      </c>
      <c r="I716" s="125">
        <v>3436.5</v>
      </c>
      <c r="J716" s="125">
        <v>2673</v>
      </c>
      <c r="K716" s="125">
        <v>2483.9</v>
      </c>
      <c r="L716" s="126">
        <v>109</v>
      </c>
      <c r="M716" s="124" t="s">
        <v>267</v>
      </c>
      <c r="N716" s="124" t="s">
        <v>271</v>
      </c>
      <c r="O716" s="127" t="s">
        <v>809</v>
      </c>
      <c r="P716" s="128">
        <v>5501631.04</v>
      </c>
      <c r="Q716" s="128">
        <v>0</v>
      </c>
      <c r="R716" s="128">
        <v>0</v>
      </c>
      <c r="S716" s="128">
        <f t="shared" si="171"/>
        <v>5501631.04</v>
      </c>
      <c r="T716" s="128">
        <f t="shared" si="159"/>
        <v>1600.9402124254329</v>
      </c>
      <c r="U716" s="128">
        <v>2102.2142470536883</v>
      </c>
      <c r="V716" s="257">
        <f t="shared" si="170"/>
        <v>501.27403462825532</v>
      </c>
      <c r="W716" s="257">
        <f t="shared" si="172"/>
        <v>2095.0682787720061</v>
      </c>
      <c r="X716" s="257">
        <v>0</v>
      </c>
      <c r="Y716" s="258">
        <v>0</v>
      </c>
      <c r="Z716" s="258">
        <v>0</v>
      </c>
      <c r="AA716" s="258">
        <v>0</v>
      </c>
      <c r="AB716" s="258">
        <v>0</v>
      </c>
      <c r="AC716" s="258">
        <v>0</v>
      </c>
      <c r="AD716" s="258">
        <v>0</v>
      </c>
      <c r="AE716" s="258">
        <v>1154</v>
      </c>
      <c r="AF716" s="257">
        <f>6238.91*AE716/I716</f>
        <v>2095.0682787720061</v>
      </c>
      <c r="AG716" s="258">
        <v>0</v>
      </c>
      <c r="AH716" s="257">
        <v>0</v>
      </c>
      <c r="AI716" s="258">
        <v>0</v>
      </c>
      <c r="AJ716" s="257">
        <v>0</v>
      </c>
      <c r="AK716" s="258">
        <v>0</v>
      </c>
      <c r="AL716" s="258">
        <v>0</v>
      </c>
      <c r="AM716" s="258">
        <v>0</v>
      </c>
      <c r="AN716" s="258"/>
      <c r="AO716" s="258">
        <v>0</v>
      </c>
    </row>
    <row r="717" spans="1:41" s="259" customFormat="1" ht="36" customHeight="1" x14ac:dyDescent="0.25">
      <c r="A717" s="259">
        <v>1</v>
      </c>
      <c r="B717" s="135">
        <f>SUBTOTAL(103,$A$552:A717)</f>
        <v>163</v>
      </c>
      <c r="C717" s="94" t="s">
        <v>1613</v>
      </c>
      <c r="D717" s="124">
        <v>1980</v>
      </c>
      <c r="E717" s="124"/>
      <c r="F717" s="129" t="s">
        <v>269</v>
      </c>
      <c r="G717" s="124">
        <v>5</v>
      </c>
      <c r="H717" s="124" t="s">
        <v>306</v>
      </c>
      <c r="I717" s="125">
        <v>2427.5</v>
      </c>
      <c r="J717" s="125">
        <v>2065.6999999999998</v>
      </c>
      <c r="K717" s="125">
        <v>2065.6999999999998</v>
      </c>
      <c r="L717" s="126">
        <v>58</v>
      </c>
      <c r="M717" s="124" t="s">
        <v>267</v>
      </c>
      <c r="N717" s="124" t="s">
        <v>268</v>
      </c>
      <c r="O717" s="127" t="s">
        <v>270</v>
      </c>
      <c r="P717" s="128">
        <v>3890000</v>
      </c>
      <c r="Q717" s="128">
        <v>0</v>
      </c>
      <c r="R717" s="128">
        <v>0</v>
      </c>
      <c r="S717" s="128">
        <f t="shared" si="171"/>
        <v>3890000</v>
      </c>
      <c r="T717" s="128">
        <f t="shared" si="159"/>
        <v>1602.4716786817714</v>
      </c>
      <c r="U717" s="128">
        <v>2006.3554356333675</v>
      </c>
      <c r="V717" s="257">
        <f t="shared" si="170"/>
        <v>403.88375695159607</v>
      </c>
      <c r="W717" s="257">
        <f t="shared" si="172"/>
        <v>1999.5353161688979</v>
      </c>
      <c r="X717" s="257">
        <v>0</v>
      </c>
      <c r="Y717" s="258">
        <v>0</v>
      </c>
      <c r="Z717" s="258">
        <v>0</v>
      </c>
      <c r="AA717" s="258">
        <v>0</v>
      </c>
      <c r="AB717" s="258">
        <v>0</v>
      </c>
      <c r="AC717" s="258">
        <v>0</v>
      </c>
      <c r="AD717" s="258">
        <v>0</v>
      </c>
      <c r="AE717" s="258">
        <v>778</v>
      </c>
      <c r="AF717" s="257">
        <f>6238.91*AE717/I717</f>
        <v>1999.5353161688979</v>
      </c>
      <c r="AG717" s="258">
        <v>0</v>
      </c>
      <c r="AH717" s="257">
        <v>0</v>
      </c>
      <c r="AI717" s="258">
        <v>0</v>
      </c>
      <c r="AJ717" s="257">
        <v>0</v>
      </c>
      <c r="AK717" s="258">
        <v>0</v>
      </c>
      <c r="AL717" s="258">
        <v>0</v>
      </c>
      <c r="AM717" s="258">
        <v>0</v>
      </c>
      <c r="AN717" s="258"/>
      <c r="AO717" s="258">
        <v>0</v>
      </c>
    </row>
    <row r="718" spans="1:41" s="259" customFormat="1" ht="36" customHeight="1" x14ac:dyDescent="0.25">
      <c r="A718" s="259">
        <v>1</v>
      </c>
      <c r="B718" s="135">
        <f>SUBTOTAL(103,$A$552:A718)</f>
        <v>164</v>
      </c>
      <c r="C718" s="94" t="s">
        <v>1173</v>
      </c>
      <c r="D718" s="124">
        <v>1937</v>
      </c>
      <c r="E718" s="124"/>
      <c r="F718" s="129" t="s">
        <v>269</v>
      </c>
      <c r="G718" s="124" t="s">
        <v>310</v>
      </c>
      <c r="H718" s="124" t="s">
        <v>314</v>
      </c>
      <c r="I718" s="128">
        <v>1585.9</v>
      </c>
      <c r="J718" s="128">
        <v>1585.9</v>
      </c>
      <c r="K718" s="128">
        <v>1465.1</v>
      </c>
      <c r="L718" s="126">
        <v>36</v>
      </c>
      <c r="M718" s="124" t="s">
        <v>267</v>
      </c>
      <c r="N718" s="124" t="s">
        <v>268</v>
      </c>
      <c r="O718" s="127" t="s">
        <v>270</v>
      </c>
      <c r="P718" s="128">
        <v>7293621.0100000007</v>
      </c>
      <c r="Q718" s="128">
        <v>0</v>
      </c>
      <c r="R718" s="128">
        <v>0</v>
      </c>
      <c r="S718" s="128">
        <f t="shared" si="171"/>
        <v>7293621.0100000007</v>
      </c>
      <c r="T718" s="128">
        <f t="shared" ref="T718:T780" si="173">P718/I718</f>
        <v>4599.0421905542598</v>
      </c>
      <c r="U718" s="128">
        <v>12129.107030708114</v>
      </c>
      <c r="V718" s="257">
        <f t="shared" si="170"/>
        <v>7530.0648401538538</v>
      </c>
      <c r="W718" s="257">
        <f t="shared" si="172"/>
        <v>12120.693789015701</v>
      </c>
      <c r="X718" s="257">
        <v>0</v>
      </c>
      <c r="Y718" s="258">
        <v>0</v>
      </c>
      <c r="Z718" s="258">
        <v>0</v>
      </c>
      <c r="AA718" s="258">
        <v>0</v>
      </c>
      <c r="AB718" s="258">
        <v>0</v>
      </c>
      <c r="AC718" s="258">
        <v>0</v>
      </c>
      <c r="AD718" s="258">
        <v>0</v>
      </c>
      <c r="AE718" s="258">
        <v>627</v>
      </c>
      <c r="AF718" s="257">
        <f>6238.91*AE718/I718</f>
        <v>2466.6098556024967</v>
      </c>
      <c r="AG718" s="258">
        <v>0</v>
      </c>
      <c r="AH718" s="257">
        <v>0</v>
      </c>
      <c r="AI718" s="258">
        <v>2058.1</v>
      </c>
      <c r="AJ718" s="257">
        <f>7439.1*AI718/I718</f>
        <v>9654.0839334132033</v>
      </c>
      <c r="AK718" s="258">
        <v>0</v>
      </c>
      <c r="AL718" s="258">
        <v>0</v>
      </c>
      <c r="AM718" s="258">
        <v>0</v>
      </c>
      <c r="AN718" s="258"/>
      <c r="AO718" s="258">
        <v>0</v>
      </c>
    </row>
    <row r="719" spans="1:41" s="259" customFormat="1" ht="36" customHeight="1" x14ac:dyDescent="0.25">
      <c r="A719" s="259">
        <v>1</v>
      </c>
      <c r="B719" s="135">
        <f>SUBTOTAL(103,$A$552:A719)</f>
        <v>165</v>
      </c>
      <c r="C719" s="94" t="s">
        <v>776</v>
      </c>
      <c r="D719" s="124">
        <v>1962</v>
      </c>
      <c r="E719" s="124"/>
      <c r="F719" s="129" t="s">
        <v>269</v>
      </c>
      <c r="G719" s="124">
        <v>6</v>
      </c>
      <c r="H719" s="124" t="s">
        <v>353</v>
      </c>
      <c r="I719" s="128">
        <v>5489.1</v>
      </c>
      <c r="J719" s="128">
        <v>4500.5</v>
      </c>
      <c r="K719" s="128">
        <v>4154.3</v>
      </c>
      <c r="L719" s="126">
        <v>130</v>
      </c>
      <c r="M719" s="124" t="s">
        <v>267</v>
      </c>
      <c r="N719" s="124" t="s">
        <v>271</v>
      </c>
      <c r="O719" s="127" t="s">
        <v>812</v>
      </c>
      <c r="P719" s="128">
        <v>7930053</v>
      </c>
      <c r="Q719" s="128">
        <v>0</v>
      </c>
      <c r="R719" s="128">
        <v>0</v>
      </c>
      <c r="S719" s="128">
        <f t="shared" si="171"/>
        <v>7930053</v>
      </c>
      <c r="T719" s="128">
        <f t="shared" si="173"/>
        <v>1444.6909329398261</v>
      </c>
      <c r="U719" s="128">
        <v>1504.5965388315021</v>
      </c>
      <c r="V719" s="257">
        <f t="shared" si="170"/>
        <v>59.905605891676032</v>
      </c>
      <c r="W719" s="257">
        <f t="shared" si="172"/>
        <v>1499.4820272357945</v>
      </c>
      <c r="X719" s="257">
        <v>0</v>
      </c>
      <c r="Y719" s="258">
        <v>0</v>
      </c>
      <c r="Z719" s="258">
        <v>0</v>
      </c>
      <c r="AA719" s="258">
        <v>0</v>
      </c>
      <c r="AB719" s="258">
        <v>0</v>
      </c>
      <c r="AC719" s="258">
        <v>0</v>
      </c>
      <c r="AD719" s="258">
        <v>0</v>
      </c>
      <c r="AE719" s="258">
        <v>1319.27</v>
      </c>
      <c r="AF719" s="257">
        <f>6238.91*AE719/I719</f>
        <v>1499.4820272357945</v>
      </c>
      <c r="AG719" s="258">
        <v>0</v>
      </c>
      <c r="AH719" s="257">
        <v>0</v>
      </c>
      <c r="AI719" s="258">
        <v>0</v>
      </c>
      <c r="AJ719" s="257">
        <v>0</v>
      </c>
      <c r="AK719" s="258">
        <v>0</v>
      </c>
      <c r="AL719" s="258">
        <v>0</v>
      </c>
      <c r="AM719" s="258">
        <v>0</v>
      </c>
      <c r="AN719" s="258"/>
      <c r="AO719" s="258">
        <v>0</v>
      </c>
    </row>
    <row r="720" spans="1:41" s="259" customFormat="1" ht="36" customHeight="1" x14ac:dyDescent="0.25">
      <c r="A720" s="259">
        <v>1</v>
      </c>
      <c r="B720" s="135">
        <f>SUBTOTAL(103,$A$552:A720)</f>
        <v>166</v>
      </c>
      <c r="C720" s="94" t="s">
        <v>1170</v>
      </c>
      <c r="D720" s="124">
        <v>1937</v>
      </c>
      <c r="E720" s="124"/>
      <c r="F720" s="129" t="s">
        <v>269</v>
      </c>
      <c r="G720" s="124" t="s">
        <v>310</v>
      </c>
      <c r="H720" s="124" t="s">
        <v>310</v>
      </c>
      <c r="I720" s="128">
        <v>2626</v>
      </c>
      <c r="J720" s="128">
        <v>2536</v>
      </c>
      <c r="K720" s="128">
        <v>2536</v>
      </c>
      <c r="L720" s="126">
        <v>96</v>
      </c>
      <c r="M720" s="124" t="s">
        <v>267</v>
      </c>
      <c r="N720" s="124" t="s">
        <v>271</v>
      </c>
      <c r="O720" s="127" t="s">
        <v>816</v>
      </c>
      <c r="P720" s="128">
        <v>2332950.83</v>
      </c>
      <c r="Q720" s="128">
        <v>0</v>
      </c>
      <c r="R720" s="128">
        <v>0</v>
      </c>
      <c r="S720" s="128">
        <f t="shared" si="171"/>
        <v>2332950.83</v>
      </c>
      <c r="T720" s="128">
        <f t="shared" si="173"/>
        <v>888.40473343488202</v>
      </c>
      <c r="U720" s="128">
        <v>3458.92</v>
      </c>
      <c r="V720" s="257">
        <f t="shared" si="170"/>
        <v>2570.5152665651181</v>
      </c>
      <c r="W720" s="257">
        <f t="shared" si="172"/>
        <v>3546.19</v>
      </c>
      <c r="X720" s="257">
        <v>101.55</v>
      </c>
      <c r="Y720" s="258">
        <v>0</v>
      </c>
      <c r="Z720" s="258">
        <v>3259.66</v>
      </c>
      <c r="AA720" s="258">
        <v>184.98</v>
      </c>
      <c r="AB720" s="258">
        <v>0</v>
      </c>
      <c r="AC720" s="258">
        <v>0</v>
      </c>
      <c r="AD720" s="258">
        <v>0</v>
      </c>
      <c r="AE720" s="258">
        <v>0</v>
      </c>
      <c r="AF720" s="257">
        <v>0</v>
      </c>
      <c r="AG720" s="258">
        <v>0</v>
      </c>
      <c r="AH720" s="257">
        <v>0</v>
      </c>
      <c r="AI720" s="258">
        <v>0</v>
      </c>
      <c r="AJ720" s="257">
        <v>0</v>
      </c>
      <c r="AK720" s="258">
        <v>0</v>
      </c>
      <c r="AL720" s="258">
        <v>0</v>
      </c>
      <c r="AM720" s="258">
        <v>0</v>
      </c>
      <c r="AN720" s="258"/>
      <c r="AO720" s="258">
        <v>0</v>
      </c>
    </row>
    <row r="721" spans="1:41" s="259" customFormat="1" ht="36" customHeight="1" x14ac:dyDescent="0.25">
      <c r="A721" s="259">
        <v>1</v>
      </c>
      <c r="B721" s="135">
        <f>SUBTOTAL(103,$A$552:A721)</f>
        <v>167</v>
      </c>
      <c r="C721" s="94" t="s">
        <v>767</v>
      </c>
      <c r="D721" s="124">
        <v>1960</v>
      </c>
      <c r="E721" s="124"/>
      <c r="F721" s="129" t="s">
        <v>269</v>
      </c>
      <c r="G721" s="124">
        <v>4</v>
      </c>
      <c r="H721" s="124" t="s">
        <v>314</v>
      </c>
      <c r="I721" s="125">
        <v>2116.5</v>
      </c>
      <c r="J721" s="125">
        <v>1931.2</v>
      </c>
      <c r="K721" s="125">
        <v>1680.5</v>
      </c>
      <c r="L721" s="126">
        <v>73</v>
      </c>
      <c r="M721" s="124" t="s">
        <v>267</v>
      </c>
      <c r="N721" s="124" t="s">
        <v>271</v>
      </c>
      <c r="O721" s="127" t="s">
        <v>807</v>
      </c>
      <c r="P721" s="128">
        <v>7947350.3199999994</v>
      </c>
      <c r="Q721" s="128">
        <v>0</v>
      </c>
      <c r="R721" s="128">
        <v>0</v>
      </c>
      <c r="S721" s="128">
        <f t="shared" ref="S721:S722" si="174">P721-Q721-R721</f>
        <v>7947350.3199999994</v>
      </c>
      <c r="T721" s="128">
        <f t="shared" si="173"/>
        <v>3754.9493597921091</v>
      </c>
      <c r="U721" s="128">
        <v>4927.7666902905748</v>
      </c>
      <c r="V721" s="257">
        <f t="shared" ref="V721:V722" si="175">U721-T721</f>
        <v>1172.8173304984657</v>
      </c>
      <c r="W721" s="257">
        <f t="shared" ref="W721:W722" si="176">T721</f>
        <v>3754.9493597921091</v>
      </c>
      <c r="X721" s="257">
        <v>0</v>
      </c>
      <c r="Y721" s="258">
        <v>0</v>
      </c>
      <c r="Z721" s="258">
        <v>0</v>
      </c>
      <c r="AA721" s="258">
        <v>0</v>
      </c>
      <c r="AB721" s="258">
        <v>0</v>
      </c>
      <c r="AC721" s="258">
        <v>0</v>
      </c>
      <c r="AD721" s="258">
        <v>0</v>
      </c>
      <c r="AE721" s="258">
        <v>0</v>
      </c>
      <c r="AF721" s="257">
        <v>0</v>
      </c>
      <c r="AG721" s="258">
        <v>0</v>
      </c>
      <c r="AH721" s="257">
        <v>0</v>
      </c>
      <c r="AI721" s="258">
        <v>0</v>
      </c>
      <c r="AJ721" s="257">
        <v>0</v>
      </c>
      <c r="AK721" s="258">
        <v>0</v>
      </c>
      <c r="AL721" s="258">
        <v>0</v>
      </c>
      <c r="AM721" s="258">
        <v>0</v>
      </c>
      <c r="AN721" s="258"/>
      <c r="AO721" s="258">
        <v>0</v>
      </c>
    </row>
    <row r="722" spans="1:41" s="259" customFormat="1" ht="36" customHeight="1" x14ac:dyDescent="0.25">
      <c r="A722" s="259">
        <v>1</v>
      </c>
      <c r="B722" s="135">
        <f>SUBTOTAL(103,$A$552:A722)</f>
        <v>168</v>
      </c>
      <c r="C722" s="94" t="s">
        <v>769</v>
      </c>
      <c r="D722" s="124">
        <v>1961</v>
      </c>
      <c r="E722" s="124"/>
      <c r="F722" s="129" t="s">
        <v>269</v>
      </c>
      <c r="G722" s="124">
        <v>2</v>
      </c>
      <c r="H722" s="124" t="s">
        <v>306</v>
      </c>
      <c r="I722" s="125">
        <v>296.39999999999998</v>
      </c>
      <c r="J722" s="125">
        <v>275.5</v>
      </c>
      <c r="K722" s="125">
        <v>275.5</v>
      </c>
      <c r="L722" s="126">
        <v>8</v>
      </c>
      <c r="M722" s="124" t="s">
        <v>267</v>
      </c>
      <c r="N722" s="124" t="s">
        <v>271</v>
      </c>
      <c r="O722" s="127" t="s">
        <v>808</v>
      </c>
      <c r="P722" s="128">
        <v>1157978.8500000001</v>
      </c>
      <c r="Q722" s="128">
        <v>0</v>
      </c>
      <c r="R722" s="128">
        <v>0</v>
      </c>
      <c r="S722" s="128">
        <f t="shared" si="174"/>
        <v>1157978.8500000001</v>
      </c>
      <c r="T722" s="128">
        <f t="shared" si="173"/>
        <v>3906.8112348178142</v>
      </c>
      <c r="U722" s="128">
        <v>5596.9984817813765</v>
      </c>
      <c r="V722" s="257">
        <f t="shared" si="175"/>
        <v>1690.1872469635623</v>
      </c>
      <c r="W722" s="257">
        <f t="shared" si="176"/>
        <v>3906.8112348178142</v>
      </c>
      <c r="X722" s="257">
        <v>0</v>
      </c>
      <c r="Y722" s="258">
        <v>0</v>
      </c>
      <c r="Z722" s="258">
        <v>0</v>
      </c>
      <c r="AA722" s="258">
        <v>0</v>
      </c>
      <c r="AB722" s="258">
        <v>0</v>
      </c>
      <c r="AC722" s="258">
        <v>0</v>
      </c>
      <c r="AD722" s="258">
        <v>0</v>
      </c>
      <c r="AE722" s="258">
        <v>0</v>
      </c>
      <c r="AF722" s="257">
        <v>0</v>
      </c>
      <c r="AG722" s="258">
        <v>0</v>
      </c>
      <c r="AH722" s="257">
        <v>0</v>
      </c>
      <c r="AI722" s="258">
        <v>0</v>
      </c>
      <c r="AJ722" s="257">
        <v>0</v>
      </c>
      <c r="AK722" s="258">
        <v>0</v>
      </c>
      <c r="AL722" s="258">
        <v>0</v>
      </c>
      <c r="AM722" s="258">
        <v>0</v>
      </c>
      <c r="AN722" s="258"/>
      <c r="AO722" s="258">
        <v>0</v>
      </c>
    </row>
    <row r="723" spans="1:41" s="259" customFormat="1" ht="36" customHeight="1" x14ac:dyDescent="0.25">
      <c r="A723" s="259">
        <v>1</v>
      </c>
      <c r="B723" s="135">
        <f>SUBTOTAL(103,$A$552:A723)</f>
        <v>169</v>
      </c>
      <c r="C723" s="94" t="s">
        <v>774</v>
      </c>
      <c r="D723" s="124">
        <v>1937</v>
      </c>
      <c r="E723" s="124"/>
      <c r="F723" s="129" t="s">
        <v>269</v>
      </c>
      <c r="G723" s="124">
        <v>3</v>
      </c>
      <c r="H723" s="124" t="s">
        <v>310</v>
      </c>
      <c r="I723" s="125">
        <v>2718</v>
      </c>
      <c r="J723" s="125">
        <v>2039</v>
      </c>
      <c r="K723" s="125">
        <v>2039</v>
      </c>
      <c r="L723" s="126">
        <v>62</v>
      </c>
      <c r="M723" s="124" t="s">
        <v>267</v>
      </c>
      <c r="N723" s="124" t="s">
        <v>271</v>
      </c>
      <c r="O723" s="127" t="s">
        <v>811</v>
      </c>
      <c r="P723" s="128">
        <v>9061263.3400000017</v>
      </c>
      <c r="Q723" s="128">
        <v>0</v>
      </c>
      <c r="R723" s="128">
        <v>0</v>
      </c>
      <c r="S723" s="128">
        <f t="shared" si="171"/>
        <v>9061263.3400000017</v>
      </c>
      <c r="T723" s="128">
        <f t="shared" si="173"/>
        <v>3333.7981383370129</v>
      </c>
      <c r="U723" s="128">
        <v>4269.38</v>
      </c>
      <c r="V723" s="257">
        <f t="shared" si="170"/>
        <v>935.58186166298719</v>
      </c>
      <c r="W723" s="257">
        <f t="shared" ref="W723:W730" si="177">T723</f>
        <v>3333.7981383370129</v>
      </c>
      <c r="X723" s="257">
        <v>0</v>
      </c>
      <c r="Y723" s="258">
        <v>0</v>
      </c>
      <c r="Z723" s="258">
        <v>0</v>
      </c>
      <c r="AA723" s="258">
        <v>0</v>
      </c>
      <c r="AB723" s="258">
        <v>0</v>
      </c>
      <c r="AC723" s="258">
        <v>0</v>
      </c>
      <c r="AD723" s="258">
        <v>0</v>
      </c>
      <c r="AE723" s="258">
        <v>0</v>
      </c>
      <c r="AF723" s="257">
        <v>0</v>
      </c>
      <c r="AG723" s="258">
        <v>0</v>
      </c>
      <c r="AH723" s="257">
        <v>0</v>
      </c>
      <c r="AI723" s="258">
        <v>0</v>
      </c>
      <c r="AJ723" s="257">
        <v>0</v>
      </c>
      <c r="AK723" s="258">
        <v>0</v>
      </c>
      <c r="AL723" s="258">
        <v>0</v>
      </c>
      <c r="AM723" s="258">
        <v>0</v>
      </c>
      <c r="AN723" s="258"/>
      <c r="AO723" s="258">
        <v>0</v>
      </c>
    </row>
    <row r="724" spans="1:41" s="259" customFormat="1" ht="36" customHeight="1" x14ac:dyDescent="0.25">
      <c r="A724" s="259">
        <v>1</v>
      </c>
      <c r="B724" s="135">
        <f>SUBTOTAL(103,$A$552:A724)</f>
        <v>170</v>
      </c>
      <c r="C724" s="94" t="s">
        <v>777</v>
      </c>
      <c r="D724" s="124">
        <v>1962</v>
      </c>
      <c r="E724" s="124"/>
      <c r="F724" s="129" t="s">
        <v>269</v>
      </c>
      <c r="G724" s="124">
        <v>4</v>
      </c>
      <c r="H724" s="124" t="s">
        <v>314</v>
      </c>
      <c r="I724" s="125">
        <v>2946.2</v>
      </c>
      <c r="J724" s="125">
        <v>1967.3</v>
      </c>
      <c r="K724" s="125">
        <v>1810.2</v>
      </c>
      <c r="L724" s="126">
        <v>95</v>
      </c>
      <c r="M724" s="124" t="s">
        <v>267</v>
      </c>
      <c r="N724" s="124" t="s">
        <v>271</v>
      </c>
      <c r="O724" s="127" t="s">
        <v>809</v>
      </c>
      <c r="P724" s="128">
        <v>4986857.2</v>
      </c>
      <c r="Q724" s="128">
        <v>0</v>
      </c>
      <c r="R724" s="128">
        <v>0</v>
      </c>
      <c r="S724" s="128">
        <f t="shared" si="171"/>
        <v>4986857.2</v>
      </c>
      <c r="T724" s="128">
        <f t="shared" si="173"/>
        <v>1692.6404181657731</v>
      </c>
      <c r="U724" s="128">
        <v>2294.8222116624802</v>
      </c>
      <c r="V724" s="257">
        <f t="shared" si="170"/>
        <v>602.18179349670709</v>
      </c>
      <c r="W724" s="257">
        <f t="shared" si="177"/>
        <v>1692.6404181657731</v>
      </c>
      <c r="X724" s="257">
        <v>0</v>
      </c>
      <c r="Y724" s="258">
        <v>0</v>
      </c>
      <c r="Z724" s="258">
        <v>0</v>
      </c>
      <c r="AA724" s="258">
        <v>0</v>
      </c>
      <c r="AB724" s="258">
        <v>0</v>
      </c>
      <c r="AC724" s="258">
        <v>0</v>
      </c>
      <c r="AD724" s="258">
        <v>0</v>
      </c>
      <c r="AE724" s="258">
        <v>0</v>
      </c>
      <c r="AF724" s="257">
        <v>0</v>
      </c>
      <c r="AG724" s="258">
        <v>0</v>
      </c>
      <c r="AH724" s="257">
        <v>0</v>
      </c>
      <c r="AI724" s="258">
        <v>0</v>
      </c>
      <c r="AJ724" s="257">
        <v>0</v>
      </c>
      <c r="AK724" s="258">
        <v>0</v>
      </c>
      <c r="AL724" s="258">
        <v>0</v>
      </c>
      <c r="AM724" s="258">
        <v>0</v>
      </c>
      <c r="AN724" s="258"/>
      <c r="AO724" s="258">
        <v>0</v>
      </c>
    </row>
    <row r="725" spans="1:41" s="259" customFormat="1" ht="36" customHeight="1" x14ac:dyDescent="0.25">
      <c r="A725" s="259">
        <v>1</v>
      </c>
      <c r="B725" s="135">
        <f>SUBTOTAL(103,$A$552:A725)</f>
        <v>171</v>
      </c>
      <c r="C725" s="94" t="s">
        <v>1172</v>
      </c>
      <c r="D725" s="124">
        <v>1965</v>
      </c>
      <c r="E725" s="124"/>
      <c r="F725" s="129" t="s">
        <v>269</v>
      </c>
      <c r="G725" s="124">
        <v>4</v>
      </c>
      <c r="H725" s="124" t="s">
        <v>305</v>
      </c>
      <c r="I725" s="125">
        <v>819</v>
      </c>
      <c r="J725" s="125">
        <v>819</v>
      </c>
      <c r="K725" s="125">
        <v>819</v>
      </c>
      <c r="L725" s="126">
        <v>55</v>
      </c>
      <c r="M725" s="124" t="s">
        <v>267</v>
      </c>
      <c r="N725" s="124" t="s">
        <v>271</v>
      </c>
      <c r="O725" s="127" t="s">
        <v>811</v>
      </c>
      <c r="P725" s="128">
        <v>958906.03</v>
      </c>
      <c r="Q725" s="128">
        <v>0</v>
      </c>
      <c r="R725" s="128">
        <v>0</v>
      </c>
      <c r="S725" s="128">
        <f t="shared" si="171"/>
        <v>958906.03</v>
      </c>
      <c r="T725" s="128">
        <f t="shared" si="173"/>
        <v>1170.8254334554335</v>
      </c>
      <c r="U725" s="128">
        <v>1170.8254334554335</v>
      </c>
      <c r="V725" s="257">
        <f t="shared" si="170"/>
        <v>0</v>
      </c>
      <c r="W725" s="257">
        <f t="shared" si="177"/>
        <v>1170.8254334554335</v>
      </c>
      <c r="X725" s="257">
        <v>0</v>
      </c>
      <c r="Y725" s="258">
        <v>0</v>
      </c>
      <c r="Z725" s="258">
        <v>0</v>
      </c>
      <c r="AA725" s="258">
        <v>0</v>
      </c>
      <c r="AB725" s="258">
        <v>0</v>
      </c>
      <c r="AC725" s="258">
        <v>0</v>
      </c>
      <c r="AD725" s="258">
        <v>0</v>
      </c>
      <c r="AE725" s="258">
        <v>0</v>
      </c>
      <c r="AF725" s="257">
        <v>0</v>
      </c>
      <c r="AG725" s="258">
        <v>0</v>
      </c>
      <c r="AH725" s="257">
        <v>0</v>
      </c>
      <c r="AI725" s="258">
        <v>0</v>
      </c>
      <c r="AJ725" s="257">
        <v>0</v>
      </c>
      <c r="AK725" s="258">
        <v>0</v>
      </c>
      <c r="AL725" s="258">
        <v>0</v>
      </c>
      <c r="AM725" s="258">
        <v>0</v>
      </c>
      <c r="AN725" s="258"/>
      <c r="AO725" s="258">
        <v>0</v>
      </c>
    </row>
    <row r="726" spans="1:41" s="259" customFormat="1" ht="36" customHeight="1" x14ac:dyDescent="0.25">
      <c r="A726" s="259">
        <v>1</v>
      </c>
      <c r="B726" s="135">
        <f>SUBTOTAL(103,$A$552:A726)</f>
        <v>172</v>
      </c>
      <c r="C726" s="94" t="s">
        <v>1283</v>
      </c>
      <c r="D726" s="124">
        <v>1931</v>
      </c>
      <c r="E726" s="124"/>
      <c r="F726" s="129" t="s">
        <v>269</v>
      </c>
      <c r="G726" s="124">
        <v>4</v>
      </c>
      <c r="H726" s="124" t="s">
        <v>373</v>
      </c>
      <c r="I726" s="125">
        <v>4408.1000000000004</v>
      </c>
      <c r="J726" s="125">
        <v>4408.1000000000004</v>
      </c>
      <c r="K726" s="125">
        <v>2703.21</v>
      </c>
      <c r="L726" s="126">
        <v>109</v>
      </c>
      <c r="M726" s="124" t="s">
        <v>267</v>
      </c>
      <c r="N726" s="124" t="s">
        <v>271</v>
      </c>
      <c r="O726" s="127" t="s">
        <v>1360</v>
      </c>
      <c r="P726" s="128">
        <v>6222564.7000000002</v>
      </c>
      <c r="Q726" s="128">
        <v>0</v>
      </c>
      <c r="R726" s="128">
        <v>0</v>
      </c>
      <c r="S726" s="128">
        <f t="shared" si="171"/>
        <v>6222564.7000000002</v>
      </c>
      <c r="T726" s="128">
        <f t="shared" si="173"/>
        <v>1411.6205848324673</v>
      </c>
      <c r="U726" s="128">
        <v>2199.5235294344498</v>
      </c>
      <c r="V726" s="257">
        <f t="shared" si="170"/>
        <v>787.90294460198243</v>
      </c>
      <c r="W726" s="257">
        <f t="shared" si="177"/>
        <v>1411.6205848324673</v>
      </c>
      <c r="X726" s="257">
        <v>0</v>
      </c>
      <c r="Y726" s="258">
        <v>0</v>
      </c>
      <c r="Z726" s="258">
        <v>0</v>
      </c>
      <c r="AA726" s="258">
        <v>0</v>
      </c>
      <c r="AB726" s="258">
        <v>0</v>
      </c>
      <c r="AC726" s="258">
        <v>0</v>
      </c>
      <c r="AD726" s="258">
        <v>0</v>
      </c>
      <c r="AE726" s="258">
        <v>0</v>
      </c>
      <c r="AF726" s="257">
        <v>0</v>
      </c>
      <c r="AG726" s="258">
        <v>0</v>
      </c>
      <c r="AH726" s="257">
        <v>0</v>
      </c>
      <c r="AI726" s="258">
        <v>0</v>
      </c>
      <c r="AJ726" s="257">
        <v>0</v>
      </c>
      <c r="AK726" s="258">
        <v>0</v>
      </c>
      <c r="AL726" s="258">
        <v>0</v>
      </c>
      <c r="AM726" s="258">
        <v>0</v>
      </c>
      <c r="AN726" s="258"/>
      <c r="AO726" s="258">
        <v>0</v>
      </c>
    </row>
    <row r="727" spans="1:41" s="259" customFormat="1" ht="36" customHeight="1" x14ac:dyDescent="0.25">
      <c r="A727" s="259">
        <v>1</v>
      </c>
      <c r="B727" s="135">
        <f>SUBTOTAL(103,$A$552:A727)</f>
        <v>173</v>
      </c>
      <c r="C727" s="94" t="s">
        <v>1684</v>
      </c>
      <c r="D727" s="124">
        <v>1955</v>
      </c>
      <c r="E727" s="124"/>
      <c r="F727" s="129" t="s">
        <v>269</v>
      </c>
      <c r="G727" s="124">
        <v>3</v>
      </c>
      <c r="H727" s="124" t="s">
        <v>310</v>
      </c>
      <c r="I727" s="125">
        <v>2958.2</v>
      </c>
      <c r="J727" s="125">
        <v>2271</v>
      </c>
      <c r="K727" s="125">
        <v>1836.6</v>
      </c>
      <c r="L727" s="126">
        <v>72</v>
      </c>
      <c r="M727" s="124" t="s">
        <v>267</v>
      </c>
      <c r="N727" s="124" t="s">
        <v>271</v>
      </c>
      <c r="O727" s="127" t="s">
        <v>1304</v>
      </c>
      <c r="P727" s="128">
        <v>213150</v>
      </c>
      <c r="Q727" s="128">
        <v>0</v>
      </c>
      <c r="R727" s="128">
        <v>0</v>
      </c>
      <c r="S727" s="128">
        <f t="shared" si="171"/>
        <v>213150</v>
      </c>
      <c r="T727" s="128">
        <f t="shared" si="173"/>
        <v>72.05395172740181</v>
      </c>
      <c r="U727" s="128">
        <v>712.1</v>
      </c>
      <c r="V727" s="257">
        <f t="shared" si="170"/>
        <v>640.04604827259823</v>
      </c>
      <c r="W727" s="257">
        <f t="shared" si="177"/>
        <v>72.05395172740181</v>
      </c>
      <c r="X727" s="257">
        <v>0</v>
      </c>
      <c r="Y727" s="258">
        <v>0</v>
      </c>
      <c r="Z727" s="258">
        <v>0</v>
      </c>
      <c r="AA727" s="258">
        <v>0</v>
      </c>
      <c r="AB727" s="258">
        <v>0</v>
      </c>
      <c r="AC727" s="258">
        <v>0</v>
      </c>
      <c r="AD727" s="258">
        <v>0</v>
      </c>
      <c r="AE727" s="258">
        <v>0</v>
      </c>
      <c r="AF727" s="257">
        <v>0</v>
      </c>
      <c r="AG727" s="258">
        <v>0</v>
      </c>
      <c r="AH727" s="257">
        <v>0</v>
      </c>
      <c r="AI727" s="258">
        <v>0</v>
      </c>
      <c r="AJ727" s="257">
        <v>0</v>
      </c>
      <c r="AK727" s="258">
        <v>0</v>
      </c>
      <c r="AL727" s="258">
        <v>0</v>
      </c>
      <c r="AM727" s="258">
        <v>0</v>
      </c>
      <c r="AN727" s="258"/>
      <c r="AO727" s="258">
        <v>0</v>
      </c>
    </row>
    <row r="728" spans="1:41" s="259" customFormat="1" ht="36" customHeight="1" x14ac:dyDescent="0.25">
      <c r="A728" s="259">
        <v>1</v>
      </c>
      <c r="B728" s="135">
        <f>SUBTOTAL(103,$A$552:A728)</f>
        <v>174</v>
      </c>
      <c r="C728" s="94" t="s">
        <v>778</v>
      </c>
      <c r="D728" s="124">
        <v>1930</v>
      </c>
      <c r="E728" s="124"/>
      <c r="F728" s="129" t="s">
        <v>269</v>
      </c>
      <c r="G728" s="124">
        <v>4</v>
      </c>
      <c r="H728" s="124" t="s">
        <v>305</v>
      </c>
      <c r="I728" s="125">
        <v>3000</v>
      </c>
      <c r="J728" s="125">
        <v>2823.84</v>
      </c>
      <c r="K728" s="125">
        <v>2823.84</v>
      </c>
      <c r="L728" s="126">
        <v>98</v>
      </c>
      <c r="M728" s="124" t="s">
        <v>267</v>
      </c>
      <c r="N728" s="124" t="s">
        <v>268</v>
      </c>
      <c r="O728" s="127" t="s">
        <v>270</v>
      </c>
      <c r="P728" s="128">
        <v>8021093.6299999999</v>
      </c>
      <c r="Q728" s="128">
        <v>0</v>
      </c>
      <c r="R728" s="128">
        <v>0</v>
      </c>
      <c r="S728" s="128">
        <f t="shared" si="171"/>
        <v>8021093.6299999999</v>
      </c>
      <c r="T728" s="128">
        <f t="shared" si="173"/>
        <v>2673.6978766666666</v>
      </c>
      <c r="U728" s="128">
        <v>3681.5918070000002</v>
      </c>
      <c r="V728" s="257">
        <f t="shared" si="170"/>
        <v>1007.8939303333336</v>
      </c>
      <c r="W728" s="257">
        <f t="shared" si="177"/>
        <v>2673.6978766666666</v>
      </c>
      <c r="X728" s="257">
        <v>0</v>
      </c>
      <c r="Y728" s="258">
        <v>0</v>
      </c>
      <c r="Z728" s="258">
        <v>0</v>
      </c>
      <c r="AA728" s="258">
        <v>0</v>
      </c>
      <c r="AB728" s="258">
        <v>0</v>
      </c>
      <c r="AC728" s="258">
        <v>0</v>
      </c>
      <c r="AD728" s="258">
        <v>0</v>
      </c>
      <c r="AE728" s="258">
        <v>0</v>
      </c>
      <c r="AF728" s="257">
        <v>0</v>
      </c>
      <c r="AG728" s="258">
        <v>0</v>
      </c>
      <c r="AH728" s="257">
        <v>0</v>
      </c>
      <c r="AI728" s="258">
        <v>0</v>
      </c>
      <c r="AJ728" s="257">
        <v>0</v>
      </c>
      <c r="AK728" s="258">
        <v>0</v>
      </c>
      <c r="AL728" s="258">
        <v>0</v>
      </c>
      <c r="AM728" s="258">
        <v>0</v>
      </c>
      <c r="AN728" s="258"/>
      <c r="AO728" s="258">
        <v>0</v>
      </c>
    </row>
    <row r="729" spans="1:41" s="259" customFormat="1" ht="36" customHeight="1" x14ac:dyDescent="0.25">
      <c r="A729" s="259">
        <v>1</v>
      </c>
      <c r="B729" s="135">
        <f>SUBTOTAL(103,$A$552:A729)</f>
        <v>175</v>
      </c>
      <c r="C729" s="94" t="s">
        <v>1953</v>
      </c>
      <c r="D729" s="124">
        <v>1989</v>
      </c>
      <c r="E729" s="124"/>
      <c r="F729" s="129" t="s">
        <v>320</v>
      </c>
      <c r="G729" s="124">
        <v>9</v>
      </c>
      <c r="H729" s="124" t="s">
        <v>305</v>
      </c>
      <c r="I729" s="125">
        <v>4406.3999999999996</v>
      </c>
      <c r="J729" s="125">
        <v>3895.4</v>
      </c>
      <c r="K729" s="125">
        <v>3895.4</v>
      </c>
      <c r="L729" s="126">
        <v>125</v>
      </c>
      <c r="M729" s="124" t="s">
        <v>267</v>
      </c>
      <c r="N729" s="124" t="s">
        <v>271</v>
      </c>
      <c r="O729" s="127" t="s">
        <v>807</v>
      </c>
      <c r="P729" s="128">
        <v>3849194.52</v>
      </c>
      <c r="Q729" s="128">
        <v>0</v>
      </c>
      <c r="R729" s="128">
        <v>0</v>
      </c>
      <c r="S729" s="128">
        <f t="shared" si="171"/>
        <v>3849194.52</v>
      </c>
      <c r="T729" s="128">
        <f t="shared" si="173"/>
        <v>873.54632352941189</v>
      </c>
      <c r="U729" s="128">
        <v>1115.559186637618</v>
      </c>
      <c r="V729" s="257">
        <f t="shared" ref="V729:V730" si="178">U729-T729</f>
        <v>242.01286310820615</v>
      </c>
      <c r="W729" s="257">
        <f t="shared" si="177"/>
        <v>873.54632352941189</v>
      </c>
      <c r="X729" s="257">
        <v>0</v>
      </c>
      <c r="Y729" s="258">
        <v>0</v>
      </c>
      <c r="Z729" s="258">
        <v>0</v>
      </c>
      <c r="AA729" s="258">
        <v>0</v>
      </c>
      <c r="AB729" s="258">
        <v>0</v>
      </c>
      <c r="AC729" s="258">
        <v>0</v>
      </c>
      <c r="AD729" s="258">
        <v>0</v>
      </c>
      <c r="AE729" s="258">
        <v>0</v>
      </c>
      <c r="AF729" s="257">
        <v>0</v>
      </c>
      <c r="AG729" s="258">
        <v>0</v>
      </c>
      <c r="AH729" s="257">
        <v>0</v>
      </c>
      <c r="AI729" s="258">
        <v>0</v>
      </c>
      <c r="AJ729" s="257">
        <v>0</v>
      </c>
      <c r="AK729" s="258">
        <v>0</v>
      </c>
      <c r="AL729" s="258">
        <v>0</v>
      </c>
      <c r="AM729" s="258">
        <v>0</v>
      </c>
      <c r="AN729" s="258"/>
      <c r="AO729" s="258">
        <v>0</v>
      </c>
    </row>
    <row r="730" spans="1:41" s="259" customFormat="1" ht="36" customHeight="1" x14ac:dyDescent="0.25">
      <c r="A730" s="259">
        <v>1</v>
      </c>
      <c r="B730" s="135">
        <f>SUBTOTAL(103,$A$552:A730)</f>
        <v>176</v>
      </c>
      <c r="C730" s="94" t="s">
        <v>1952</v>
      </c>
      <c r="D730" s="124">
        <v>1995</v>
      </c>
      <c r="E730" s="124"/>
      <c r="F730" s="129" t="s">
        <v>320</v>
      </c>
      <c r="G730" s="124">
        <v>9</v>
      </c>
      <c r="H730" s="124" t="s">
        <v>305</v>
      </c>
      <c r="I730" s="125">
        <v>5022.6000000000004</v>
      </c>
      <c r="J730" s="125">
        <v>3902.5</v>
      </c>
      <c r="K730" s="125">
        <v>3902.5</v>
      </c>
      <c r="L730" s="126">
        <v>111</v>
      </c>
      <c r="M730" s="124" t="s">
        <v>267</v>
      </c>
      <c r="N730" s="124" t="s">
        <v>271</v>
      </c>
      <c r="O730" s="127" t="s">
        <v>1689</v>
      </c>
      <c r="P730" s="128">
        <v>3849194.52</v>
      </c>
      <c r="Q730" s="128">
        <v>0</v>
      </c>
      <c r="R730" s="128">
        <v>0</v>
      </c>
      <c r="S730" s="128">
        <f t="shared" si="171"/>
        <v>3849194.52</v>
      </c>
      <c r="T730" s="128">
        <f t="shared" si="173"/>
        <v>766.37488949946237</v>
      </c>
      <c r="U730" s="128">
        <v>978.69629275673947</v>
      </c>
      <c r="V730" s="257">
        <f t="shared" si="178"/>
        <v>212.3214032572771</v>
      </c>
      <c r="W730" s="257">
        <f t="shared" si="177"/>
        <v>766.37488949946237</v>
      </c>
      <c r="X730" s="257">
        <v>0</v>
      </c>
      <c r="Y730" s="258">
        <v>0</v>
      </c>
      <c r="Z730" s="258">
        <v>0</v>
      </c>
      <c r="AA730" s="258">
        <v>0</v>
      </c>
      <c r="AB730" s="258">
        <v>0</v>
      </c>
      <c r="AC730" s="258">
        <v>0</v>
      </c>
      <c r="AD730" s="258">
        <v>0</v>
      </c>
      <c r="AE730" s="258">
        <v>0</v>
      </c>
      <c r="AF730" s="257">
        <v>0</v>
      </c>
      <c r="AG730" s="258">
        <v>0</v>
      </c>
      <c r="AH730" s="257">
        <v>0</v>
      </c>
      <c r="AI730" s="258">
        <v>0</v>
      </c>
      <c r="AJ730" s="257">
        <v>0</v>
      </c>
      <c r="AK730" s="258">
        <v>0</v>
      </c>
      <c r="AL730" s="258">
        <v>0</v>
      </c>
      <c r="AM730" s="258">
        <v>0</v>
      </c>
      <c r="AN730" s="258"/>
      <c r="AO730" s="258">
        <v>0</v>
      </c>
    </row>
    <row r="731" spans="1:41" s="259" customFormat="1" ht="36" customHeight="1" x14ac:dyDescent="0.25">
      <c r="B731" s="94" t="s">
        <v>764</v>
      </c>
      <c r="C731" s="261"/>
      <c r="D731" s="124" t="s">
        <v>896</v>
      </c>
      <c r="E731" s="124" t="s">
        <v>896</v>
      </c>
      <c r="F731" s="124" t="s">
        <v>896</v>
      </c>
      <c r="G731" s="124" t="s">
        <v>896</v>
      </c>
      <c r="H731" s="124" t="s">
        <v>896</v>
      </c>
      <c r="I731" s="125">
        <f>SUM(I732:I738)</f>
        <v>47435.8</v>
      </c>
      <c r="J731" s="125">
        <f>SUM(J732:J738)</f>
        <v>39957.100000000006</v>
      </c>
      <c r="K731" s="125">
        <f>SUM(K732:K738)</f>
        <v>39289.300000000003</v>
      </c>
      <c r="L731" s="126">
        <f>SUM(L732:L738)</f>
        <v>2036</v>
      </c>
      <c r="M731" s="124" t="s">
        <v>896</v>
      </c>
      <c r="N731" s="124" t="s">
        <v>896</v>
      </c>
      <c r="O731" s="127" t="s">
        <v>896</v>
      </c>
      <c r="P731" s="125">
        <v>62970834.239999995</v>
      </c>
      <c r="Q731" s="125">
        <f>SUM(Q732:Q738)</f>
        <v>0</v>
      </c>
      <c r="R731" s="125">
        <f>SUM(R732:R738)</f>
        <v>0</v>
      </c>
      <c r="S731" s="125">
        <f>SUM(S732:S738)</f>
        <v>62970834.239999995</v>
      </c>
      <c r="T731" s="128">
        <f t="shared" si="173"/>
        <v>1327.4959891052747</v>
      </c>
      <c r="U731" s="128">
        <f>MAX(U732:U738)</f>
        <v>5249.8217343830811</v>
      </c>
      <c r="V731" s="257">
        <f t="shared" ref="V731:V809" si="179">U731-T731</f>
        <v>3922.3257452778062</v>
      </c>
      <c r="W731" s="257"/>
      <c r="X731" s="257"/>
      <c r="Y731" s="258"/>
      <c r="Z731" s="258"/>
      <c r="AA731" s="258"/>
      <c r="AB731" s="258"/>
      <c r="AC731" s="258"/>
      <c r="AD731" s="258"/>
      <c r="AE731" s="258"/>
      <c r="AF731" s="258"/>
      <c r="AG731" s="258"/>
      <c r="AH731" s="258"/>
      <c r="AI731" s="258"/>
      <c r="AJ731" s="258"/>
      <c r="AK731" s="258"/>
      <c r="AL731" s="258"/>
      <c r="AM731" s="258"/>
      <c r="AN731" s="258"/>
      <c r="AO731" s="258"/>
    </row>
    <row r="732" spans="1:41" s="259" customFormat="1" ht="36" customHeight="1" x14ac:dyDescent="0.25">
      <c r="A732" s="259">
        <v>1</v>
      </c>
      <c r="B732" s="135">
        <f>SUBTOTAL(103,$A$552:A732)</f>
        <v>177</v>
      </c>
      <c r="C732" s="94" t="s">
        <v>384</v>
      </c>
      <c r="D732" s="124">
        <v>1982</v>
      </c>
      <c r="E732" s="124">
        <v>2015</v>
      </c>
      <c r="F732" s="129" t="s">
        <v>320</v>
      </c>
      <c r="G732" s="124">
        <v>9</v>
      </c>
      <c r="H732" s="124" t="s">
        <v>310</v>
      </c>
      <c r="I732" s="125">
        <v>8597.2000000000007</v>
      </c>
      <c r="J732" s="125">
        <v>7716.3</v>
      </c>
      <c r="K732" s="125">
        <v>7660.3</v>
      </c>
      <c r="L732" s="126">
        <v>370</v>
      </c>
      <c r="M732" s="124" t="s">
        <v>267</v>
      </c>
      <c r="N732" s="124" t="s">
        <v>271</v>
      </c>
      <c r="O732" s="127" t="s">
        <v>321</v>
      </c>
      <c r="P732" s="128">
        <v>8863212</v>
      </c>
      <c r="Q732" s="128">
        <v>0</v>
      </c>
      <c r="R732" s="128">
        <v>0</v>
      </c>
      <c r="S732" s="128">
        <f t="shared" ref="S732:S738" si="180">P732-Q732-R732</f>
        <v>8863212</v>
      </c>
      <c r="T732" s="128">
        <f t="shared" si="173"/>
        <v>1030.9417019494717</v>
      </c>
      <c r="U732" s="128">
        <v>1143.5351044526124</v>
      </c>
      <c r="V732" s="257">
        <f t="shared" si="179"/>
        <v>112.59340250314062</v>
      </c>
      <c r="W732" s="257">
        <f t="shared" ref="W732:W738" si="181">X732+Y732+Z732+AA732+AB732+AD732+AF732+AH732+AJ732+AL732+AN732+AO732</f>
        <v>1143.5351044526124</v>
      </c>
      <c r="X732" s="257">
        <v>0</v>
      </c>
      <c r="Y732" s="258">
        <v>0</v>
      </c>
      <c r="Z732" s="258">
        <v>0</v>
      </c>
      <c r="AA732" s="258">
        <v>0</v>
      </c>
      <c r="AB732" s="258">
        <v>0</v>
      </c>
      <c r="AC732" s="258">
        <v>4</v>
      </c>
      <c r="AD732" s="257">
        <f>2457800*AC732/I732</f>
        <v>1143.5351044526124</v>
      </c>
      <c r="AE732" s="258">
        <v>0</v>
      </c>
      <c r="AF732" s="257">
        <v>0</v>
      </c>
      <c r="AG732" s="258">
        <v>0</v>
      </c>
      <c r="AH732" s="257">
        <v>0</v>
      </c>
      <c r="AI732" s="258">
        <v>0</v>
      </c>
      <c r="AJ732" s="257">
        <v>0</v>
      </c>
      <c r="AK732" s="258">
        <v>0</v>
      </c>
      <c r="AL732" s="258">
        <v>0</v>
      </c>
      <c r="AM732" s="258">
        <v>0</v>
      </c>
      <c r="AN732" s="258"/>
      <c r="AO732" s="258">
        <v>0</v>
      </c>
    </row>
    <row r="733" spans="1:41" s="259" customFormat="1" ht="36" customHeight="1" x14ac:dyDescent="0.25">
      <c r="A733" s="259">
        <v>1</v>
      </c>
      <c r="B733" s="135">
        <f>SUBTOTAL(103,$A$552:A733)</f>
        <v>178</v>
      </c>
      <c r="C733" s="94" t="s">
        <v>1667</v>
      </c>
      <c r="D733" s="124">
        <v>1981</v>
      </c>
      <c r="E733" s="124">
        <v>2015</v>
      </c>
      <c r="F733" s="129" t="s">
        <v>320</v>
      </c>
      <c r="G733" s="124">
        <v>5</v>
      </c>
      <c r="H733" s="124" t="s">
        <v>353</v>
      </c>
      <c r="I733" s="125">
        <v>3965.2</v>
      </c>
      <c r="J733" s="125">
        <v>3485.8</v>
      </c>
      <c r="K733" s="125">
        <v>3424</v>
      </c>
      <c r="L733" s="126">
        <v>178</v>
      </c>
      <c r="M733" s="124" t="s">
        <v>267</v>
      </c>
      <c r="N733" s="124" t="s">
        <v>271</v>
      </c>
      <c r="O733" s="127" t="s">
        <v>322</v>
      </c>
      <c r="P733" s="128">
        <v>7201018.8100000005</v>
      </c>
      <c r="Q733" s="128">
        <v>0</v>
      </c>
      <c r="R733" s="128">
        <v>0</v>
      </c>
      <c r="S733" s="128">
        <f t="shared" si="180"/>
        <v>7201018.8100000005</v>
      </c>
      <c r="T733" s="128">
        <f t="shared" si="173"/>
        <v>1816.0543755674369</v>
      </c>
      <c r="U733" s="128">
        <v>4532.13</v>
      </c>
      <c r="V733" s="257">
        <f t="shared" si="179"/>
        <v>2716.075624432563</v>
      </c>
      <c r="W733" s="257">
        <f t="shared" si="181"/>
        <v>4586.9399999999996</v>
      </c>
      <c r="X733" s="257">
        <v>101.55</v>
      </c>
      <c r="Y733" s="258">
        <v>245.44</v>
      </c>
      <c r="Z733" s="258">
        <v>3259.66</v>
      </c>
      <c r="AA733" s="258">
        <v>184.98</v>
      </c>
      <c r="AB733" s="258">
        <v>795.31</v>
      </c>
      <c r="AC733" s="258">
        <v>0</v>
      </c>
      <c r="AD733" s="258">
        <v>0</v>
      </c>
      <c r="AE733" s="258">
        <v>0</v>
      </c>
      <c r="AF733" s="257">
        <v>0</v>
      </c>
      <c r="AG733" s="258">
        <v>0</v>
      </c>
      <c r="AH733" s="257">
        <v>0</v>
      </c>
      <c r="AI733" s="258">
        <v>0</v>
      </c>
      <c r="AJ733" s="257">
        <v>0</v>
      </c>
      <c r="AK733" s="258">
        <v>0</v>
      </c>
      <c r="AL733" s="258">
        <v>0</v>
      </c>
      <c r="AM733" s="258">
        <v>0</v>
      </c>
      <c r="AN733" s="258"/>
      <c r="AO733" s="258">
        <v>0</v>
      </c>
    </row>
    <row r="734" spans="1:41" s="259" customFormat="1" ht="36" customHeight="1" x14ac:dyDescent="0.25">
      <c r="A734" s="259">
        <v>1</v>
      </c>
      <c r="B734" s="135">
        <f>SUBTOTAL(103,$A$552:A734)</f>
        <v>179</v>
      </c>
      <c r="C734" s="94" t="s">
        <v>385</v>
      </c>
      <c r="D734" s="124">
        <v>1973</v>
      </c>
      <c r="E734" s="124">
        <v>2017</v>
      </c>
      <c r="F734" s="129" t="s">
        <v>320</v>
      </c>
      <c r="G734" s="124">
        <v>5</v>
      </c>
      <c r="H734" s="124" t="s">
        <v>353</v>
      </c>
      <c r="I734" s="125">
        <v>3822.6</v>
      </c>
      <c r="J734" s="125">
        <v>3360.4</v>
      </c>
      <c r="K734" s="125">
        <v>3360.4</v>
      </c>
      <c r="L734" s="126">
        <v>155</v>
      </c>
      <c r="M734" s="124" t="s">
        <v>267</v>
      </c>
      <c r="N734" s="124" t="s">
        <v>271</v>
      </c>
      <c r="O734" s="127" t="s">
        <v>322</v>
      </c>
      <c r="P734" s="128">
        <v>5661983.8399999999</v>
      </c>
      <c r="Q734" s="128">
        <v>0</v>
      </c>
      <c r="R734" s="128">
        <v>0</v>
      </c>
      <c r="S734" s="128">
        <f t="shared" si="180"/>
        <v>5661983.8399999999</v>
      </c>
      <c r="T734" s="128">
        <f t="shared" si="173"/>
        <v>1481.1865850468268</v>
      </c>
      <c r="U734" s="128">
        <v>4820.255007063256</v>
      </c>
      <c r="V734" s="257">
        <f t="shared" ref="V734:V735" si="182">U734-T734</f>
        <v>3339.0684220164294</v>
      </c>
      <c r="W734" s="257">
        <f t="shared" ref="W734:W735" si="183">X734+Y734+Z734+AA734+AB734+AD734+AF734+AH734+AJ734+AL734+AN734+AO734</f>
        <v>5055.7957173128234</v>
      </c>
      <c r="X734" s="257">
        <v>0</v>
      </c>
      <c r="Y734" s="258">
        <v>0</v>
      </c>
      <c r="Z734" s="258">
        <v>0</v>
      </c>
      <c r="AA734" s="258">
        <v>0</v>
      </c>
      <c r="AB734" s="258">
        <v>0</v>
      </c>
      <c r="AC734" s="258">
        <v>0</v>
      </c>
      <c r="AD734" s="258">
        <v>0</v>
      </c>
      <c r="AE734" s="258">
        <v>0</v>
      </c>
      <c r="AF734" s="257">
        <v>0</v>
      </c>
      <c r="AG734" s="258">
        <v>0</v>
      </c>
      <c r="AH734" s="257">
        <v>0</v>
      </c>
      <c r="AI734" s="258">
        <v>2476.9</v>
      </c>
      <c r="AJ734" s="257">
        <f>7802.61*AI734/I734</f>
        <v>5055.7957173128234</v>
      </c>
      <c r="AK734" s="258">
        <v>0</v>
      </c>
      <c r="AL734" s="258">
        <v>0</v>
      </c>
      <c r="AM734" s="258">
        <v>0</v>
      </c>
      <c r="AN734" s="258"/>
      <c r="AO734" s="258">
        <v>0</v>
      </c>
    </row>
    <row r="735" spans="1:41" s="259" customFormat="1" ht="36" customHeight="1" x14ac:dyDescent="0.25">
      <c r="A735" s="259">
        <v>1</v>
      </c>
      <c r="B735" s="135">
        <f>SUBTOTAL(103,$A$552:A735)</f>
        <v>180</v>
      </c>
      <c r="C735" s="94" t="s">
        <v>1180</v>
      </c>
      <c r="D735" s="124">
        <v>1979</v>
      </c>
      <c r="E735" s="124">
        <v>2016</v>
      </c>
      <c r="F735" s="129" t="s">
        <v>320</v>
      </c>
      <c r="G735" s="124">
        <v>9</v>
      </c>
      <c r="H735" s="124" t="s">
        <v>310</v>
      </c>
      <c r="I735" s="128">
        <v>7590.3</v>
      </c>
      <c r="J735" s="128">
        <v>7004.9</v>
      </c>
      <c r="K735" s="128">
        <v>6957</v>
      </c>
      <c r="L735" s="126">
        <v>363</v>
      </c>
      <c r="M735" s="124" t="s">
        <v>267</v>
      </c>
      <c r="N735" s="124" t="s">
        <v>271</v>
      </c>
      <c r="O735" s="127" t="s">
        <v>321</v>
      </c>
      <c r="P735" s="128">
        <v>16346897.049999999</v>
      </c>
      <c r="Q735" s="128">
        <v>0</v>
      </c>
      <c r="R735" s="128">
        <v>0</v>
      </c>
      <c r="S735" s="128">
        <f t="shared" si="180"/>
        <v>16346897.049999999</v>
      </c>
      <c r="T735" s="128">
        <f t="shared" si="173"/>
        <v>2153.656252058548</v>
      </c>
      <c r="U735" s="128">
        <v>4532.13</v>
      </c>
      <c r="V735" s="257">
        <f t="shared" si="182"/>
        <v>2378.4737479414521</v>
      </c>
      <c r="W735" s="257">
        <f t="shared" si="183"/>
        <v>3791.6299999999997</v>
      </c>
      <c r="X735" s="257">
        <v>101.55</v>
      </c>
      <c r="Y735" s="258">
        <v>245.44</v>
      </c>
      <c r="Z735" s="258">
        <v>3259.66</v>
      </c>
      <c r="AA735" s="258">
        <v>184.98</v>
      </c>
      <c r="AB735" s="258">
        <v>0</v>
      </c>
      <c r="AC735" s="258">
        <v>0</v>
      </c>
      <c r="AD735" s="258">
        <v>0</v>
      </c>
      <c r="AE735" s="258">
        <v>0</v>
      </c>
      <c r="AF735" s="257">
        <v>0</v>
      </c>
      <c r="AG735" s="258">
        <v>0</v>
      </c>
      <c r="AH735" s="257">
        <v>0</v>
      </c>
      <c r="AI735" s="258">
        <v>0</v>
      </c>
      <c r="AJ735" s="257">
        <v>0</v>
      </c>
      <c r="AK735" s="258">
        <v>0</v>
      </c>
      <c r="AL735" s="258">
        <v>0</v>
      </c>
      <c r="AM735" s="258">
        <v>0</v>
      </c>
      <c r="AN735" s="258"/>
      <c r="AO735" s="258">
        <v>0</v>
      </c>
    </row>
    <row r="736" spans="1:41" s="259" customFormat="1" ht="36" customHeight="1" x14ac:dyDescent="0.25">
      <c r="A736" s="259">
        <v>1</v>
      </c>
      <c r="B736" s="135">
        <f>SUBTOTAL(103,$A$552:A736)</f>
        <v>181</v>
      </c>
      <c r="C736" s="94" t="s">
        <v>383</v>
      </c>
      <c r="D736" s="124">
        <v>1995</v>
      </c>
      <c r="E736" s="124">
        <v>2015</v>
      </c>
      <c r="F736" s="129" t="s">
        <v>313</v>
      </c>
      <c r="G736" s="124">
        <v>9</v>
      </c>
      <c r="H736" s="124" t="s">
        <v>353</v>
      </c>
      <c r="I736" s="125">
        <v>12180.7</v>
      </c>
      <c r="J736" s="125">
        <v>10849.3</v>
      </c>
      <c r="K736" s="125">
        <v>10849.3</v>
      </c>
      <c r="L736" s="126">
        <v>500</v>
      </c>
      <c r="M736" s="124" t="s">
        <v>267</v>
      </c>
      <c r="N736" s="124" t="s">
        <v>271</v>
      </c>
      <c r="O736" s="127" t="s">
        <v>321</v>
      </c>
      <c r="P736" s="128">
        <v>14315249.970000001</v>
      </c>
      <c r="Q736" s="128">
        <v>0</v>
      </c>
      <c r="R736" s="128">
        <v>0</v>
      </c>
      <c r="S736" s="128">
        <f t="shared" si="180"/>
        <v>14315249.970000001</v>
      </c>
      <c r="T736" s="128">
        <f t="shared" si="173"/>
        <v>1175.2403367622551</v>
      </c>
      <c r="U736" s="128">
        <v>5249.8217343830811</v>
      </c>
      <c r="V736" s="257">
        <f t="shared" si="179"/>
        <v>4074.581397620826</v>
      </c>
      <c r="W736" s="257">
        <f t="shared" si="181"/>
        <v>1586.6316967826149</v>
      </c>
      <c r="X736" s="257">
        <v>0</v>
      </c>
      <c r="Y736" s="258">
        <v>0</v>
      </c>
      <c r="Z736" s="258">
        <v>0</v>
      </c>
      <c r="AA736" s="258">
        <v>0</v>
      </c>
      <c r="AB736" s="258">
        <v>0</v>
      </c>
      <c r="AC736" s="258">
        <v>0</v>
      </c>
      <c r="AD736" s="258">
        <v>0</v>
      </c>
      <c r="AE736" s="258">
        <v>0</v>
      </c>
      <c r="AF736" s="257">
        <v>0</v>
      </c>
      <c r="AG736" s="258">
        <v>0</v>
      </c>
      <c r="AH736" s="257">
        <v>0</v>
      </c>
      <c r="AI736" s="258">
        <v>2476.9</v>
      </c>
      <c r="AJ736" s="257">
        <f>7802.61*AI736/I736</f>
        <v>1586.6316967826149</v>
      </c>
      <c r="AK736" s="258">
        <v>0</v>
      </c>
      <c r="AL736" s="258">
        <v>0</v>
      </c>
      <c r="AM736" s="258">
        <v>0</v>
      </c>
      <c r="AN736" s="258"/>
      <c r="AO736" s="258">
        <v>0</v>
      </c>
    </row>
    <row r="737" spans="1:41" s="259" customFormat="1" ht="36" customHeight="1" x14ac:dyDescent="0.25">
      <c r="A737" s="259">
        <v>1</v>
      </c>
      <c r="B737" s="135">
        <f>SUBTOTAL(103,$A$552:A737)</f>
        <v>182</v>
      </c>
      <c r="C737" s="94" t="s">
        <v>1181</v>
      </c>
      <c r="D737" s="124">
        <v>1985</v>
      </c>
      <c r="E737" s="124">
        <v>2018</v>
      </c>
      <c r="F737" s="129" t="s">
        <v>269</v>
      </c>
      <c r="G737" s="124">
        <v>9</v>
      </c>
      <c r="H737" s="124" t="s">
        <v>306</v>
      </c>
      <c r="I737" s="128">
        <v>5367.9</v>
      </c>
      <c r="J737" s="128">
        <v>4145.6000000000004</v>
      </c>
      <c r="K737" s="128">
        <v>3643.5</v>
      </c>
      <c r="L737" s="126">
        <v>300</v>
      </c>
      <c r="M737" s="124" t="s">
        <v>267</v>
      </c>
      <c r="N737" s="124" t="s">
        <v>271</v>
      </c>
      <c r="O737" s="127" t="s">
        <v>1352</v>
      </c>
      <c r="P737" s="128">
        <v>4570000</v>
      </c>
      <c r="Q737" s="128">
        <v>0</v>
      </c>
      <c r="R737" s="128">
        <v>0</v>
      </c>
      <c r="S737" s="128">
        <f t="shared" si="180"/>
        <v>4570000</v>
      </c>
      <c r="T737" s="128">
        <f t="shared" si="173"/>
        <v>851.35714152648154</v>
      </c>
      <c r="U737" s="128">
        <v>915.73986102572712</v>
      </c>
      <c r="V737" s="257">
        <f t="shared" si="179"/>
        <v>64.382719499245582</v>
      </c>
      <c r="W737" s="257">
        <f t="shared" si="181"/>
        <v>3791.6299999999997</v>
      </c>
      <c r="X737" s="257">
        <v>101.55</v>
      </c>
      <c r="Y737" s="258">
        <v>245.44</v>
      </c>
      <c r="Z737" s="258">
        <v>3259.66</v>
      </c>
      <c r="AA737" s="258">
        <v>184.98</v>
      </c>
      <c r="AB737" s="258">
        <v>0</v>
      </c>
      <c r="AC737" s="258">
        <v>0</v>
      </c>
      <c r="AD737" s="258">
        <v>0</v>
      </c>
      <c r="AE737" s="258">
        <v>0</v>
      </c>
      <c r="AF737" s="257">
        <v>0</v>
      </c>
      <c r="AG737" s="258">
        <v>0</v>
      </c>
      <c r="AH737" s="257">
        <v>0</v>
      </c>
      <c r="AI737" s="258">
        <v>0</v>
      </c>
      <c r="AJ737" s="257">
        <v>0</v>
      </c>
      <c r="AK737" s="258">
        <v>0</v>
      </c>
      <c r="AL737" s="258">
        <v>0</v>
      </c>
      <c r="AM737" s="258">
        <v>0</v>
      </c>
      <c r="AN737" s="258"/>
      <c r="AO737" s="258">
        <v>0</v>
      </c>
    </row>
    <row r="738" spans="1:41" s="259" customFormat="1" ht="36" customHeight="1" x14ac:dyDescent="0.25">
      <c r="A738" s="259">
        <v>1</v>
      </c>
      <c r="B738" s="135">
        <f>SUBTOTAL(103,$A$552:A738)</f>
        <v>183</v>
      </c>
      <c r="C738" s="94" t="s">
        <v>1965</v>
      </c>
      <c r="D738" s="124">
        <v>1975</v>
      </c>
      <c r="E738" s="124"/>
      <c r="F738" s="129" t="s">
        <v>320</v>
      </c>
      <c r="G738" s="124" t="s">
        <v>353</v>
      </c>
      <c r="H738" s="124" t="s">
        <v>353</v>
      </c>
      <c r="I738" s="128">
        <v>5911.9</v>
      </c>
      <c r="J738" s="128">
        <v>3394.8</v>
      </c>
      <c r="K738" s="128">
        <v>3394.8</v>
      </c>
      <c r="L738" s="126">
        <v>170</v>
      </c>
      <c r="M738" s="124" t="s">
        <v>267</v>
      </c>
      <c r="N738" s="124" t="s">
        <v>271</v>
      </c>
      <c r="O738" s="127" t="s">
        <v>321</v>
      </c>
      <c r="P738" s="128">
        <v>6012472.5700000003</v>
      </c>
      <c r="Q738" s="128">
        <v>0</v>
      </c>
      <c r="R738" s="128">
        <v>0</v>
      </c>
      <c r="S738" s="128">
        <f t="shared" si="180"/>
        <v>6012472.5700000003</v>
      </c>
      <c r="T738" s="128">
        <f t="shared" si="173"/>
        <v>1017.0118861956394</v>
      </c>
      <c r="U738" s="128">
        <v>3141.9152539792626</v>
      </c>
      <c r="V738" s="257">
        <f t="shared" si="179"/>
        <v>2124.9033677836233</v>
      </c>
      <c r="W738" s="257">
        <f t="shared" si="181"/>
        <v>11345.123489910182</v>
      </c>
      <c r="X738" s="257">
        <v>0</v>
      </c>
      <c r="Y738" s="258">
        <v>0</v>
      </c>
      <c r="Z738" s="258">
        <v>0</v>
      </c>
      <c r="AA738" s="258">
        <v>0</v>
      </c>
      <c r="AB738" s="258">
        <v>0</v>
      </c>
      <c r="AC738" s="258">
        <v>0</v>
      </c>
      <c r="AD738" s="258">
        <v>0</v>
      </c>
      <c r="AE738" s="258">
        <v>0</v>
      </c>
      <c r="AF738" s="257">
        <v>0</v>
      </c>
      <c r="AG738" s="258">
        <v>0</v>
      </c>
      <c r="AH738" s="257">
        <v>0</v>
      </c>
      <c r="AI738" s="258">
        <v>8596</v>
      </c>
      <c r="AJ738" s="257">
        <f>7802.61*AI738/I738</f>
        <v>11345.123489910182</v>
      </c>
      <c r="AK738" s="258">
        <v>0</v>
      </c>
      <c r="AL738" s="258">
        <v>0</v>
      </c>
      <c r="AM738" s="258">
        <v>0</v>
      </c>
      <c r="AN738" s="258"/>
      <c r="AO738" s="258">
        <v>0</v>
      </c>
    </row>
    <row r="739" spans="1:41" s="259" customFormat="1" ht="36" customHeight="1" x14ac:dyDescent="0.25">
      <c r="B739" s="94" t="s">
        <v>821</v>
      </c>
      <c r="C739" s="261"/>
      <c r="D739" s="124" t="s">
        <v>896</v>
      </c>
      <c r="E739" s="124" t="s">
        <v>896</v>
      </c>
      <c r="F739" s="124" t="s">
        <v>896</v>
      </c>
      <c r="G739" s="124" t="s">
        <v>896</v>
      </c>
      <c r="H739" s="124" t="s">
        <v>896</v>
      </c>
      <c r="I739" s="125">
        <f>SUM(I740:I764)</f>
        <v>53361.36</v>
      </c>
      <c r="J739" s="125">
        <f>SUM(J740:J764)</f>
        <v>40507.299999999996</v>
      </c>
      <c r="K739" s="125">
        <f>SUM(K740:K764)</f>
        <v>39510.81</v>
      </c>
      <c r="L739" s="126">
        <f>SUM(L740:L764)</f>
        <v>2132</v>
      </c>
      <c r="M739" s="124" t="s">
        <v>896</v>
      </c>
      <c r="N739" s="124" t="s">
        <v>896</v>
      </c>
      <c r="O739" s="127" t="s">
        <v>896</v>
      </c>
      <c r="P739" s="125">
        <v>106368136.16000001</v>
      </c>
      <c r="Q739" s="125">
        <f>SUM(Q740:Q764)</f>
        <v>0</v>
      </c>
      <c r="R739" s="125">
        <f>SUM(R740:R764)</f>
        <v>0</v>
      </c>
      <c r="S739" s="125">
        <f>SUM(S740:S764)</f>
        <v>106368136.16000001</v>
      </c>
      <c r="T739" s="128">
        <f t="shared" si="173"/>
        <v>1993.3550449238926</v>
      </c>
      <c r="U739" s="128">
        <f>MAX(U740:U764)</f>
        <v>9856.9208221492281</v>
      </c>
      <c r="V739" s="257">
        <f t="shared" si="179"/>
        <v>7863.5657772253353</v>
      </c>
      <c r="W739" s="257"/>
      <c r="X739" s="257"/>
      <c r="Y739" s="258"/>
      <c r="Z739" s="258"/>
      <c r="AA739" s="258"/>
      <c r="AB739" s="258"/>
      <c r="AC739" s="258"/>
      <c r="AD739" s="258"/>
      <c r="AE739" s="258"/>
      <c r="AF739" s="258"/>
      <c r="AG739" s="258"/>
      <c r="AH739" s="258"/>
      <c r="AI739" s="258"/>
      <c r="AJ739" s="258"/>
      <c r="AK739" s="258"/>
      <c r="AL739" s="258"/>
      <c r="AM739" s="258"/>
      <c r="AN739" s="258"/>
      <c r="AO739" s="258"/>
    </row>
    <row r="740" spans="1:41" s="259" customFormat="1" ht="36" customHeight="1" x14ac:dyDescent="0.25">
      <c r="A740" s="259">
        <v>1</v>
      </c>
      <c r="B740" s="135">
        <f>SUBTOTAL(103,$A$552:A740)</f>
        <v>184</v>
      </c>
      <c r="C740" s="94" t="s">
        <v>614</v>
      </c>
      <c r="D740" s="124">
        <v>1966</v>
      </c>
      <c r="E740" s="124"/>
      <c r="F740" s="129" t="s">
        <v>269</v>
      </c>
      <c r="G740" s="124">
        <v>5</v>
      </c>
      <c r="H740" s="124" t="s">
        <v>314</v>
      </c>
      <c r="I740" s="125">
        <v>4109.6000000000004</v>
      </c>
      <c r="J740" s="125">
        <v>2516.14</v>
      </c>
      <c r="K740" s="125">
        <v>2269.44</v>
      </c>
      <c r="L740" s="126">
        <v>105</v>
      </c>
      <c r="M740" s="124" t="s">
        <v>267</v>
      </c>
      <c r="N740" s="124" t="s">
        <v>271</v>
      </c>
      <c r="O740" s="127" t="s">
        <v>1085</v>
      </c>
      <c r="P740" s="128">
        <v>4305622.5199999996</v>
      </c>
      <c r="Q740" s="128">
        <v>0</v>
      </c>
      <c r="R740" s="128">
        <v>0</v>
      </c>
      <c r="S740" s="128">
        <f t="shared" ref="S740:S764" si="184">P740-Q740-R740</f>
        <v>4305622.5199999996</v>
      </c>
      <c r="T740" s="128">
        <f t="shared" si="173"/>
        <v>1047.6986860035038</v>
      </c>
      <c r="U740" s="128">
        <v>1177.5177316527156</v>
      </c>
      <c r="V740" s="257">
        <f t="shared" si="179"/>
        <v>129.81904564921183</v>
      </c>
      <c r="W740" s="257">
        <f t="shared" ref="W740:W764" si="185">X740+Y740+Z740+AA740+AB740+AD740+AF740+AH740+AJ740+AL740+AN740+AO740</f>
        <v>1173.5150452598791</v>
      </c>
      <c r="X740" s="257">
        <v>0</v>
      </c>
      <c r="Y740" s="258">
        <v>0</v>
      </c>
      <c r="Z740" s="258">
        <v>0</v>
      </c>
      <c r="AA740" s="258">
        <v>0</v>
      </c>
      <c r="AB740" s="258">
        <v>0</v>
      </c>
      <c r="AC740" s="258">
        <v>0</v>
      </c>
      <c r="AD740" s="258">
        <v>0</v>
      </c>
      <c r="AE740" s="258">
        <v>773</v>
      </c>
      <c r="AF740" s="257">
        <f t="shared" ref="AF740:AF748" si="186">6238.91*AE740/I740</f>
        <v>1173.5150452598791</v>
      </c>
      <c r="AG740" s="258">
        <v>0</v>
      </c>
      <c r="AH740" s="257">
        <v>0</v>
      </c>
      <c r="AI740" s="258">
        <v>0</v>
      </c>
      <c r="AJ740" s="257">
        <v>0</v>
      </c>
      <c r="AK740" s="258">
        <v>0</v>
      </c>
      <c r="AL740" s="258">
        <v>0</v>
      </c>
      <c r="AM740" s="258">
        <v>0</v>
      </c>
      <c r="AN740" s="258"/>
      <c r="AO740" s="258">
        <v>0</v>
      </c>
    </row>
    <row r="741" spans="1:41" s="259" customFormat="1" ht="36" customHeight="1" x14ac:dyDescent="0.25">
      <c r="A741" s="259">
        <v>1</v>
      </c>
      <c r="B741" s="135">
        <f>SUBTOTAL(103,$A$552:A741)</f>
        <v>185</v>
      </c>
      <c r="C741" s="94" t="s">
        <v>615</v>
      </c>
      <c r="D741" s="124">
        <v>1965</v>
      </c>
      <c r="E741" s="124"/>
      <c r="F741" s="129" t="s">
        <v>269</v>
      </c>
      <c r="G741" s="124" t="s">
        <v>353</v>
      </c>
      <c r="H741" s="124" t="s">
        <v>310</v>
      </c>
      <c r="I741" s="125">
        <v>4233.3599999999997</v>
      </c>
      <c r="J741" s="125">
        <v>3105.6</v>
      </c>
      <c r="K741" s="125">
        <v>3105.6</v>
      </c>
      <c r="L741" s="126">
        <v>208</v>
      </c>
      <c r="M741" s="124" t="s">
        <v>267</v>
      </c>
      <c r="N741" s="124" t="s">
        <v>271</v>
      </c>
      <c r="O741" s="127" t="s">
        <v>711</v>
      </c>
      <c r="P741" s="128">
        <v>5849319.5699999994</v>
      </c>
      <c r="Q741" s="128">
        <v>0</v>
      </c>
      <c r="R741" s="128">
        <v>0</v>
      </c>
      <c r="S741" s="128">
        <f t="shared" si="184"/>
        <v>5849319.5699999994</v>
      </c>
      <c r="T741" s="128">
        <f t="shared" si="173"/>
        <v>1381.7203285333635</v>
      </c>
      <c r="U741" s="128">
        <v>1552.7145104597766</v>
      </c>
      <c r="V741" s="257">
        <f t="shared" si="179"/>
        <v>170.99418192641315</v>
      </c>
      <c r="W741" s="257">
        <f t="shared" si="185"/>
        <v>1547.4364334712852</v>
      </c>
      <c r="X741" s="257">
        <v>0</v>
      </c>
      <c r="Y741" s="258">
        <v>0</v>
      </c>
      <c r="Z741" s="258">
        <v>0</v>
      </c>
      <c r="AA741" s="258">
        <v>0</v>
      </c>
      <c r="AB741" s="258">
        <v>0</v>
      </c>
      <c r="AC741" s="258">
        <v>0</v>
      </c>
      <c r="AD741" s="258">
        <v>0</v>
      </c>
      <c r="AE741" s="258">
        <v>1050</v>
      </c>
      <c r="AF741" s="257">
        <f t="shared" si="186"/>
        <v>1547.4364334712852</v>
      </c>
      <c r="AG741" s="258">
        <v>0</v>
      </c>
      <c r="AH741" s="257">
        <v>0</v>
      </c>
      <c r="AI741" s="258">
        <v>0</v>
      </c>
      <c r="AJ741" s="257">
        <v>0</v>
      </c>
      <c r="AK741" s="258">
        <v>0</v>
      </c>
      <c r="AL741" s="258">
        <v>0</v>
      </c>
      <c r="AM741" s="258">
        <v>0</v>
      </c>
      <c r="AN741" s="258"/>
      <c r="AO741" s="258">
        <v>0</v>
      </c>
    </row>
    <row r="742" spans="1:41" s="259" customFormat="1" ht="36" customHeight="1" x14ac:dyDescent="0.25">
      <c r="A742" s="259">
        <v>1</v>
      </c>
      <c r="B742" s="135">
        <f>SUBTOTAL(103,$A$552:A742)</f>
        <v>186</v>
      </c>
      <c r="C742" s="94" t="s">
        <v>616</v>
      </c>
      <c r="D742" s="124">
        <v>1964</v>
      </c>
      <c r="E742" s="124"/>
      <c r="F742" s="129" t="s">
        <v>269</v>
      </c>
      <c r="G742" s="124" t="s">
        <v>310</v>
      </c>
      <c r="H742" s="124" t="s">
        <v>310</v>
      </c>
      <c r="I742" s="125">
        <v>3054.2</v>
      </c>
      <c r="J742" s="125">
        <v>2812.7</v>
      </c>
      <c r="K742" s="125">
        <v>2812.7</v>
      </c>
      <c r="L742" s="126">
        <v>156</v>
      </c>
      <c r="M742" s="124" t="s">
        <v>267</v>
      </c>
      <c r="N742" s="124" t="s">
        <v>271</v>
      </c>
      <c r="O742" s="127" t="s">
        <v>711</v>
      </c>
      <c r="P742" s="128">
        <v>4691039.5599999996</v>
      </c>
      <c r="Q742" s="128">
        <v>0</v>
      </c>
      <c r="R742" s="128">
        <v>0</v>
      </c>
      <c r="S742" s="128">
        <f t="shared" si="184"/>
        <v>4691039.5599999996</v>
      </c>
      <c r="T742" s="128">
        <f t="shared" si="173"/>
        <v>1535.9307052583326</v>
      </c>
      <c r="U742" s="128">
        <v>1936.9653428066269</v>
      </c>
      <c r="V742" s="257">
        <f t="shared" si="179"/>
        <v>401.03463754829431</v>
      </c>
      <c r="W742" s="257">
        <f t="shared" si="185"/>
        <v>1930.3810981599111</v>
      </c>
      <c r="X742" s="257">
        <v>0</v>
      </c>
      <c r="Y742" s="258">
        <v>0</v>
      </c>
      <c r="Z742" s="258">
        <v>0</v>
      </c>
      <c r="AA742" s="258">
        <v>0</v>
      </c>
      <c r="AB742" s="258">
        <v>0</v>
      </c>
      <c r="AC742" s="258">
        <v>0</v>
      </c>
      <c r="AD742" s="258">
        <v>0</v>
      </c>
      <c r="AE742" s="258">
        <v>945</v>
      </c>
      <c r="AF742" s="257">
        <f t="shared" si="186"/>
        <v>1930.3810981599111</v>
      </c>
      <c r="AG742" s="258">
        <v>0</v>
      </c>
      <c r="AH742" s="257">
        <v>0</v>
      </c>
      <c r="AI742" s="258">
        <v>0</v>
      </c>
      <c r="AJ742" s="257">
        <v>0</v>
      </c>
      <c r="AK742" s="258">
        <v>0</v>
      </c>
      <c r="AL742" s="258">
        <v>0</v>
      </c>
      <c r="AM742" s="258">
        <v>0</v>
      </c>
      <c r="AN742" s="258"/>
      <c r="AO742" s="258">
        <v>0</v>
      </c>
    </row>
    <row r="743" spans="1:41" s="259" customFormat="1" ht="36" customHeight="1" x14ac:dyDescent="0.25">
      <c r="A743" s="259">
        <v>1</v>
      </c>
      <c r="B743" s="135">
        <f>SUBTOTAL(103,$A$552:A743)</f>
        <v>187</v>
      </c>
      <c r="C743" s="94" t="s">
        <v>620</v>
      </c>
      <c r="D743" s="124">
        <v>1955</v>
      </c>
      <c r="E743" s="124"/>
      <c r="F743" s="129" t="s">
        <v>269</v>
      </c>
      <c r="G743" s="124">
        <v>2</v>
      </c>
      <c r="H743" s="124">
        <v>1</v>
      </c>
      <c r="I743" s="125">
        <v>424.9</v>
      </c>
      <c r="J743" s="125">
        <v>343.85</v>
      </c>
      <c r="K743" s="125">
        <v>248.25</v>
      </c>
      <c r="L743" s="126">
        <v>21</v>
      </c>
      <c r="M743" s="124" t="s">
        <v>267</v>
      </c>
      <c r="N743" s="124" t="s">
        <v>268</v>
      </c>
      <c r="O743" s="127" t="s">
        <v>270</v>
      </c>
      <c r="P743" s="128">
        <v>3307936.78</v>
      </c>
      <c r="Q743" s="128">
        <v>0</v>
      </c>
      <c r="R743" s="128">
        <v>0</v>
      </c>
      <c r="S743" s="128">
        <f t="shared" si="184"/>
        <v>3307936.78</v>
      </c>
      <c r="T743" s="128">
        <f t="shared" si="173"/>
        <v>7785.2124735231819</v>
      </c>
      <c r="U743" s="128">
        <v>9576.6615674276291</v>
      </c>
      <c r="V743" s="257">
        <f t="shared" si="179"/>
        <v>1791.4490939044472</v>
      </c>
      <c r="W743" s="257">
        <f t="shared" si="185"/>
        <v>9544.108025417745</v>
      </c>
      <c r="X743" s="257">
        <v>0</v>
      </c>
      <c r="Y743" s="258">
        <v>0</v>
      </c>
      <c r="Z743" s="258">
        <v>0</v>
      </c>
      <c r="AA743" s="258">
        <v>0</v>
      </c>
      <c r="AB743" s="258">
        <v>0</v>
      </c>
      <c r="AC743" s="258">
        <v>0</v>
      </c>
      <c r="AD743" s="258">
        <v>0</v>
      </c>
      <c r="AE743" s="258">
        <v>650</v>
      </c>
      <c r="AF743" s="257">
        <f t="shared" si="186"/>
        <v>9544.108025417745</v>
      </c>
      <c r="AG743" s="258">
        <v>0</v>
      </c>
      <c r="AH743" s="257">
        <v>0</v>
      </c>
      <c r="AI743" s="258">
        <v>0</v>
      </c>
      <c r="AJ743" s="257">
        <v>0</v>
      </c>
      <c r="AK743" s="258">
        <v>0</v>
      </c>
      <c r="AL743" s="258">
        <v>0</v>
      </c>
      <c r="AM743" s="258">
        <v>0</v>
      </c>
      <c r="AN743" s="258"/>
      <c r="AO743" s="258">
        <v>0</v>
      </c>
    </row>
    <row r="744" spans="1:41" s="259" customFormat="1" ht="36" customHeight="1" x14ac:dyDescent="0.25">
      <c r="A744" s="259">
        <v>1</v>
      </c>
      <c r="B744" s="135">
        <f>SUBTOTAL(103,$A$552:A744)</f>
        <v>188</v>
      </c>
      <c r="C744" s="94" t="s">
        <v>621</v>
      </c>
      <c r="D744" s="124">
        <v>1977</v>
      </c>
      <c r="E744" s="124"/>
      <c r="F744" s="129" t="s">
        <v>269</v>
      </c>
      <c r="G744" s="124">
        <v>5</v>
      </c>
      <c r="H744" s="124" t="s">
        <v>373</v>
      </c>
      <c r="I744" s="125">
        <v>4398.3999999999996</v>
      </c>
      <c r="J744" s="125">
        <v>3962.5</v>
      </c>
      <c r="K744" s="125">
        <v>3962.5</v>
      </c>
      <c r="L744" s="126">
        <v>234</v>
      </c>
      <c r="M744" s="124" t="s">
        <v>267</v>
      </c>
      <c r="N744" s="124" t="s">
        <v>271</v>
      </c>
      <c r="O744" s="127" t="s">
        <v>1088</v>
      </c>
      <c r="P744" s="128">
        <v>5135695.41</v>
      </c>
      <c r="Q744" s="128">
        <v>0</v>
      </c>
      <c r="R744" s="128">
        <v>0</v>
      </c>
      <c r="S744" s="128">
        <f t="shared" si="184"/>
        <v>5135695.41</v>
      </c>
      <c r="T744" s="128">
        <f t="shared" si="173"/>
        <v>1167.6280943070208</v>
      </c>
      <c r="U744" s="128">
        <v>1480.2195343761368</v>
      </c>
      <c r="V744" s="257">
        <f t="shared" si="179"/>
        <v>312.59144006911606</v>
      </c>
      <c r="W744" s="257">
        <f t="shared" si="185"/>
        <v>1475.1878865041833</v>
      </c>
      <c r="X744" s="257">
        <v>0</v>
      </c>
      <c r="Y744" s="258">
        <v>0</v>
      </c>
      <c r="Z744" s="258">
        <v>0</v>
      </c>
      <c r="AA744" s="258">
        <v>0</v>
      </c>
      <c r="AB744" s="258">
        <v>0</v>
      </c>
      <c r="AC744" s="258">
        <v>0</v>
      </c>
      <c r="AD744" s="258">
        <v>0</v>
      </c>
      <c r="AE744" s="258">
        <v>1040</v>
      </c>
      <c r="AF744" s="257">
        <f t="shared" si="186"/>
        <v>1475.1878865041833</v>
      </c>
      <c r="AG744" s="258">
        <v>0</v>
      </c>
      <c r="AH744" s="257">
        <v>0</v>
      </c>
      <c r="AI744" s="258">
        <v>0</v>
      </c>
      <c r="AJ744" s="257">
        <v>0</v>
      </c>
      <c r="AK744" s="258">
        <v>0</v>
      </c>
      <c r="AL744" s="258">
        <v>0</v>
      </c>
      <c r="AM744" s="258">
        <v>0</v>
      </c>
      <c r="AN744" s="258"/>
      <c r="AO744" s="258">
        <v>0</v>
      </c>
    </row>
    <row r="745" spans="1:41" s="259" customFormat="1" ht="36" customHeight="1" x14ac:dyDescent="0.25">
      <c r="A745" s="259">
        <v>1</v>
      </c>
      <c r="B745" s="135">
        <f>SUBTOTAL(103,$A$552:A745)</f>
        <v>189</v>
      </c>
      <c r="C745" s="94" t="s">
        <v>619</v>
      </c>
      <c r="D745" s="124">
        <v>2001</v>
      </c>
      <c r="E745" s="124"/>
      <c r="F745" s="129" t="s">
        <v>313</v>
      </c>
      <c r="G745" s="124" t="s">
        <v>353</v>
      </c>
      <c r="H745" s="124" t="s">
        <v>305</v>
      </c>
      <c r="I745" s="125">
        <v>4008</v>
      </c>
      <c r="J745" s="125">
        <v>2472.3000000000002</v>
      </c>
      <c r="K745" s="125">
        <v>2472.3000000000002</v>
      </c>
      <c r="L745" s="126">
        <v>92</v>
      </c>
      <c r="M745" s="124" t="s">
        <v>267</v>
      </c>
      <c r="N745" s="124" t="s">
        <v>271</v>
      </c>
      <c r="O745" s="127" t="s">
        <v>1085</v>
      </c>
      <c r="P745" s="128">
        <v>4861949.2</v>
      </c>
      <c r="Q745" s="128">
        <v>0</v>
      </c>
      <c r="R745" s="128">
        <v>0</v>
      </c>
      <c r="S745" s="128">
        <f t="shared" si="184"/>
        <v>4861949.2</v>
      </c>
      <c r="T745" s="128">
        <f t="shared" si="173"/>
        <v>1213.0611776447106</v>
      </c>
      <c r="U745" s="128">
        <v>1463.5224625748501</v>
      </c>
      <c r="V745" s="257">
        <f t="shared" si="179"/>
        <v>250.46128493013953</v>
      </c>
      <c r="W745" s="257">
        <f t="shared" si="185"/>
        <v>1458.5475723552895</v>
      </c>
      <c r="X745" s="257">
        <v>0</v>
      </c>
      <c r="Y745" s="258">
        <v>0</v>
      </c>
      <c r="Z745" s="258">
        <v>0</v>
      </c>
      <c r="AA745" s="258">
        <v>0</v>
      </c>
      <c r="AB745" s="258">
        <v>0</v>
      </c>
      <c r="AC745" s="258">
        <v>0</v>
      </c>
      <c r="AD745" s="258">
        <v>0</v>
      </c>
      <c r="AE745" s="258">
        <v>937</v>
      </c>
      <c r="AF745" s="257">
        <f t="shared" si="186"/>
        <v>1458.5475723552895</v>
      </c>
      <c r="AG745" s="258">
        <v>0</v>
      </c>
      <c r="AH745" s="257">
        <v>0</v>
      </c>
      <c r="AI745" s="258">
        <v>0</v>
      </c>
      <c r="AJ745" s="257">
        <v>0</v>
      </c>
      <c r="AK745" s="258">
        <v>0</v>
      </c>
      <c r="AL745" s="258">
        <v>0</v>
      </c>
      <c r="AM745" s="258">
        <v>0</v>
      </c>
      <c r="AN745" s="258"/>
      <c r="AO745" s="258">
        <v>0</v>
      </c>
    </row>
    <row r="746" spans="1:41" s="259" customFormat="1" ht="36" customHeight="1" x14ac:dyDescent="0.25">
      <c r="A746" s="259">
        <v>1</v>
      </c>
      <c r="B746" s="135">
        <f>SUBTOTAL(103,$A$552:A746)</f>
        <v>190</v>
      </c>
      <c r="C746" s="94" t="s">
        <v>611</v>
      </c>
      <c r="D746" s="124">
        <v>1960</v>
      </c>
      <c r="E746" s="124"/>
      <c r="F746" s="129" t="s">
        <v>269</v>
      </c>
      <c r="G746" s="124">
        <v>2</v>
      </c>
      <c r="H746" s="124" t="s">
        <v>305</v>
      </c>
      <c r="I746" s="125">
        <v>676.9</v>
      </c>
      <c r="J746" s="125">
        <v>629.70000000000005</v>
      </c>
      <c r="K746" s="125">
        <v>629.70000000000005</v>
      </c>
      <c r="L746" s="126">
        <v>34</v>
      </c>
      <c r="M746" s="124" t="s">
        <v>267</v>
      </c>
      <c r="N746" s="124" t="s">
        <v>271</v>
      </c>
      <c r="O746" s="127" t="s">
        <v>709</v>
      </c>
      <c r="P746" s="128">
        <v>2852459.42</v>
      </c>
      <c r="Q746" s="128">
        <v>0</v>
      </c>
      <c r="R746" s="128">
        <v>0</v>
      </c>
      <c r="S746" s="128">
        <f t="shared" si="184"/>
        <v>2852459.42</v>
      </c>
      <c r="T746" s="128">
        <f t="shared" si="173"/>
        <v>4214.0041660511151</v>
      </c>
      <c r="U746" s="128">
        <v>5175.3616841483235</v>
      </c>
      <c r="V746" s="257">
        <f t="shared" si="179"/>
        <v>961.35751809720841</v>
      </c>
      <c r="W746" s="257">
        <f t="shared" si="185"/>
        <v>5157.7692953168862</v>
      </c>
      <c r="X746" s="257">
        <v>0</v>
      </c>
      <c r="Y746" s="258">
        <v>0</v>
      </c>
      <c r="Z746" s="258">
        <v>0</v>
      </c>
      <c r="AA746" s="258">
        <v>0</v>
      </c>
      <c r="AB746" s="258">
        <v>0</v>
      </c>
      <c r="AC746" s="258">
        <v>0</v>
      </c>
      <c r="AD746" s="258">
        <v>0</v>
      </c>
      <c r="AE746" s="258">
        <v>559.6</v>
      </c>
      <c r="AF746" s="257">
        <f t="shared" si="186"/>
        <v>5157.7692953168862</v>
      </c>
      <c r="AG746" s="258">
        <v>0</v>
      </c>
      <c r="AH746" s="257">
        <v>0</v>
      </c>
      <c r="AI746" s="258">
        <v>0</v>
      </c>
      <c r="AJ746" s="257">
        <v>0</v>
      </c>
      <c r="AK746" s="258">
        <v>0</v>
      </c>
      <c r="AL746" s="258">
        <v>0</v>
      </c>
      <c r="AM746" s="258">
        <v>0</v>
      </c>
      <c r="AN746" s="258"/>
      <c r="AO746" s="258">
        <v>0</v>
      </c>
    </row>
    <row r="747" spans="1:41" s="259" customFormat="1" ht="36" customHeight="1" x14ac:dyDescent="0.25">
      <c r="A747" s="259">
        <v>1</v>
      </c>
      <c r="B747" s="135">
        <f>SUBTOTAL(103,$A$552:A747)</f>
        <v>191</v>
      </c>
      <c r="C747" s="94" t="s">
        <v>625</v>
      </c>
      <c r="D747" s="124">
        <v>1959</v>
      </c>
      <c r="E747" s="124"/>
      <c r="F747" s="129" t="s">
        <v>269</v>
      </c>
      <c r="G747" s="124" t="s">
        <v>314</v>
      </c>
      <c r="H747" s="124" t="s">
        <v>306</v>
      </c>
      <c r="I747" s="125">
        <v>1671.6</v>
      </c>
      <c r="J747" s="125">
        <v>1327.3</v>
      </c>
      <c r="K747" s="125">
        <v>1327.3</v>
      </c>
      <c r="L747" s="126">
        <v>138</v>
      </c>
      <c r="M747" s="124" t="s">
        <v>267</v>
      </c>
      <c r="N747" s="124" t="s">
        <v>285</v>
      </c>
      <c r="O747" s="127" t="s">
        <v>270</v>
      </c>
      <c r="P747" s="128">
        <v>4893264.82</v>
      </c>
      <c r="Q747" s="128">
        <v>0</v>
      </c>
      <c r="R747" s="128">
        <v>0</v>
      </c>
      <c r="S747" s="128">
        <f t="shared" si="184"/>
        <v>4893264.82</v>
      </c>
      <c r="T747" s="128">
        <f t="shared" si="173"/>
        <v>2927.2941014596795</v>
      </c>
      <c r="U747" s="128">
        <v>3531.5620782483848</v>
      </c>
      <c r="V747" s="257">
        <f t="shared" si="179"/>
        <v>604.26797678870525</v>
      </c>
      <c r="W747" s="257">
        <f t="shared" si="185"/>
        <v>3519.557388131132</v>
      </c>
      <c r="X747" s="257">
        <v>0</v>
      </c>
      <c r="Y747" s="258">
        <v>0</v>
      </c>
      <c r="Z747" s="258">
        <v>0</v>
      </c>
      <c r="AA747" s="258">
        <v>0</v>
      </c>
      <c r="AB747" s="258">
        <v>0</v>
      </c>
      <c r="AC747" s="258">
        <v>0</v>
      </c>
      <c r="AD747" s="258">
        <v>0</v>
      </c>
      <c r="AE747" s="258">
        <v>943</v>
      </c>
      <c r="AF747" s="257">
        <f t="shared" si="186"/>
        <v>3519.557388131132</v>
      </c>
      <c r="AG747" s="258">
        <v>0</v>
      </c>
      <c r="AH747" s="257">
        <v>0</v>
      </c>
      <c r="AI747" s="258">
        <v>0</v>
      </c>
      <c r="AJ747" s="257">
        <v>0</v>
      </c>
      <c r="AK747" s="258">
        <v>0</v>
      </c>
      <c r="AL747" s="258">
        <v>0</v>
      </c>
      <c r="AM747" s="258">
        <v>0</v>
      </c>
      <c r="AN747" s="258"/>
      <c r="AO747" s="258">
        <v>0</v>
      </c>
    </row>
    <row r="748" spans="1:41" s="259" customFormat="1" ht="36" customHeight="1" x14ac:dyDescent="0.25">
      <c r="A748" s="259">
        <v>1</v>
      </c>
      <c r="B748" s="135">
        <f>SUBTOTAL(103,$A$552:A748)</f>
        <v>192</v>
      </c>
      <c r="C748" s="94" t="s">
        <v>624</v>
      </c>
      <c r="D748" s="124">
        <v>1956</v>
      </c>
      <c r="E748" s="124"/>
      <c r="F748" s="129" t="s">
        <v>269</v>
      </c>
      <c r="G748" s="124">
        <v>2</v>
      </c>
      <c r="H748" s="124">
        <v>1</v>
      </c>
      <c r="I748" s="125">
        <v>418.2</v>
      </c>
      <c r="J748" s="125">
        <v>378.1</v>
      </c>
      <c r="K748" s="125">
        <v>378.1</v>
      </c>
      <c r="L748" s="126">
        <v>21</v>
      </c>
      <c r="M748" s="124" t="s">
        <v>267</v>
      </c>
      <c r="N748" s="124" t="s">
        <v>268</v>
      </c>
      <c r="O748" s="127" t="s">
        <v>270</v>
      </c>
      <c r="P748" s="128">
        <v>2680854.0299999998</v>
      </c>
      <c r="Q748" s="128">
        <v>0</v>
      </c>
      <c r="R748" s="128">
        <v>0</v>
      </c>
      <c r="S748" s="128">
        <f t="shared" si="184"/>
        <v>2680854.0299999998</v>
      </c>
      <c r="T748" s="128">
        <f t="shared" si="173"/>
        <v>6410.459182209469</v>
      </c>
      <c r="U748" s="128">
        <v>7933.7654232424675</v>
      </c>
      <c r="V748" s="257">
        <f t="shared" si="179"/>
        <v>1523.3062410329985</v>
      </c>
      <c r="W748" s="257">
        <f t="shared" si="185"/>
        <v>7906.7965088474411</v>
      </c>
      <c r="X748" s="257">
        <v>0</v>
      </c>
      <c r="Y748" s="258">
        <v>0</v>
      </c>
      <c r="Z748" s="258">
        <v>0</v>
      </c>
      <c r="AA748" s="258">
        <v>0</v>
      </c>
      <c r="AB748" s="258">
        <v>0</v>
      </c>
      <c r="AC748" s="258">
        <v>0</v>
      </c>
      <c r="AD748" s="258">
        <v>0</v>
      </c>
      <c r="AE748" s="258">
        <v>530</v>
      </c>
      <c r="AF748" s="257">
        <f t="shared" si="186"/>
        <v>7906.7965088474411</v>
      </c>
      <c r="AG748" s="258">
        <v>0</v>
      </c>
      <c r="AH748" s="257">
        <v>0</v>
      </c>
      <c r="AI748" s="258">
        <v>0</v>
      </c>
      <c r="AJ748" s="257">
        <v>0</v>
      </c>
      <c r="AK748" s="258">
        <v>0</v>
      </c>
      <c r="AL748" s="258">
        <v>0</v>
      </c>
      <c r="AM748" s="258">
        <v>0</v>
      </c>
      <c r="AN748" s="258"/>
      <c r="AO748" s="258">
        <v>0</v>
      </c>
    </row>
    <row r="749" spans="1:41" s="259" customFormat="1" ht="36" customHeight="1" x14ac:dyDescent="0.25">
      <c r="A749" s="259">
        <v>1</v>
      </c>
      <c r="B749" s="135">
        <f>SUBTOTAL(103,$A$552:A749)</f>
        <v>193</v>
      </c>
      <c r="C749" s="94" t="s">
        <v>629</v>
      </c>
      <c r="D749" s="124">
        <v>1994</v>
      </c>
      <c r="E749" s="124"/>
      <c r="F749" s="129" t="s">
        <v>269</v>
      </c>
      <c r="G749" s="124">
        <v>9</v>
      </c>
      <c r="H749" s="124" t="s">
        <v>306</v>
      </c>
      <c r="I749" s="125">
        <v>2814.2</v>
      </c>
      <c r="J749" s="125">
        <v>2472.3000000000002</v>
      </c>
      <c r="K749" s="125">
        <v>2197.6999999999998</v>
      </c>
      <c r="L749" s="126">
        <v>95</v>
      </c>
      <c r="M749" s="124" t="s">
        <v>267</v>
      </c>
      <c r="N749" s="124" t="s">
        <v>271</v>
      </c>
      <c r="O749" s="127" t="s">
        <v>709</v>
      </c>
      <c r="P749" s="128">
        <v>1806134.26</v>
      </c>
      <c r="Q749" s="128">
        <v>0</v>
      </c>
      <c r="R749" s="128">
        <v>0</v>
      </c>
      <c r="S749" s="128">
        <f t="shared" si="184"/>
        <v>1806134.26</v>
      </c>
      <c r="T749" s="128">
        <f t="shared" si="173"/>
        <v>641.79314192310426</v>
      </c>
      <c r="U749" s="128">
        <v>873.35654893042431</v>
      </c>
      <c r="V749" s="257">
        <f t="shared" si="179"/>
        <v>231.56340700732005</v>
      </c>
      <c r="W749" s="257">
        <f t="shared" si="185"/>
        <v>873.35654893042431</v>
      </c>
      <c r="X749" s="257">
        <v>0</v>
      </c>
      <c r="Y749" s="258">
        <v>0</v>
      </c>
      <c r="Z749" s="258">
        <v>0</v>
      </c>
      <c r="AA749" s="258">
        <v>0</v>
      </c>
      <c r="AB749" s="258">
        <v>0</v>
      </c>
      <c r="AC749" s="258">
        <v>1</v>
      </c>
      <c r="AD749" s="257">
        <f>2457800*AC749/I749</f>
        <v>873.35654893042431</v>
      </c>
      <c r="AE749" s="258">
        <v>0</v>
      </c>
      <c r="AF749" s="257">
        <v>0</v>
      </c>
      <c r="AG749" s="258">
        <v>0</v>
      </c>
      <c r="AH749" s="257">
        <v>0</v>
      </c>
      <c r="AI749" s="258">
        <v>0</v>
      </c>
      <c r="AJ749" s="257">
        <v>0</v>
      </c>
      <c r="AK749" s="258">
        <v>0</v>
      </c>
      <c r="AL749" s="258">
        <v>0</v>
      </c>
      <c r="AM749" s="258">
        <v>0</v>
      </c>
      <c r="AN749" s="258"/>
      <c r="AO749" s="258">
        <v>0</v>
      </c>
    </row>
    <row r="750" spans="1:41" s="259" customFormat="1" ht="36" customHeight="1" x14ac:dyDescent="0.25">
      <c r="A750" s="259">
        <v>1</v>
      </c>
      <c r="B750" s="135">
        <f>SUBTOTAL(103,$A$552:A750)</f>
        <v>194</v>
      </c>
      <c r="C750" s="94" t="s">
        <v>636</v>
      </c>
      <c r="D750" s="124">
        <v>1972</v>
      </c>
      <c r="E750" s="124"/>
      <c r="F750" s="129" t="s">
        <v>269</v>
      </c>
      <c r="G750" s="124" t="s">
        <v>353</v>
      </c>
      <c r="H750" s="124" t="s">
        <v>310</v>
      </c>
      <c r="I750" s="125">
        <v>2806.29</v>
      </c>
      <c r="J750" s="125">
        <v>2806.29</v>
      </c>
      <c r="K750" s="125">
        <v>2806.29</v>
      </c>
      <c r="L750" s="126">
        <v>150</v>
      </c>
      <c r="M750" s="124" t="s">
        <v>267</v>
      </c>
      <c r="N750" s="124" t="s">
        <v>285</v>
      </c>
      <c r="O750" s="127" t="s">
        <v>270</v>
      </c>
      <c r="P750" s="128">
        <v>5435521.2799999993</v>
      </c>
      <c r="Q750" s="128">
        <v>0</v>
      </c>
      <c r="R750" s="128">
        <v>0</v>
      </c>
      <c r="S750" s="128">
        <f t="shared" ref="S750:S756" si="187">P750-Q750-R750</f>
        <v>5435521.2799999993</v>
      </c>
      <c r="T750" s="128">
        <f t="shared" si="173"/>
        <v>1936.9064779477528</v>
      </c>
      <c r="U750" s="128">
        <v>2453.8479629689018</v>
      </c>
      <c r="V750" s="257">
        <f t="shared" ref="V750:V756" si="188">U750-T750</f>
        <v>516.94148502114899</v>
      </c>
      <c r="W750" s="257">
        <f t="shared" ref="W750:W756" si="189">X750+Y750+Z750+AA750+AB750+AD750+AF750+AH750+AJ750+AL750+AN750+AO750</f>
        <v>2445.5067010180701</v>
      </c>
      <c r="X750" s="257">
        <v>0</v>
      </c>
      <c r="Y750" s="258">
        <v>0</v>
      </c>
      <c r="Z750" s="258">
        <v>0</v>
      </c>
      <c r="AA750" s="258">
        <v>0</v>
      </c>
      <c r="AB750" s="258">
        <v>0</v>
      </c>
      <c r="AC750" s="258">
        <v>0</v>
      </c>
      <c r="AD750" s="258">
        <v>0</v>
      </c>
      <c r="AE750" s="258">
        <v>1100</v>
      </c>
      <c r="AF750" s="257">
        <f t="shared" ref="AF750:AF762" si="190">6238.91*AE750/I750</f>
        <v>2445.5067010180701</v>
      </c>
      <c r="AG750" s="258">
        <v>0</v>
      </c>
      <c r="AH750" s="257">
        <v>0</v>
      </c>
      <c r="AI750" s="258">
        <v>0</v>
      </c>
      <c r="AJ750" s="257">
        <v>0</v>
      </c>
      <c r="AK750" s="258">
        <v>0</v>
      </c>
      <c r="AL750" s="258">
        <v>0</v>
      </c>
      <c r="AM750" s="258">
        <v>0</v>
      </c>
      <c r="AN750" s="258"/>
      <c r="AO750" s="258">
        <v>0</v>
      </c>
    </row>
    <row r="751" spans="1:41" s="259" customFormat="1" ht="36" customHeight="1" x14ac:dyDescent="0.25">
      <c r="A751" s="259">
        <v>1</v>
      </c>
      <c r="B751" s="135">
        <f>SUBTOTAL(103,$A$552:A751)</f>
        <v>195</v>
      </c>
      <c r="C751" s="94" t="s">
        <v>627</v>
      </c>
      <c r="D751" s="124">
        <v>1981</v>
      </c>
      <c r="E751" s="124"/>
      <c r="F751" s="129" t="s">
        <v>269</v>
      </c>
      <c r="G751" s="124" t="s">
        <v>310</v>
      </c>
      <c r="H751" s="124" t="s">
        <v>310</v>
      </c>
      <c r="I751" s="125">
        <v>2423.8000000000002</v>
      </c>
      <c r="J751" s="125">
        <v>2218.9</v>
      </c>
      <c r="K751" s="125">
        <v>2218.9</v>
      </c>
      <c r="L751" s="126">
        <v>110</v>
      </c>
      <c r="M751" s="124" t="s">
        <v>267</v>
      </c>
      <c r="N751" s="124" t="s">
        <v>271</v>
      </c>
      <c r="O751" s="127" t="s">
        <v>709</v>
      </c>
      <c r="P751" s="128">
        <v>4333883.8899999997</v>
      </c>
      <c r="Q751" s="128">
        <v>0</v>
      </c>
      <c r="R751" s="128">
        <v>0</v>
      </c>
      <c r="S751" s="128">
        <f t="shared" si="187"/>
        <v>4333883.8899999997</v>
      </c>
      <c r="T751" s="128">
        <f t="shared" si="173"/>
        <v>1788.0534243749482</v>
      </c>
      <c r="U751" s="128">
        <v>2256.0755693539068</v>
      </c>
      <c r="V751" s="257">
        <f t="shared" si="188"/>
        <v>468.02214497895852</v>
      </c>
      <c r="W751" s="257">
        <f t="shared" si="189"/>
        <v>2248.4065867645841</v>
      </c>
      <c r="X751" s="257">
        <v>0</v>
      </c>
      <c r="Y751" s="258">
        <v>0</v>
      </c>
      <c r="Z751" s="258">
        <v>0</v>
      </c>
      <c r="AA751" s="258">
        <v>0</v>
      </c>
      <c r="AB751" s="258">
        <v>0</v>
      </c>
      <c r="AC751" s="258">
        <v>0</v>
      </c>
      <c r="AD751" s="258">
        <v>0</v>
      </c>
      <c r="AE751" s="258">
        <v>873.5</v>
      </c>
      <c r="AF751" s="257">
        <f t="shared" si="190"/>
        <v>2248.4065867645841</v>
      </c>
      <c r="AG751" s="258">
        <v>0</v>
      </c>
      <c r="AH751" s="257">
        <v>0</v>
      </c>
      <c r="AI751" s="258">
        <v>0</v>
      </c>
      <c r="AJ751" s="257">
        <v>0</v>
      </c>
      <c r="AK751" s="258">
        <v>0</v>
      </c>
      <c r="AL751" s="258">
        <v>0</v>
      </c>
      <c r="AM751" s="258">
        <v>0</v>
      </c>
      <c r="AN751" s="258"/>
      <c r="AO751" s="258">
        <v>0</v>
      </c>
    </row>
    <row r="752" spans="1:41" s="259" customFormat="1" ht="36" customHeight="1" x14ac:dyDescent="0.25">
      <c r="A752" s="259">
        <v>1</v>
      </c>
      <c r="B752" s="135">
        <f>SUBTOTAL(103,$A$552:A752)</f>
        <v>196</v>
      </c>
      <c r="C752" s="94" t="s">
        <v>1607</v>
      </c>
      <c r="D752" s="124">
        <v>1969</v>
      </c>
      <c r="E752" s="124"/>
      <c r="F752" s="129" t="s">
        <v>1608</v>
      </c>
      <c r="G752" s="124">
        <v>2</v>
      </c>
      <c r="H752" s="124" t="s">
        <v>305</v>
      </c>
      <c r="I752" s="128">
        <v>783.74</v>
      </c>
      <c r="J752" s="128">
        <v>722.64</v>
      </c>
      <c r="K752" s="128">
        <v>722.64</v>
      </c>
      <c r="L752" s="126">
        <v>28</v>
      </c>
      <c r="M752" s="124" t="s">
        <v>267</v>
      </c>
      <c r="N752" s="124" t="s">
        <v>271</v>
      </c>
      <c r="O752" s="127" t="s">
        <v>712</v>
      </c>
      <c r="P752" s="128">
        <v>3806073.8200000003</v>
      </c>
      <c r="Q752" s="128">
        <v>0</v>
      </c>
      <c r="R752" s="128">
        <v>0</v>
      </c>
      <c r="S752" s="128">
        <f t="shared" si="187"/>
        <v>3806073.8200000003</v>
      </c>
      <c r="T752" s="128">
        <f t="shared" si="173"/>
        <v>4856.2965013907678</v>
      </c>
      <c r="U752" s="128">
        <v>6118.4902391099085</v>
      </c>
      <c r="V752" s="257">
        <f t="shared" si="188"/>
        <v>1262.1937377191407</v>
      </c>
      <c r="W752" s="257">
        <f t="shared" si="189"/>
        <v>6097.6919131344575</v>
      </c>
      <c r="X752" s="257">
        <v>0</v>
      </c>
      <c r="Y752" s="258">
        <v>0</v>
      </c>
      <c r="Z752" s="258">
        <v>0</v>
      </c>
      <c r="AA752" s="258">
        <v>0</v>
      </c>
      <c r="AB752" s="258">
        <v>0</v>
      </c>
      <c r="AC752" s="258">
        <v>0</v>
      </c>
      <c r="AD752" s="258">
        <v>0</v>
      </c>
      <c r="AE752" s="258">
        <v>766</v>
      </c>
      <c r="AF752" s="257">
        <f t="shared" si="190"/>
        <v>6097.6919131344575</v>
      </c>
      <c r="AG752" s="258">
        <v>0</v>
      </c>
      <c r="AH752" s="257">
        <v>0</v>
      </c>
      <c r="AI752" s="258">
        <v>0</v>
      </c>
      <c r="AJ752" s="257">
        <v>0</v>
      </c>
      <c r="AK752" s="258">
        <v>0</v>
      </c>
      <c r="AL752" s="258">
        <v>0</v>
      </c>
      <c r="AM752" s="258">
        <v>0</v>
      </c>
      <c r="AN752" s="258"/>
      <c r="AO752" s="258">
        <v>0</v>
      </c>
    </row>
    <row r="753" spans="1:41" s="259" customFormat="1" ht="36" customHeight="1" x14ac:dyDescent="0.25">
      <c r="A753" s="259">
        <v>1</v>
      </c>
      <c r="B753" s="135">
        <f>SUBTOTAL(103,$A$552:A753)</f>
        <v>197</v>
      </c>
      <c r="C753" s="94" t="s">
        <v>1630</v>
      </c>
      <c r="D753" s="124">
        <v>1978</v>
      </c>
      <c r="E753" s="124"/>
      <c r="F753" s="129" t="s">
        <v>320</v>
      </c>
      <c r="G753" s="124">
        <v>5</v>
      </c>
      <c r="H753" s="124" t="s">
        <v>310</v>
      </c>
      <c r="I753" s="125">
        <v>2991.2</v>
      </c>
      <c r="J753" s="125">
        <v>2708</v>
      </c>
      <c r="K753" s="125">
        <v>2708</v>
      </c>
      <c r="L753" s="126">
        <v>123</v>
      </c>
      <c r="M753" s="124" t="s">
        <v>267</v>
      </c>
      <c r="N753" s="124" t="s">
        <v>271</v>
      </c>
      <c r="O753" s="127" t="s">
        <v>1664</v>
      </c>
      <c r="P753" s="128">
        <v>2693070.98</v>
      </c>
      <c r="Q753" s="128">
        <v>0</v>
      </c>
      <c r="R753" s="128">
        <v>0</v>
      </c>
      <c r="S753" s="128">
        <f t="shared" si="187"/>
        <v>2693070.98</v>
      </c>
      <c r="T753" s="128">
        <f t="shared" si="173"/>
        <v>900.33129847552823</v>
      </c>
      <c r="U753" s="128">
        <v>1527.2293556766515</v>
      </c>
      <c r="V753" s="257">
        <f t="shared" si="188"/>
        <v>626.89805720112327</v>
      </c>
      <c r="W753" s="257">
        <f t="shared" si="189"/>
        <v>1522.0379093006152</v>
      </c>
      <c r="X753" s="257">
        <v>0</v>
      </c>
      <c r="Y753" s="258">
        <v>0</v>
      </c>
      <c r="Z753" s="258">
        <v>0</v>
      </c>
      <c r="AA753" s="258">
        <v>0</v>
      </c>
      <c r="AB753" s="258">
        <v>0</v>
      </c>
      <c r="AC753" s="258">
        <v>0</v>
      </c>
      <c r="AD753" s="258">
        <v>0</v>
      </c>
      <c r="AE753" s="258">
        <v>729.73</v>
      </c>
      <c r="AF753" s="257">
        <f t="shared" si="190"/>
        <v>1522.0379093006152</v>
      </c>
      <c r="AG753" s="258">
        <v>0</v>
      </c>
      <c r="AH753" s="257">
        <v>0</v>
      </c>
      <c r="AI753" s="258">
        <v>0</v>
      </c>
      <c r="AJ753" s="257">
        <v>0</v>
      </c>
      <c r="AK753" s="258">
        <v>0</v>
      </c>
      <c r="AL753" s="258">
        <v>0</v>
      </c>
      <c r="AM753" s="258">
        <v>0</v>
      </c>
      <c r="AN753" s="258"/>
      <c r="AO753" s="258">
        <v>0</v>
      </c>
    </row>
    <row r="754" spans="1:41" s="259" customFormat="1" ht="36" customHeight="1" x14ac:dyDescent="0.25">
      <c r="A754" s="259">
        <v>1</v>
      </c>
      <c r="B754" s="135">
        <f>SUBTOTAL(103,$A$552:A754)</f>
        <v>198</v>
      </c>
      <c r="C754" s="94" t="s">
        <v>1631</v>
      </c>
      <c r="D754" s="124">
        <v>1955</v>
      </c>
      <c r="E754" s="124"/>
      <c r="F754" s="129" t="s">
        <v>1348</v>
      </c>
      <c r="G754" s="124">
        <v>2</v>
      </c>
      <c r="H754" s="124" t="s">
        <v>306</v>
      </c>
      <c r="I754" s="125">
        <v>370.1</v>
      </c>
      <c r="J754" s="125">
        <v>335.1</v>
      </c>
      <c r="K754" s="125">
        <v>335.1</v>
      </c>
      <c r="L754" s="126">
        <v>28</v>
      </c>
      <c r="M754" s="124" t="s">
        <v>267</v>
      </c>
      <c r="N754" s="124" t="s">
        <v>271</v>
      </c>
      <c r="O754" s="127" t="s">
        <v>709</v>
      </c>
      <c r="P754" s="128">
        <v>1966768.51</v>
      </c>
      <c r="Q754" s="128">
        <v>0</v>
      </c>
      <c r="R754" s="128">
        <v>0</v>
      </c>
      <c r="S754" s="128">
        <f t="shared" si="187"/>
        <v>1966768.51</v>
      </c>
      <c r="T754" s="128">
        <f t="shared" si="173"/>
        <v>5314.1543096460409</v>
      </c>
      <c r="U754" s="128">
        <v>6491.4161477978914</v>
      </c>
      <c r="V754" s="257">
        <f t="shared" si="188"/>
        <v>1177.2618381518505</v>
      </c>
      <c r="W754" s="257">
        <f t="shared" si="189"/>
        <v>6469.350150499864</v>
      </c>
      <c r="X754" s="257">
        <v>0</v>
      </c>
      <c r="Y754" s="258">
        <v>0</v>
      </c>
      <c r="Z754" s="258">
        <v>0</v>
      </c>
      <c r="AA754" s="258">
        <v>0</v>
      </c>
      <c r="AB754" s="258">
        <v>0</v>
      </c>
      <c r="AC754" s="258">
        <v>0</v>
      </c>
      <c r="AD754" s="258">
        <v>0</v>
      </c>
      <c r="AE754" s="258">
        <v>383.77</v>
      </c>
      <c r="AF754" s="257">
        <f t="shared" si="190"/>
        <v>6469.350150499864</v>
      </c>
      <c r="AG754" s="258">
        <v>0</v>
      </c>
      <c r="AH754" s="257">
        <v>0</v>
      </c>
      <c r="AI754" s="258">
        <v>0</v>
      </c>
      <c r="AJ754" s="257">
        <v>0</v>
      </c>
      <c r="AK754" s="258">
        <v>0</v>
      </c>
      <c r="AL754" s="258">
        <v>0</v>
      </c>
      <c r="AM754" s="258">
        <v>0</v>
      </c>
      <c r="AN754" s="258"/>
      <c r="AO754" s="258">
        <v>0</v>
      </c>
    </row>
    <row r="755" spans="1:41" s="259" customFormat="1" ht="36" customHeight="1" x14ac:dyDescent="0.25">
      <c r="A755" s="259">
        <v>1</v>
      </c>
      <c r="B755" s="135">
        <f>SUBTOTAL(103,$A$552:A755)</f>
        <v>199</v>
      </c>
      <c r="C755" s="94" t="s">
        <v>1632</v>
      </c>
      <c r="D755" s="124">
        <v>1962</v>
      </c>
      <c r="E755" s="124"/>
      <c r="F755" s="129" t="s">
        <v>1348</v>
      </c>
      <c r="G755" s="124">
        <v>2</v>
      </c>
      <c r="H755" s="124" t="s">
        <v>310</v>
      </c>
      <c r="I755" s="125">
        <v>1305.4000000000001</v>
      </c>
      <c r="J755" s="125">
        <v>709.6</v>
      </c>
      <c r="K755" s="125">
        <v>709.6</v>
      </c>
      <c r="L755" s="126">
        <v>27</v>
      </c>
      <c r="M755" s="124" t="s">
        <v>267</v>
      </c>
      <c r="N755" s="124" t="s">
        <v>268</v>
      </c>
      <c r="O755" s="127" t="s">
        <v>270</v>
      </c>
      <c r="P755" s="128">
        <v>3766350.55</v>
      </c>
      <c r="Q755" s="128">
        <v>0</v>
      </c>
      <c r="R755" s="128">
        <v>0</v>
      </c>
      <c r="S755" s="128">
        <f t="shared" si="187"/>
        <v>3766350.55</v>
      </c>
      <c r="T755" s="128">
        <f t="shared" si="173"/>
        <v>2885.2080205301054</v>
      </c>
      <c r="U755" s="128">
        <v>3485.4497410755316</v>
      </c>
      <c r="V755" s="257">
        <f t="shared" si="188"/>
        <v>600.24172054542623</v>
      </c>
      <c r="W755" s="257">
        <f t="shared" si="189"/>
        <v>3473.6017986823958</v>
      </c>
      <c r="X755" s="257">
        <v>0</v>
      </c>
      <c r="Y755" s="258">
        <v>0</v>
      </c>
      <c r="Z755" s="258">
        <v>0</v>
      </c>
      <c r="AA755" s="258">
        <v>0</v>
      </c>
      <c r="AB755" s="258">
        <v>0</v>
      </c>
      <c r="AC755" s="258">
        <v>0</v>
      </c>
      <c r="AD755" s="258">
        <v>0</v>
      </c>
      <c r="AE755" s="258">
        <v>726.8</v>
      </c>
      <c r="AF755" s="257">
        <f t="shared" si="190"/>
        <v>3473.6017986823958</v>
      </c>
      <c r="AG755" s="258">
        <v>0</v>
      </c>
      <c r="AH755" s="257">
        <v>0</v>
      </c>
      <c r="AI755" s="258">
        <v>0</v>
      </c>
      <c r="AJ755" s="257">
        <v>0</v>
      </c>
      <c r="AK755" s="258">
        <v>0</v>
      </c>
      <c r="AL755" s="258">
        <v>0</v>
      </c>
      <c r="AM755" s="258">
        <v>0</v>
      </c>
      <c r="AN755" s="258"/>
      <c r="AO755" s="258">
        <v>0</v>
      </c>
    </row>
    <row r="756" spans="1:41" s="259" customFormat="1" ht="36" customHeight="1" x14ac:dyDescent="0.25">
      <c r="A756" s="259">
        <v>1</v>
      </c>
      <c r="B756" s="135">
        <f>SUBTOTAL(103,$A$552:A756)</f>
        <v>200</v>
      </c>
      <c r="C756" s="94" t="s">
        <v>1633</v>
      </c>
      <c r="D756" s="124">
        <v>1954</v>
      </c>
      <c r="E756" s="124"/>
      <c r="F756" s="129" t="s">
        <v>1348</v>
      </c>
      <c r="G756" s="124">
        <v>2</v>
      </c>
      <c r="H756" s="124" t="s">
        <v>305</v>
      </c>
      <c r="I756" s="125">
        <v>510.78</v>
      </c>
      <c r="J756" s="125">
        <v>472.98</v>
      </c>
      <c r="K756" s="125">
        <v>472.98</v>
      </c>
      <c r="L756" s="126">
        <v>19</v>
      </c>
      <c r="M756" s="124" t="s">
        <v>267</v>
      </c>
      <c r="N756" s="124" t="s">
        <v>271</v>
      </c>
      <c r="O756" s="127" t="s">
        <v>1322</v>
      </c>
      <c r="P756" s="128">
        <v>2195301.44</v>
      </c>
      <c r="Q756" s="128">
        <v>0</v>
      </c>
      <c r="R756" s="128">
        <v>0</v>
      </c>
      <c r="S756" s="128">
        <f t="shared" si="187"/>
        <v>2195301.44</v>
      </c>
      <c r="T756" s="128">
        <f t="shared" si="173"/>
        <v>4297.9393085085558</v>
      </c>
      <c r="U756" s="128">
        <v>5213.515842828615</v>
      </c>
      <c r="V756" s="257">
        <f t="shared" si="188"/>
        <v>915.57653432005918</v>
      </c>
      <c r="W756" s="257">
        <f t="shared" si="189"/>
        <v>5195.7937581737733</v>
      </c>
      <c r="X756" s="257">
        <v>0</v>
      </c>
      <c r="Y756" s="258">
        <v>0</v>
      </c>
      <c r="Z756" s="258">
        <v>0</v>
      </c>
      <c r="AA756" s="258">
        <v>0</v>
      </c>
      <c r="AB756" s="258">
        <v>0</v>
      </c>
      <c r="AC756" s="258">
        <v>0</v>
      </c>
      <c r="AD756" s="258">
        <v>0</v>
      </c>
      <c r="AE756" s="258">
        <v>425.38</v>
      </c>
      <c r="AF756" s="257">
        <f t="shared" si="190"/>
        <v>5195.7937581737733</v>
      </c>
      <c r="AG756" s="258">
        <v>0</v>
      </c>
      <c r="AH756" s="257">
        <v>0</v>
      </c>
      <c r="AI756" s="258">
        <v>0</v>
      </c>
      <c r="AJ756" s="257">
        <v>0</v>
      </c>
      <c r="AK756" s="258">
        <v>0</v>
      </c>
      <c r="AL756" s="258">
        <v>0</v>
      </c>
      <c r="AM756" s="258">
        <v>0</v>
      </c>
      <c r="AN756" s="258"/>
      <c r="AO756" s="258">
        <v>0</v>
      </c>
    </row>
    <row r="757" spans="1:41" s="259" customFormat="1" ht="36" customHeight="1" x14ac:dyDescent="0.25">
      <c r="A757" s="259">
        <v>1</v>
      </c>
      <c r="B757" s="135">
        <f>SUBTOTAL(103,$A$552:A757)</f>
        <v>201</v>
      </c>
      <c r="C757" s="94" t="s">
        <v>623</v>
      </c>
      <c r="D757" s="124">
        <v>1965</v>
      </c>
      <c r="E757" s="124"/>
      <c r="F757" s="129" t="s">
        <v>269</v>
      </c>
      <c r="G757" s="124">
        <v>5</v>
      </c>
      <c r="H757" s="124" t="s">
        <v>305</v>
      </c>
      <c r="I757" s="125">
        <v>4985.66</v>
      </c>
      <c r="J757" s="125">
        <v>2392.1999999999998</v>
      </c>
      <c r="K757" s="125">
        <v>2300.6</v>
      </c>
      <c r="L757" s="126">
        <v>185</v>
      </c>
      <c r="M757" s="124" t="s">
        <v>267</v>
      </c>
      <c r="N757" s="124" t="s">
        <v>271</v>
      </c>
      <c r="O757" s="127" t="s">
        <v>710</v>
      </c>
      <c r="P757" s="128">
        <v>16961137.330000002</v>
      </c>
      <c r="Q757" s="128">
        <v>0</v>
      </c>
      <c r="R757" s="128">
        <v>0</v>
      </c>
      <c r="S757" s="128">
        <f t="shared" si="184"/>
        <v>16961137.330000002</v>
      </c>
      <c r="T757" s="128">
        <f t="shared" si="173"/>
        <v>3401.9843571362671</v>
      </c>
      <c r="U757" s="128">
        <v>7178.9769819843314</v>
      </c>
      <c r="V757" s="257">
        <f t="shared" si="179"/>
        <v>3776.9926248480642</v>
      </c>
      <c r="W757" s="257">
        <f t="shared" si="185"/>
        <v>1376.5080250157453</v>
      </c>
      <c r="X757" s="257">
        <v>0</v>
      </c>
      <c r="Y757" s="258">
        <v>0</v>
      </c>
      <c r="Z757" s="258">
        <v>0</v>
      </c>
      <c r="AA757" s="258">
        <v>0</v>
      </c>
      <c r="AB757" s="258">
        <v>0</v>
      </c>
      <c r="AC757" s="258">
        <v>0</v>
      </c>
      <c r="AD757" s="258">
        <v>0</v>
      </c>
      <c r="AE757" s="258">
        <v>1100</v>
      </c>
      <c r="AF757" s="257">
        <f t="shared" si="190"/>
        <v>1376.5080250157453</v>
      </c>
      <c r="AG757" s="258">
        <v>0</v>
      </c>
      <c r="AH757" s="257">
        <v>0</v>
      </c>
      <c r="AI757" s="258">
        <v>0</v>
      </c>
      <c r="AJ757" s="257">
        <v>0</v>
      </c>
      <c r="AK757" s="258">
        <v>0</v>
      </c>
      <c r="AL757" s="258">
        <v>0</v>
      </c>
      <c r="AM757" s="258">
        <v>0</v>
      </c>
      <c r="AN757" s="258"/>
      <c r="AO757" s="258">
        <v>0</v>
      </c>
    </row>
    <row r="758" spans="1:41" s="259" customFormat="1" ht="36" customHeight="1" x14ac:dyDescent="0.25">
      <c r="A758" s="259">
        <v>1</v>
      </c>
      <c r="B758" s="135">
        <f>SUBTOTAL(103,$A$552:A758)</f>
        <v>202</v>
      </c>
      <c r="C758" s="94" t="s">
        <v>1192</v>
      </c>
      <c r="D758" s="124">
        <v>1967</v>
      </c>
      <c r="E758" s="124"/>
      <c r="F758" s="129" t="s">
        <v>332</v>
      </c>
      <c r="G758" s="124">
        <v>2</v>
      </c>
      <c r="H758" s="124" t="s">
        <v>305</v>
      </c>
      <c r="I758" s="125">
        <v>1065.5</v>
      </c>
      <c r="J758" s="125">
        <v>510.7</v>
      </c>
      <c r="K758" s="125">
        <v>510.7</v>
      </c>
      <c r="L758" s="126">
        <v>34</v>
      </c>
      <c r="M758" s="124" t="s">
        <v>267</v>
      </c>
      <c r="N758" s="124" t="s">
        <v>271</v>
      </c>
      <c r="O758" s="127" t="s">
        <v>1320</v>
      </c>
      <c r="P758" s="128">
        <v>1562740.68</v>
      </c>
      <c r="Q758" s="128">
        <v>0</v>
      </c>
      <c r="R758" s="128">
        <v>0</v>
      </c>
      <c r="S758" s="128">
        <f t="shared" si="184"/>
        <v>1562740.68</v>
      </c>
      <c r="T758" s="128">
        <f t="shared" si="173"/>
        <v>1466.6735617081181</v>
      </c>
      <c r="U758" s="128">
        <v>9856.9208221492281</v>
      </c>
      <c r="V758" s="257">
        <f t="shared" si="179"/>
        <v>8390.2472604411105</v>
      </c>
      <c r="W758" s="257">
        <f t="shared" si="185"/>
        <v>5114.6765696855937</v>
      </c>
      <c r="X758" s="257">
        <v>0</v>
      </c>
      <c r="Y758" s="258">
        <v>0</v>
      </c>
      <c r="Z758" s="258">
        <v>0</v>
      </c>
      <c r="AA758" s="258">
        <v>0</v>
      </c>
      <c r="AB758" s="258">
        <v>0</v>
      </c>
      <c r="AC758" s="258">
        <v>0</v>
      </c>
      <c r="AD758" s="258">
        <v>0</v>
      </c>
      <c r="AE758" s="258">
        <v>873.5</v>
      </c>
      <c r="AF758" s="257">
        <f t="shared" si="190"/>
        <v>5114.6765696855937</v>
      </c>
      <c r="AG758" s="258">
        <v>0</v>
      </c>
      <c r="AH758" s="257">
        <v>0</v>
      </c>
      <c r="AI758" s="258">
        <v>0</v>
      </c>
      <c r="AJ758" s="257">
        <v>0</v>
      </c>
      <c r="AK758" s="258">
        <v>0</v>
      </c>
      <c r="AL758" s="258">
        <v>0</v>
      </c>
      <c r="AM758" s="258">
        <v>0</v>
      </c>
      <c r="AN758" s="258"/>
      <c r="AO758" s="258">
        <v>0</v>
      </c>
    </row>
    <row r="759" spans="1:41" s="259" customFormat="1" ht="36" customHeight="1" x14ac:dyDescent="0.25">
      <c r="A759" s="259">
        <v>1</v>
      </c>
      <c r="B759" s="135">
        <f>SUBTOTAL(103,$A$552:A759)</f>
        <v>203</v>
      </c>
      <c r="C759" s="94" t="s">
        <v>622</v>
      </c>
      <c r="D759" s="124">
        <v>1967</v>
      </c>
      <c r="E759" s="124"/>
      <c r="F759" s="129" t="s">
        <v>269</v>
      </c>
      <c r="G759" s="124">
        <v>5</v>
      </c>
      <c r="H759" s="124" t="s">
        <v>310</v>
      </c>
      <c r="I759" s="128">
        <v>3578.24</v>
      </c>
      <c r="J759" s="128">
        <v>3300</v>
      </c>
      <c r="K759" s="128">
        <v>3012.01</v>
      </c>
      <c r="L759" s="126">
        <v>117</v>
      </c>
      <c r="M759" s="124" t="s">
        <v>267</v>
      </c>
      <c r="N759" s="124" t="s">
        <v>271</v>
      </c>
      <c r="O759" s="127" t="s">
        <v>709</v>
      </c>
      <c r="P759" s="128">
        <v>8139534.3700000001</v>
      </c>
      <c r="Q759" s="128">
        <v>0</v>
      </c>
      <c r="R759" s="128">
        <v>0</v>
      </c>
      <c r="S759" s="128">
        <f t="shared" si="184"/>
        <v>8139534.3700000001</v>
      </c>
      <c r="T759" s="128">
        <f t="shared" si="173"/>
        <v>2274.731256148274</v>
      </c>
      <c r="U759" s="128">
        <v>1883.4686992487927</v>
      </c>
      <c r="V759" s="257">
        <f t="shared" si="179"/>
        <v>-391.2625568994813</v>
      </c>
      <c r="W759" s="257">
        <f t="shared" si="185"/>
        <v>1335.5742096673225</v>
      </c>
      <c r="X759" s="257">
        <v>0</v>
      </c>
      <c r="Y759" s="258">
        <v>0</v>
      </c>
      <c r="Z759" s="258">
        <v>0</v>
      </c>
      <c r="AA759" s="258">
        <v>0</v>
      </c>
      <c r="AB759" s="258">
        <v>0</v>
      </c>
      <c r="AC759" s="258">
        <v>0</v>
      </c>
      <c r="AD759" s="258">
        <v>0</v>
      </c>
      <c r="AE759" s="258">
        <v>766</v>
      </c>
      <c r="AF759" s="257">
        <f t="shared" si="190"/>
        <v>1335.5742096673225</v>
      </c>
      <c r="AG759" s="258">
        <v>0</v>
      </c>
      <c r="AH759" s="257">
        <v>0</v>
      </c>
      <c r="AI759" s="258">
        <v>0</v>
      </c>
      <c r="AJ759" s="257">
        <v>0</v>
      </c>
      <c r="AK759" s="258">
        <v>0</v>
      </c>
      <c r="AL759" s="258">
        <v>0</v>
      </c>
      <c r="AM759" s="258">
        <v>0</v>
      </c>
      <c r="AN759" s="258"/>
      <c r="AO759" s="258">
        <v>0</v>
      </c>
    </row>
    <row r="760" spans="1:41" s="259" customFormat="1" ht="36" customHeight="1" x14ac:dyDescent="0.25">
      <c r="A760" s="259">
        <v>1</v>
      </c>
      <c r="B760" s="135">
        <f>SUBTOTAL(103,$A$552:A760)</f>
        <v>204</v>
      </c>
      <c r="C760" s="94" t="s">
        <v>1195</v>
      </c>
      <c r="D760" s="124">
        <v>1957</v>
      </c>
      <c r="E760" s="124"/>
      <c r="F760" s="129" t="s">
        <v>269</v>
      </c>
      <c r="G760" s="124">
        <v>2</v>
      </c>
      <c r="H760" s="124" t="s">
        <v>305</v>
      </c>
      <c r="I760" s="125">
        <v>821.4</v>
      </c>
      <c r="J760" s="125">
        <v>442.9</v>
      </c>
      <c r="K760" s="125">
        <v>442.9</v>
      </c>
      <c r="L760" s="126">
        <v>17</v>
      </c>
      <c r="M760" s="124" t="s">
        <v>267</v>
      </c>
      <c r="N760" s="124" t="s">
        <v>271</v>
      </c>
      <c r="O760" s="127" t="s">
        <v>1320</v>
      </c>
      <c r="P760" s="128">
        <v>833522.04</v>
      </c>
      <c r="Q760" s="128">
        <v>0</v>
      </c>
      <c r="R760" s="128">
        <v>0</v>
      </c>
      <c r="S760" s="128">
        <f t="shared" si="184"/>
        <v>833522.04</v>
      </c>
      <c r="T760" s="128">
        <f t="shared" si="173"/>
        <v>1014.7577794010227</v>
      </c>
      <c r="U760" s="128">
        <v>3345.83</v>
      </c>
      <c r="V760" s="257">
        <f t="shared" si="179"/>
        <v>2331.0722205989773</v>
      </c>
      <c r="W760" s="257">
        <f t="shared" si="185"/>
        <v>2914.9092898709519</v>
      </c>
      <c r="X760" s="257">
        <v>0</v>
      </c>
      <c r="Y760" s="258">
        <v>0</v>
      </c>
      <c r="Z760" s="258">
        <v>0</v>
      </c>
      <c r="AA760" s="258">
        <v>0</v>
      </c>
      <c r="AB760" s="258">
        <v>0</v>
      </c>
      <c r="AC760" s="258">
        <v>0</v>
      </c>
      <c r="AD760" s="258">
        <v>0</v>
      </c>
      <c r="AE760" s="258">
        <v>383.77</v>
      </c>
      <c r="AF760" s="257">
        <f t="shared" si="190"/>
        <v>2914.9092898709519</v>
      </c>
      <c r="AG760" s="258">
        <v>0</v>
      </c>
      <c r="AH760" s="257">
        <v>0</v>
      </c>
      <c r="AI760" s="258">
        <v>0</v>
      </c>
      <c r="AJ760" s="257">
        <v>0</v>
      </c>
      <c r="AK760" s="258">
        <v>0</v>
      </c>
      <c r="AL760" s="258">
        <v>0</v>
      </c>
      <c r="AM760" s="258">
        <v>0</v>
      </c>
      <c r="AN760" s="258"/>
      <c r="AO760" s="258">
        <v>0</v>
      </c>
    </row>
    <row r="761" spans="1:41" s="259" customFormat="1" ht="36" customHeight="1" x14ac:dyDescent="0.25">
      <c r="A761" s="259">
        <v>1</v>
      </c>
      <c r="B761" s="135">
        <f>SUBTOTAL(103,$A$552:A761)</f>
        <v>205</v>
      </c>
      <c r="C761" s="94" t="s">
        <v>1566</v>
      </c>
      <c r="D761" s="124">
        <v>1965</v>
      </c>
      <c r="E761" s="124"/>
      <c r="F761" s="129" t="s">
        <v>1585</v>
      </c>
      <c r="G761" s="124">
        <v>5</v>
      </c>
      <c r="H761" s="124" t="s">
        <v>314</v>
      </c>
      <c r="I761" s="125">
        <v>4032.79</v>
      </c>
      <c r="J761" s="125">
        <v>2461.4</v>
      </c>
      <c r="K761" s="125">
        <v>2461.4</v>
      </c>
      <c r="L761" s="126">
        <v>120</v>
      </c>
      <c r="M761" s="124" t="s">
        <v>267</v>
      </c>
      <c r="N761" s="124" t="s">
        <v>271</v>
      </c>
      <c r="O761" s="127" t="s">
        <v>711</v>
      </c>
      <c r="P761" s="128">
        <v>6146239.9500000002</v>
      </c>
      <c r="Q761" s="128">
        <v>0</v>
      </c>
      <c r="R761" s="128">
        <v>0</v>
      </c>
      <c r="S761" s="128">
        <f t="shared" si="184"/>
        <v>6146239.9500000002</v>
      </c>
      <c r="T761" s="128">
        <f t="shared" si="173"/>
        <v>1524.0664527535528</v>
      </c>
      <c r="U761" s="128">
        <v>1568.6217221824095</v>
      </c>
      <c r="V761" s="257">
        <f t="shared" si="179"/>
        <v>44.555269428856718</v>
      </c>
      <c r="W761" s="257">
        <f t="shared" si="185"/>
        <v>1124.3927375340645</v>
      </c>
      <c r="X761" s="257">
        <v>0</v>
      </c>
      <c r="Y761" s="258">
        <v>0</v>
      </c>
      <c r="Z761" s="258">
        <v>0</v>
      </c>
      <c r="AA761" s="258">
        <v>0</v>
      </c>
      <c r="AB761" s="258">
        <v>0</v>
      </c>
      <c r="AC761" s="258">
        <v>0</v>
      </c>
      <c r="AD761" s="258">
        <v>0</v>
      </c>
      <c r="AE761" s="258">
        <v>726.8</v>
      </c>
      <c r="AF761" s="257">
        <f t="shared" si="190"/>
        <v>1124.3927375340645</v>
      </c>
      <c r="AG761" s="258">
        <v>0</v>
      </c>
      <c r="AH761" s="257">
        <v>0</v>
      </c>
      <c r="AI761" s="258">
        <v>0</v>
      </c>
      <c r="AJ761" s="257">
        <v>0</v>
      </c>
      <c r="AK761" s="258">
        <v>0</v>
      </c>
      <c r="AL761" s="258">
        <v>0</v>
      </c>
      <c r="AM761" s="258">
        <v>0</v>
      </c>
      <c r="AN761" s="258"/>
      <c r="AO761" s="258">
        <v>0</v>
      </c>
    </row>
    <row r="762" spans="1:41" s="259" customFormat="1" ht="36" customHeight="1" x14ac:dyDescent="0.25">
      <c r="A762" s="259">
        <v>1</v>
      </c>
      <c r="B762" s="135">
        <f>SUBTOTAL(103,$A$552:A762)</f>
        <v>206</v>
      </c>
      <c r="C762" s="94" t="s">
        <v>1954</v>
      </c>
      <c r="D762" s="124">
        <v>1963</v>
      </c>
      <c r="E762" s="124"/>
      <c r="F762" s="129" t="s">
        <v>1585</v>
      </c>
      <c r="G762" s="124" t="s">
        <v>305</v>
      </c>
      <c r="H762" s="124" t="s">
        <v>305</v>
      </c>
      <c r="I762" s="125">
        <v>695.5</v>
      </c>
      <c r="J762" s="125">
        <v>647.5</v>
      </c>
      <c r="K762" s="125">
        <v>647.5</v>
      </c>
      <c r="L762" s="126">
        <v>31</v>
      </c>
      <c r="M762" s="124" t="s">
        <v>267</v>
      </c>
      <c r="N762" s="124" t="s">
        <v>268</v>
      </c>
      <c r="O762" s="127" t="s">
        <v>270</v>
      </c>
      <c r="P762" s="128">
        <v>3646987.83</v>
      </c>
      <c r="Q762" s="128">
        <v>0</v>
      </c>
      <c r="R762" s="128">
        <v>0</v>
      </c>
      <c r="S762" s="128">
        <f t="shared" si="184"/>
        <v>3646987.83</v>
      </c>
      <c r="T762" s="128">
        <f t="shared" si="173"/>
        <v>5243.6920632638394</v>
      </c>
      <c r="U762" s="128">
        <v>5400.5952552120771</v>
      </c>
      <c r="V762" s="257">
        <f t="shared" si="179"/>
        <v>156.90319194823769</v>
      </c>
      <c r="W762" s="257">
        <f t="shared" si="185"/>
        <v>3815.8267948238672</v>
      </c>
      <c r="X762" s="257">
        <v>0</v>
      </c>
      <c r="Y762" s="258">
        <v>0</v>
      </c>
      <c r="Z762" s="258">
        <v>0</v>
      </c>
      <c r="AA762" s="258">
        <v>0</v>
      </c>
      <c r="AB762" s="258">
        <v>0</v>
      </c>
      <c r="AC762" s="258">
        <v>0</v>
      </c>
      <c r="AD762" s="258">
        <v>0</v>
      </c>
      <c r="AE762" s="258">
        <v>425.38</v>
      </c>
      <c r="AF762" s="257">
        <f t="shared" si="190"/>
        <v>3815.8267948238672</v>
      </c>
      <c r="AG762" s="258">
        <v>0</v>
      </c>
      <c r="AH762" s="257">
        <v>0</v>
      </c>
      <c r="AI762" s="258">
        <v>0</v>
      </c>
      <c r="AJ762" s="257">
        <v>0</v>
      </c>
      <c r="AK762" s="258">
        <v>0</v>
      </c>
      <c r="AL762" s="258">
        <v>0</v>
      </c>
      <c r="AM762" s="258">
        <v>0</v>
      </c>
      <c r="AN762" s="258"/>
      <c r="AO762" s="258">
        <v>0</v>
      </c>
    </row>
    <row r="763" spans="1:41" s="259" customFormat="1" ht="36" customHeight="1" x14ac:dyDescent="0.25">
      <c r="A763" s="259">
        <v>1</v>
      </c>
      <c r="B763" s="135">
        <f>SUBTOTAL(103,$A$552:A763)</f>
        <v>207</v>
      </c>
      <c r="C763" s="94" t="s">
        <v>1955</v>
      </c>
      <c r="D763" s="124">
        <v>1955</v>
      </c>
      <c r="E763" s="124"/>
      <c r="F763" s="129" t="s">
        <v>1585</v>
      </c>
      <c r="G763" s="124" t="s">
        <v>305</v>
      </c>
      <c r="H763" s="124" t="s">
        <v>306</v>
      </c>
      <c r="I763" s="125">
        <v>349</v>
      </c>
      <c r="J763" s="125">
        <v>310.60000000000002</v>
      </c>
      <c r="K763" s="125">
        <v>310.60000000000002</v>
      </c>
      <c r="L763" s="126">
        <v>17</v>
      </c>
      <c r="M763" s="124" t="s">
        <v>267</v>
      </c>
      <c r="N763" s="124" t="s">
        <v>271</v>
      </c>
      <c r="O763" s="127" t="s">
        <v>1322</v>
      </c>
      <c r="P763" s="128">
        <v>2017991.4400000002</v>
      </c>
      <c r="Q763" s="128">
        <v>0</v>
      </c>
      <c r="R763" s="128">
        <v>0</v>
      </c>
      <c r="S763" s="128">
        <f t="shared" si="184"/>
        <v>2017991.4400000002</v>
      </c>
      <c r="T763" s="128">
        <f t="shared" si="173"/>
        <v>5782.2104297994274</v>
      </c>
      <c r="U763" s="128">
        <v>5782.2104297994274</v>
      </c>
      <c r="V763" s="257">
        <f t="shared" si="179"/>
        <v>0</v>
      </c>
      <c r="W763" s="257">
        <f t="shared" si="185"/>
        <v>102555.69736389685</v>
      </c>
      <c r="X763" s="257">
        <v>0</v>
      </c>
      <c r="Y763" s="258">
        <v>0</v>
      </c>
      <c r="Z763" s="258">
        <v>0</v>
      </c>
      <c r="AA763" s="258">
        <v>0</v>
      </c>
      <c r="AB763" s="258">
        <v>0</v>
      </c>
      <c r="AC763" s="258">
        <v>0</v>
      </c>
      <c r="AD763" s="258">
        <v>0</v>
      </c>
      <c r="AE763" s="258">
        <v>0</v>
      </c>
      <c r="AF763" s="257">
        <v>0</v>
      </c>
      <c r="AG763" s="258">
        <v>0</v>
      </c>
      <c r="AH763" s="257">
        <v>0</v>
      </c>
      <c r="AI763" s="258">
        <v>2448</v>
      </c>
      <c r="AJ763" s="257">
        <f>7439.1*AI763/I763</f>
        <v>52180.27736389685</v>
      </c>
      <c r="AK763" s="258">
        <v>229</v>
      </c>
      <c r="AL763" s="257">
        <f>76773.02*AK763/I763</f>
        <v>50375.420000000006</v>
      </c>
      <c r="AM763" s="258">
        <v>0</v>
      </c>
      <c r="AN763" s="258"/>
      <c r="AO763" s="258">
        <v>0</v>
      </c>
    </row>
    <row r="764" spans="1:41" s="259" customFormat="1" ht="36" customHeight="1" x14ac:dyDescent="0.25">
      <c r="A764" s="259">
        <v>1</v>
      </c>
      <c r="B764" s="135">
        <f>SUBTOTAL(103,$A$552:A764)</f>
        <v>208</v>
      </c>
      <c r="C764" s="94" t="s">
        <v>1956</v>
      </c>
      <c r="D764" s="124">
        <v>1957</v>
      </c>
      <c r="E764" s="124"/>
      <c r="F764" s="129" t="s">
        <v>1585</v>
      </c>
      <c r="G764" s="124" t="s">
        <v>305</v>
      </c>
      <c r="H764" s="124" t="s">
        <v>305</v>
      </c>
      <c r="I764" s="128">
        <v>832.6</v>
      </c>
      <c r="J764" s="128">
        <v>448</v>
      </c>
      <c r="K764" s="128">
        <v>448</v>
      </c>
      <c r="L764" s="126">
        <v>22</v>
      </c>
      <c r="M764" s="124" t="s">
        <v>267</v>
      </c>
      <c r="N764" s="124" t="s">
        <v>271</v>
      </c>
      <c r="O764" s="127" t="s">
        <v>709</v>
      </c>
      <c r="P764" s="128">
        <v>2478736.48</v>
      </c>
      <c r="Q764" s="128">
        <v>0</v>
      </c>
      <c r="R764" s="128">
        <v>0</v>
      </c>
      <c r="S764" s="128">
        <f t="shared" si="184"/>
        <v>2478736.48</v>
      </c>
      <c r="T764" s="128">
        <f t="shared" si="173"/>
        <v>2977.1036271919288</v>
      </c>
      <c r="U764" s="128">
        <v>3170.5463838577948</v>
      </c>
      <c r="V764" s="257">
        <f t="shared" si="179"/>
        <v>193.442756665866</v>
      </c>
      <c r="W764" s="257">
        <f t="shared" si="185"/>
        <v>12614.159423492676</v>
      </c>
      <c r="X764" s="257">
        <v>0</v>
      </c>
      <c r="Y764" s="258">
        <v>0</v>
      </c>
      <c r="Z764" s="258">
        <v>0</v>
      </c>
      <c r="AA764" s="258">
        <v>0</v>
      </c>
      <c r="AB764" s="258">
        <v>0</v>
      </c>
      <c r="AC764" s="258">
        <v>0</v>
      </c>
      <c r="AD764" s="258">
        <v>0</v>
      </c>
      <c r="AE764" s="258">
        <v>0</v>
      </c>
      <c r="AF764" s="257">
        <v>0</v>
      </c>
      <c r="AG764" s="258">
        <v>0</v>
      </c>
      <c r="AH764" s="257">
        <v>0</v>
      </c>
      <c r="AI764" s="258">
        <v>0</v>
      </c>
      <c r="AJ764" s="257">
        <v>0</v>
      </c>
      <c r="AK764" s="258">
        <v>136.80000000000001</v>
      </c>
      <c r="AL764" s="257">
        <f>76773.02*AK764/I764</f>
        <v>12614.159423492676</v>
      </c>
      <c r="AM764" s="258">
        <v>0</v>
      </c>
      <c r="AN764" s="258"/>
      <c r="AO764" s="258">
        <v>0</v>
      </c>
    </row>
    <row r="765" spans="1:41" s="259" customFormat="1" ht="36" customHeight="1" x14ac:dyDescent="0.25">
      <c r="B765" s="94" t="s">
        <v>822</v>
      </c>
      <c r="C765" s="94"/>
      <c r="D765" s="124" t="s">
        <v>896</v>
      </c>
      <c r="E765" s="124" t="s">
        <v>896</v>
      </c>
      <c r="F765" s="124" t="s">
        <v>896</v>
      </c>
      <c r="G765" s="124" t="s">
        <v>896</v>
      </c>
      <c r="H765" s="124" t="s">
        <v>896</v>
      </c>
      <c r="I765" s="125">
        <f>SUM(I766:I772)</f>
        <v>35250.9</v>
      </c>
      <c r="J765" s="125">
        <f>SUM(J766:J772)</f>
        <v>20149</v>
      </c>
      <c r="K765" s="125">
        <f>SUM(K766:K772)</f>
        <v>19981.8</v>
      </c>
      <c r="L765" s="126">
        <f>SUM(L766:L772)</f>
        <v>902</v>
      </c>
      <c r="M765" s="124" t="s">
        <v>896</v>
      </c>
      <c r="N765" s="124" t="s">
        <v>896</v>
      </c>
      <c r="O765" s="127" t="s">
        <v>896</v>
      </c>
      <c r="P765" s="125">
        <v>31580337.110000003</v>
      </c>
      <c r="Q765" s="125">
        <f>SUM(Q766:Q772)</f>
        <v>0</v>
      </c>
      <c r="R765" s="125">
        <f>SUM(R766:R772)</f>
        <v>0</v>
      </c>
      <c r="S765" s="125">
        <f>SUM(S766:S772)</f>
        <v>31580337.110000003</v>
      </c>
      <c r="T765" s="128">
        <f t="shared" si="173"/>
        <v>895.87321486827295</v>
      </c>
      <c r="U765" s="128">
        <f>MAX(U766:U772)</f>
        <v>4896.2379888268151</v>
      </c>
      <c r="V765" s="257">
        <f t="shared" si="179"/>
        <v>4000.3647739585422</v>
      </c>
      <c r="W765" s="257"/>
      <c r="X765" s="257"/>
      <c r="Y765" s="258"/>
      <c r="Z765" s="258"/>
      <c r="AA765" s="258"/>
      <c r="AB765" s="258"/>
      <c r="AC765" s="258"/>
      <c r="AD765" s="258"/>
      <c r="AE765" s="258"/>
      <c r="AF765" s="258"/>
      <c r="AG765" s="258"/>
      <c r="AH765" s="258"/>
      <c r="AI765" s="258"/>
      <c r="AJ765" s="258"/>
      <c r="AK765" s="258"/>
      <c r="AL765" s="258"/>
      <c r="AM765" s="258"/>
      <c r="AN765" s="258"/>
      <c r="AO765" s="258"/>
    </row>
    <row r="766" spans="1:41" s="259" customFormat="1" ht="36" customHeight="1" x14ac:dyDescent="0.25">
      <c r="A766" s="259">
        <v>1</v>
      </c>
      <c r="B766" s="135">
        <f>SUBTOTAL(103,$A$552:A766)</f>
        <v>209</v>
      </c>
      <c r="C766" s="94" t="s">
        <v>645</v>
      </c>
      <c r="D766" s="124">
        <v>1986</v>
      </c>
      <c r="E766" s="124"/>
      <c r="F766" s="129" t="s">
        <v>313</v>
      </c>
      <c r="G766" s="124">
        <v>5</v>
      </c>
      <c r="H766" s="124" t="s">
        <v>373</v>
      </c>
      <c r="I766" s="125">
        <v>7160.5</v>
      </c>
      <c r="J766" s="125">
        <v>3872.4</v>
      </c>
      <c r="K766" s="125">
        <v>3872.4</v>
      </c>
      <c r="L766" s="126">
        <v>185</v>
      </c>
      <c r="M766" s="124" t="s">
        <v>267</v>
      </c>
      <c r="N766" s="124" t="s">
        <v>271</v>
      </c>
      <c r="O766" s="127" t="s">
        <v>714</v>
      </c>
      <c r="P766" s="128">
        <v>5608010</v>
      </c>
      <c r="Q766" s="128">
        <v>0</v>
      </c>
      <c r="R766" s="128">
        <v>0</v>
      </c>
      <c r="S766" s="128">
        <f t="shared" ref="S766:S772" si="191">P766-Q766-R766</f>
        <v>5608010</v>
      </c>
      <c r="T766" s="128">
        <f t="shared" si="173"/>
        <v>783.18692828713074</v>
      </c>
      <c r="U766" s="128">
        <v>981.3648872285454</v>
      </c>
      <c r="V766" s="257">
        <f t="shared" si="179"/>
        <v>198.17795894141466</v>
      </c>
      <c r="W766" s="257">
        <f t="shared" ref="W766:W772" si="192">X766+Y766+Z766+AA766+AB766+AD766+AF766+AH766+AJ766+AL766+AN766+AO766</f>
        <v>978.02897493191813</v>
      </c>
      <c r="X766" s="257">
        <v>0</v>
      </c>
      <c r="Y766" s="258">
        <v>0</v>
      </c>
      <c r="Z766" s="258">
        <v>0</v>
      </c>
      <c r="AA766" s="258">
        <v>0</v>
      </c>
      <c r="AB766" s="258">
        <v>0</v>
      </c>
      <c r="AC766" s="258">
        <v>0</v>
      </c>
      <c r="AD766" s="258">
        <v>0</v>
      </c>
      <c r="AE766" s="258">
        <v>1122.5</v>
      </c>
      <c r="AF766" s="257">
        <f>6238.91*AE766/I766</f>
        <v>978.02897493191813</v>
      </c>
      <c r="AG766" s="258">
        <v>0</v>
      </c>
      <c r="AH766" s="257">
        <v>0</v>
      </c>
      <c r="AI766" s="258">
        <v>0</v>
      </c>
      <c r="AJ766" s="257">
        <v>0</v>
      </c>
      <c r="AK766" s="258">
        <v>0</v>
      </c>
      <c r="AL766" s="258">
        <v>0</v>
      </c>
      <c r="AM766" s="258">
        <v>0</v>
      </c>
      <c r="AN766" s="258"/>
      <c r="AO766" s="258">
        <v>0</v>
      </c>
    </row>
    <row r="767" spans="1:41" s="259" customFormat="1" ht="36" customHeight="1" x14ac:dyDescent="0.25">
      <c r="A767" s="259">
        <v>1</v>
      </c>
      <c r="B767" s="135">
        <f>SUBTOTAL(103,$A$552:A767)</f>
        <v>210</v>
      </c>
      <c r="C767" s="94" t="s">
        <v>642</v>
      </c>
      <c r="D767" s="124">
        <v>2002</v>
      </c>
      <c r="E767" s="124"/>
      <c r="F767" s="129" t="s">
        <v>269</v>
      </c>
      <c r="G767" s="124">
        <v>5</v>
      </c>
      <c r="H767" s="124" t="s">
        <v>314</v>
      </c>
      <c r="I767" s="125">
        <v>5019</v>
      </c>
      <c r="J767" s="125">
        <v>2368</v>
      </c>
      <c r="K767" s="125">
        <v>2368</v>
      </c>
      <c r="L767" s="126">
        <v>93</v>
      </c>
      <c r="M767" s="124" t="s">
        <v>267</v>
      </c>
      <c r="N767" s="124" t="s">
        <v>271</v>
      </c>
      <c r="O767" s="127" t="s">
        <v>714</v>
      </c>
      <c r="P767" s="128">
        <v>4467087.6000000006</v>
      </c>
      <c r="Q767" s="128">
        <v>0</v>
      </c>
      <c r="R767" s="128">
        <v>0</v>
      </c>
      <c r="S767" s="128">
        <f t="shared" si="191"/>
        <v>4467087.6000000006</v>
      </c>
      <c r="T767" s="128">
        <f t="shared" si="173"/>
        <v>890.03538553496719</v>
      </c>
      <c r="U767" s="128">
        <v>1067.1883968918112</v>
      </c>
      <c r="V767" s="257">
        <f t="shared" si="179"/>
        <v>177.15301135684399</v>
      </c>
      <c r="W767" s="257">
        <f t="shared" si="192"/>
        <v>1063.5607483562462</v>
      </c>
      <c r="X767" s="257">
        <v>0</v>
      </c>
      <c r="Y767" s="258">
        <v>0</v>
      </c>
      <c r="Z767" s="258">
        <v>0</v>
      </c>
      <c r="AA767" s="258">
        <v>0</v>
      </c>
      <c r="AB767" s="258">
        <v>0</v>
      </c>
      <c r="AC767" s="258">
        <v>0</v>
      </c>
      <c r="AD767" s="258">
        <v>0</v>
      </c>
      <c r="AE767" s="258">
        <v>855.6</v>
      </c>
      <c r="AF767" s="257">
        <f>6238.91*AE767/I767</f>
        <v>1063.5607483562462</v>
      </c>
      <c r="AG767" s="258">
        <v>0</v>
      </c>
      <c r="AH767" s="257">
        <v>0</v>
      </c>
      <c r="AI767" s="258">
        <v>0</v>
      </c>
      <c r="AJ767" s="257">
        <v>0</v>
      </c>
      <c r="AK767" s="258">
        <v>0</v>
      </c>
      <c r="AL767" s="258">
        <v>0</v>
      </c>
      <c r="AM767" s="258">
        <v>0</v>
      </c>
      <c r="AN767" s="258"/>
      <c r="AO767" s="258">
        <v>0</v>
      </c>
    </row>
    <row r="768" spans="1:41" s="259" customFormat="1" ht="36" customHeight="1" x14ac:dyDescent="0.25">
      <c r="A768" s="259">
        <v>1</v>
      </c>
      <c r="B768" s="135">
        <f>SUBTOTAL(103,$A$552:A768)</f>
        <v>211</v>
      </c>
      <c r="C768" s="94" t="s">
        <v>1199</v>
      </c>
      <c r="D768" s="124">
        <v>1989</v>
      </c>
      <c r="E768" s="124">
        <v>2015</v>
      </c>
      <c r="F768" s="129" t="s">
        <v>269</v>
      </c>
      <c r="G768" s="124">
        <v>9</v>
      </c>
      <c r="H768" s="124" t="s">
        <v>305</v>
      </c>
      <c r="I768" s="128">
        <v>6378.7</v>
      </c>
      <c r="J768" s="128">
        <v>3794.9</v>
      </c>
      <c r="K768" s="128">
        <v>3627.7</v>
      </c>
      <c r="L768" s="126">
        <v>187</v>
      </c>
      <c r="M768" s="124" t="s">
        <v>267</v>
      </c>
      <c r="N768" s="124" t="s">
        <v>271</v>
      </c>
      <c r="O768" s="127" t="s">
        <v>714</v>
      </c>
      <c r="P768" s="128">
        <v>2483706.87</v>
      </c>
      <c r="Q768" s="128">
        <v>0</v>
      </c>
      <c r="R768" s="128">
        <v>0</v>
      </c>
      <c r="S768" s="128">
        <f t="shared" si="191"/>
        <v>2483706.87</v>
      </c>
      <c r="T768" s="128">
        <f t="shared" si="173"/>
        <v>389.37508740025402</v>
      </c>
      <c r="U768" s="128">
        <v>3721.67</v>
      </c>
      <c r="V768" s="257">
        <f t="shared" ref="V768:V769" si="193">U768-T768</f>
        <v>3332.2949125997461</v>
      </c>
      <c r="W768" s="257">
        <f t="shared" ref="W768:W769" si="194">X768+Y768+Z768+AA768+AB768+AD768+AF768+AH768+AJ768+AL768+AN768+AO768</f>
        <v>3791.6299999999997</v>
      </c>
      <c r="X768" s="257">
        <v>101.55</v>
      </c>
      <c r="Y768" s="258">
        <v>245.44</v>
      </c>
      <c r="Z768" s="258">
        <v>3259.66</v>
      </c>
      <c r="AA768" s="258">
        <v>184.98</v>
      </c>
      <c r="AB768" s="258">
        <v>0</v>
      </c>
      <c r="AC768" s="258">
        <v>0</v>
      </c>
      <c r="AD768" s="258">
        <v>0</v>
      </c>
      <c r="AE768" s="258">
        <v>0</v>
      </c>
      <c r="AF768" s="257">
        <v>0</v>
      </c>
      <c r="AG768" s="258">
        <v>0</v>
      </c>
      <c r="AH768" s="257">
        <v>0</v>
      </c>
      <c r="AI768" s="258">
        <v>0</v>
      </c>
      <c r="AJ768" s="257">
        <v>0</v>
      </c>
      <c r="AK768" s="258">
        <v>0</v>
      </c>
      <c r="AL768" s="258">
        <v>0</v>
      </c>
      <c r="AM768" s="258">
        <v>0</v>
      </c>
      <c r="AN768" s="258"/>
      <c r="AO768" s="258">
        <v>0</v>
      </c>
    </row>
    <row r="769" spans="1:41" s="259" customFormat="1" ht="36" customHeight="1" x14ac:dyDescent="0.25">
      <c r="A769" s="259">
        <v>1</v>
      </c>
      <c r="B769" s="135">
        <f>SUBTOTAL(103,$A$552:A769)</f>
        <v>212</v>
      </c>
      <c r="C769" s="94" t="s">
        <v>1924</v>
      </c>
      <c r="D769" s="124">
        <v>1964</v>
      </c>
      <c r="E769" s="124"/>
      <c r="F769" s="129" t="s">
        <v>269</v>
      </c>
      <c r="G769" s="124">
        <v>2</v>
      </c>
      <c r="H769" s="124" t="s">
        <v>305</v>
      </c>
      <c r="I769" s="125">
        <v>680.2</v>
      </c>
      <c r="J769" s="125">
        <v>356</v>
      </c>
      <c r="K769" s="125">
        <v>356</v>
      </c>
      <c r="L769" s="126">
        <v>22</v>
      </c>
      <c r="M769" s="124" t="s">
        <v>267</v>
      </c>
      <c r="N769" s="124" t="s">
        <v>271</v>
      </c>
      <c r="O769" s="127" t="s">
        <v>714</v>
      </c>
      <c r="P769" s="128">
        <v>2819900</v>
      </c>
      <c r="Q769" s="128">
        <v>0</v>
      </c>
      <c r="R769" s="128">
        <v>0</v>
      </c>
      <c r="S769" s="128">
        <f t="shared" si="191"/>
        <v>2819900</v>
      </c>
      <c r="T769" s="128">
        <f t="shared" si="173"/>
        <v>4145.6924433989998</v>
      </c>
      <c r="U769" s="128">
        <v>4896.2379888268151</v>
      </c>
      <c r="V769" s="257">
        <f t="shared" si="193"/>
        <v>750.54554542781534</v>
      </c>
      <c r="W769" s="257">
        <f t="shared" si="194"/>
        <v>4879.5944134078209</v>
      </c>
      <c r="X769" s="257">
        <v>0</v>
      </c>
      <c r="Y769" s="258">
        <v>0</v>
      </c>
      <c r="Z769" s="258">
        <v>0</v>
      </c>
      <c r="AA769" s="258">
        <v>0</v>
      </c>
      <c r="AB769" s="258">
        <v>0</v>
      </c>
      <c r="AC769" s="258">
        <v>0</v>
      </c>
      <c r="AD769" s="258">
        <v>0</v>
      </c>
      <c r="AE769" s="258">
        <v>532</v>
      </c>
      <c r="AF769" s="257">
        <f>6238.91*AE769/I769</f>
        <v>4879.5944134078209</v>
      </c>
      <c r="AG769" s="258">
        <v>0</v>
      </c>
      <c r="AH769" s="257">
        <v>0</v>
      </c>
      <c r="AI769" s="258">
        <v>0</v>
      </c>
      <c r="AJ769" s="257">
        <v>0</v>
      </c>
      <c r="AK769" s="258">
        <v>0</v>
      </c>
      <c r="AL769" s="258">
        <v>0</v>
      </c>
      <c r="AM769" s="258">
        <v>0</v>
      </c>
      <c r="AN769" s="258"/>
      <c r="AO769" s="258">
        <v>0</v>
      </c>
    </row>
    <row r="770" spans="1:41" s="259" customFormat="1" ht="36" customHeight="1" x14ac:dyDescent="0.25">
      <c r="A770" s="259">
        <v>1</v>
      </c>
      <c r="B770" s="135">
        <f>SUBTOTAL(103,$A$552:A770)</f>
        <v>213</v>
      </c>
      <c r="C770" s="94" t="s">
        <v>1097</v>
      </c>
      <c r="D770" s="124">
        <v>1983</v>
      </c>
      <c r="E770" s="124"/>
      <c r="F770" s="129" t="s">
        <v>269</v>
      </c>
      <c r="G770" s="124">
        <v>5</v>
      </c>
      <c r="H770" s="124" t="s">
        <v>310</v>
      </c>
      <c r="I770" s="128">
        <v>4169.3</v>
      </c>
      <c r="J770" s="128">
        <v>2760.1</v>
      </c>
      <c r="K770" s="128">
        <v>2760.1</v>
      </c>
      <c r="L770" s="126">
        <v>121</v>
      </c>
      <c r="M770" s="124" t="s">
        <v>267</v>
      </c>
      <c r="N770" s="124" t="s">
        <v>271</v>
      </c>
      <c r="O770" s="127" t="s">
        <v>1363</v>
      </c>
      <c r="P770" s="128">
        <v>4226815.84</v>
      </c>
      <c r="Q770" s="128">
        <v>0</v>
      </c>
      <c r="R770" s="128">
        <v>0</v>
      </c>
      <c r="S770" s="128">
        <f t="shared" si="191"/>
        <v>4226815.84</v>
      </c>
      <c r="T770" s="128">
        <f t="shared" si="173"/>
        <v>1013.795083107476</v>
      </c>
      <c r="U770" s="128">
        <v>1287.3832312378574</v>
      </c>
      <c r="V770" s="257">
        <f t="shared" si="179"/>
        <v>273.58814813038146</v>
      </c>
      <c r="W770" s="257">
        <f t="shared" si="192"/>
        <v>3791.6299999999997</v>
      </c>
      <c r="X770" s="257">
        <v>101.55</v>
      </c>
      <c r="Y770" s="258">
        <v>245.44</v>
      </c>
      <c r="Z770" s="258">
        <v>3259.66</v>
      </c>
      <c r="AA770" s="258">
        <v>184.98</v>
      </c>
      <c r="AB770" s="258">
        <v>0</v>
      </c>
      <c r="AC770" s="258">
        <v>0</v>
      </c>
      <c r="AD770" s="258">
        <v>0</v>
      </c>
      <c r="AE770" s="258">
        <v>0</v>
      </c>
      <c r="AF770" s="257">
        <v>0</v>
      </c>
      <c r="AG770" s="258">
        <v>0</v>
      </c>
      <c r="AH770" s="257">
        <v>0</v>
      </c>
      <c r="AI770" s="258">
        <v>0</v>
      </c>
      <c r="AJ770" s="257">
        <v>0</v>
      </c>
      <c r="AK770" s="258">
        <v>0</v>
      </c>
      <c r="AL770" s="258">
        <v>0</v>
      </c>
      <c r="AM770" s="258">
        <v>0</v>
      </c>
      <c r="AN770" s="258"/>
      <c r="AO770" s="258">
        <v>0</v>
      </c>
    </row>
    <row r="771" spans="1:41" s="259" customFormat="1" ht="36" customHeight="1" x14ac:dyDescent="0.25">
      <c r="A771" s="259">
        <v>1</v>
      </c>
      <c r="B771" s="135">
        <f>SUBTOTAL(103,$A$552:A771)</f>
        <v>214</v>
      </c>
      <c r="C771" s="94" t="s">
        <v>1198</v>
      </c>
      <c r="D771" s="124">
        <v>2001</v>
      </c>
      <c r="E771" s="124"/>
      <c r="F771" s="129" t="s">
        <v>269</v>
      </c>
      <c r="G771" s="124">
        <v>5</v>
      </c>
      <c r="H771" s="124" t="s">
        <v>353</v>
      </c>
      <c r="I771" s="125">
        <v>6330.6</v>
      </c>
      <c r="J771" s="125">
        <v>3627.4</v>
      </c>
      <c r="K771" s="125">
        <v>3627.4</v>
      </c>
      <c r="L771" s="126">
        <v>157</v>
      </c>
      <c r="M771" s="124" t="s">
        <v>267</v>
      </c>
      <c r="N771" s="124" t="s">
        <v>271</v>
      </c>
      <c r="O771" s="127" t="s">
        <v>714</v>
      </c>
      <c r="P771" s="128">
        <v>5003194.3900000006</v>
      </c>
      <c r="Q771" s="128">
        <v>0</v>
      </c>
      <c r="R771" s="128">
        <v>0</v>
      </c>
      <c r="S771" s="128">
        <f t="shared" si="191"/>
        <v>5003194.3900000006</v>
      </c>
      <c r="T771" s="128">
        <f t="shared" si="173"/>
        <v>790.31914668435854</v>
      </c>
      <c r="U771" s="128">
        <v>1148.0871623542791</v>
      </c>
      <c r="V771" s="257">
        <f t="shared" si="179"/>
        <v>357.7680156699206</v>
      </c>
      <c r="W771" s="257">
        <f t="shared" si="192"/>
        <v>524.29471456102101</v>
      </c>
      <c r="X771" s="257">
        <v>0</v>
      </c>
      <c r="Y771" s="258">
        <v>0</v>
      </c>
      <c r="Z771" s="258">
        <v>0</v>
      </c>
      <c r="AA771" s="258">
        <v>0</v>
      </c>
      <c r="AB771" s="258">
        <v>0</v>
      </c>
      <c r="AC771" s="258">
        <v>0</v>
      </c>
      <c r="AD771" s="258">
        <v>0</v>
      </c>
      <c r="AE771" s="258">
        <v>532</v>
      </c>
      <c r="AF771" s="257">
        <f>6238.91*AE771/I771</f>
        <v>524.29471456102101</v>
      </c>
      <c r="AG771" s="258">
        <v>0</v>
      </c>
      <c r="AH771" s="257">
        <v>0</v>
      </c>
      <c r="AI771" s="258">
        <v>0</v>
      </c>
      <c r="AJ771" s="257">
        <v>0</v>
      </c>
      <c r="AK771" s="258">
        <v>0</v>
      </c>
      <c r="AL771" s="258">
        <v>0</v>
      </c>
      <c r="AM771" s="258">
        <v>0</v>
      </c>
      <c r="AN771" s="258"/>
      <c r="AO771" s="258">
        <v>0</v>
      </c>
    </row>
    <row r="772" spans="1:41" s="259" customFormat="1" ht="36" customHeight="1" x14ac:dyDescent="0.25">
      <c r="A772" s="259">
        <v>1</v>
      </c>
      <c r="B772" s="135">
        <f>SUBTOTAL(103,$A$552:A772)</f>
        <v>215</v>
      </c>
      <c r="C772" s="94" t="s">
        <v>1957</v>
      </c>
      <c r="D772" s="124">
        <v>1994</v>
      </c>
      <c r="E772" s="124"/>
      <c r="F772" s="129" t="s">
        <v>320</v>
      </c>
      <c r="G772" s="124" t="s">
        <v>353</v>
      </c>
      <c r="H772" s="124" t="s">
        <v>314</v>
      </c>
      <c r="I772" s="125">
        <v>5512.6</v>
      </c>
      <c r="J772" s="125">
        <v>3370.2</v>
      </c>
      <c r="K772" s="125">
        <v>3370.2</v>
      </c>
      <c r="L772" s="126">
        <v>137</v>
      </c>
      <c r="M772" s="124" t="s">
        <v>267</v>
      </c>
      <c r="N772" s="124" t="s">
        <v>271</v>
      </c>
      <c r="O772" s="127" t="s">
        <v>714</v>
      </c>
      <c r="P772" s="128">
        <v>6971622.4100000001</v>
      </c>
      <c r="Q772" s="128">
        <v>0</v>
      </c>
      <c r="R772" s="128">
        <v>0</v>
      </c>
      <c r="S772" s="128">
        <f t="shared" si="191"/>
        <v>6971622.4100000001</v>
      </c>
      <c r="T772" s="128">
        <f t="shared" si="173"/>
        <v>1264.6704658418894</v>
      </c>
      <c r="U772" s="128">
        <v>1850.5978347785069</v>
      </c>
      <c r="V772" s="257">
        <f t="shared" si="179"/>
        <v>585.92736893661754</v>
      </c>
      <c r="W772" s="257">
        <f t="shared" si="192"/>
        <v>970.36633058810708</v>
      </c>
      <c r="X772" s="257">
        <v>0</v>
      </c>
      <c r="Y772" s="258">
        <v>0</v>
      </c>
      <c r="Z772" s="258">
        <v>0</v>
      </c>
      <c r="AA772" s="258">
        <v>0</v>
      </c>
      <c r="AB772" s="258">
        <v>0</v>
      </c>
      <c r="AC772" s="258">
        <v>0</v>
      </c>
      <c r="AD772" s="258">
        <v>0</v>
      </c>
      <c r="AE772" s="258">
        <v>857.4</v>
      </c>
      <c r="AF772" s="257">
        <f>6238.91*AE772/I772</f>
        <v>970.36633058810708</v>
      </c>
      <c r="AG772" s="258">
        <v>0</v>
      </c>
      <c r="AH772" s="257">
        <v>0</v>
      </c>
      <c r="AI772" s="258">
        <v>0</v>
      </c>
      <c r="AJ772" s="257">
        <v>0</v>
      </c>
      <c r="AK772" s="258">
        <v>0</v>
      </c>
      <c r="AL772" s="258">
        <v>0</v>
      </c>
      <c r="AM772" s="258">
        <v>0</v>
      </c>
      <c r="AN772" s="258"/>
      <c r="AO772" s="258">
        <v>0</v>
      </c>
    </row>
    <row r="773" spans="1:41" s="259" customFormat="1" ht="36" customHeight="1" x14ac:dyDescent="0.25">
      <c r="B773" s="94" t="s">
        <v>823</v>
      </c>
      <c r="C773" s="94"/>
      <c r="D773" s="124" t="s">
        <v>896</v>
      </c>
      <c r="E773" s="124" t="s">
        <v>896</v>
      </c>
      <c r="F773" s="124" t="s">
        <v>896</v>
      </c>
      <c r="G773" s="124" t="s">
        <v>896</v>
      </c>
      <c r="H773" s="124" t="s">
        <v>896</v>
      </c>
      <c r="I773" s="125">
        <f>SUM(I774:I780)</f>
        <v>6647.5</v>
      </c>
      <c r="J773" s="125">
        <f>SUM(J774:J780)</f>
        <v>5536.5999999999995</v>
      </c>
      <c r="K773" s="125">
        <f>SUM(K774:K780)</f>
        <v>5377.7</v>
      </c>
      <c r="L773" s="126">
        <f>SUM(L774:L780)</f>
        <v>274</v>
      </c>
      <c r="M773" s="124" t="s">
        <v>896</v>
      </c>
      <c r="N773" s="124" t="s">
        <v>896</v>
      </c>
      <c r="O773" s="127" t="s">
        <v>896</v>
      </c>
      <c r="P773" s="125">
        <v>19455638.910000004</v>
      </c>
      <c r="Q773" s="125">
        <f>SUM(Q774:Q780)</f>
        <v>0</v>
      </c>
      <c r="R773" s="125">
        <f>SUM(R774:R780)</f>
        <v>0</v>
      </c>
      <c r="S773" s="125">
        <f>SUM(S774:S780)</f>
        <v>19455638.910000004</v>
      </c>
      <c r="T773" s="128">
        <f t="shared" si="173"/>
        <v>2926.7602722828137</v>
      </c>
      <c r="U773" s="128">
        <f>MAX(U774:U780)</f>
        <v>5715.9669170883608</v>
      </c>
      <c r="V773" s="257">
        <f t="shared" si="179"/>
        <v>2789.2066448055471</v>
      </c>
      <c r="W773" s="257"/>
      <c r="X773" s="257"/>
      <c r="Y773" s="258"/>
      <c r="Z773" s="258"/>
      <c r="AA773" s="258"/>
      <c r="AB773" s="258"/>
      <c r="AC773" s="258"/>
      <c r="AD773" s="258"/>
      <c r="AE773" s="258"/>
      <c r="AF773" s="258"/>
      <c r="AG773" s="258"/>
      <c r="AH773" s="258"/>
      <c r="AI773" s="258"/>
      <c r="AJ773" s="258"/>
      <c r="AK773" s="258"/>
      <c r="AL773" s="258"/>
      <c r="AM773" s="258"/>
      <c r="AN773" s="258"/>
      <c r="AO773" s="258"/>
    </row>
    <row r="774" spans="1:41" s="259" customFormat="1" ht="36" customHeight="1" x14ac:dyDescent="0.25">
      <c r="A774" s="259">
        <v>1</v>
      </c>
      <c r="B774" s="135">
        <f>SUBTOTAL(103,$A$552:A774)</f>
        <v>216</v>
      </c>
      <c r="C774" s="94" t="s">
        <v>650</v>
      </c>
      <c r="D774" s="124">
        <v>1937</v>
      </c>
      <c r="E774" s="124"/>
      <c r="F774" s="129" t="s">
        <v>332</v>
      </c>
      <c r="G774" s="124">
        <v>2</v>
      </c>
      <c r="H774" s="124" t="s">
        <v>305</v>
      </c>
      <c r="I774" s="125">
        <v>423.5</v>
      </c>
      <c r="J774" s="125">
        <v>301.89999999999998</v>
      </c>
      <c r="K774" s="125">
        <v>301.89999999999998</v>
      </c>
      <c r="L774" s="126">
        <v>26</v>
      </c>
      <c r="M774" s="124" t="s">
        <v>267</v>
      </c>
      <c r="N774" s="124" t="s">
        <v>285</v>
      </c>
      <c r="O774" s="127" t="s">
        <v>270</v>
      </c>
      <c r="P774" s="128">
        <v>2308745</v>
      </c>
      <c r="Q774" s="128">
        <v>0</v>
      </c>
      <c r="R774" s="128">
        <v>0</v>
      </c>
      <c r="S774" s="128">
        <f t="shared" ref="S774:S780" si="195">P774-Q774-R774</f>
        <v>2308745</v>
      </c>
      <c r="T774" s="128">
        <f t="shared" si="173"/>
        <v>5451.5820543093268</v>
      </c>
      <c r="U774" s="128">
        <v>5099.8005903187714</v>
      </c>
      <c r="V774" s="257">
        <f t="shared" si="179"/>
        <v>-351.78146399055549</v>
      </c>
      <c r="W774" s="257">
        <f t="shared" ref="W774:W780" si="196">X774+Y774+Z774+AA774+AB774+AD774+AF774+AH774+AJ774+AL774+AN774+AO774</f>
        <v>5082.4650531286889</v>
      </c>
      <c r="X774" s="257">
        <v>0</v>
      </c>
      <c r="Y774" s="258">
        <v>0</v>
      </c>
      <c r="Z774" s="258">
        <v>0</v>
      </c>
      <c r="AA774" s="258">
        <v>0</v>
      </c>
      <c r="AB774" s="258">
        <v>0</v>
      </c>
      <c r="AC774" s="258">
        <v>0</v>
      </c>
      <c r="AD774" s="258">
        <v>0</v>
      </c>
      <c r="AE774" s="258">
        <v>345</v>
      </c>
      <c r="AF774" s="257">
        <f t="shared" ref="AF774:AF780" si="197">6238.91*AE774/I774</f>
        <v>5082.4650531286889</v>
      </c>
      <c r="AG774" s="258">
        <v>0</v>
      </c>
      <c r="AH774" s="257">
        <v>0</v>
      </c>
      <c r="AI774" s="258">
        <v>0</v>
      </c>
      <c r="AJ774" s="257">
        <v>0</v>
      </c>
      <c r="AK774" s="258">
        <v>0</v>
      </c>
      <c r="AL774" s="258">
        <v>0</v>
      </c>
      <c r="AM774" s="258">
        <v>0</v>
      </c>
      <c r="AN774" s="258"/>
      <c r="AO774" s="258">
        <v>0</v>
      </c>
    </row>
    <row r="775" spans="1:41" s="259" customFormat="1" ht="36" customHeight="1" x14ac:dyDescent="0.25">
      <c r="A775" s="259">
        <v>1</v>
      </c>
      <c r="B775" s="135">
        <f>SUBTOTAL(103,$A$552:A775)</f>
        <v>217</v>
      </c>
      <c r="C775" s="94" t="s">
        <v>651</v>
      </c>
      <c r="D775" s="124">
        <v>1952</v>
      </c>
      <c r="E775" s="124"/>
      <c r="F775" s="129" t="s">
        <v>269</v>
      </c>
      <c r="G775" s="124">
        <v>2</v>
      </c>
      <c r="H775" s="124" t="s">
        <v>305</v>
      </c>
      <c r="I775" s="125">
        <v>906.8</v>
      </c>
      <c r="J775" s="125">
        <v>836.1</v>
      </c>
      <c r="K775" s="125">
        <v>836.1</v>
      </c>
      <c r="L775" s="126">
        <v>34</v>
      </c>
      <c r="M775" s="124" t="s">
        <v>267</v>
      </c>
      <c r="N775" s="124" t="s">
        <v>271</v>
      </c>
      <c r="O775" s="127" t="s">
        <v>715</v>
      </c>
      <c r="P775" s="128">
        <v>50000</v>
      </c>
      <c r="Q775" s="128">
        <v>0</v>
      </c>
      <c r="R775" s="128">
        <v>0</v>
      </c>
      <c r="S775" s="128">
        <f t="shared" si="195"/>
        <v>50000</v>
      </c>
      <c r="T775" s="128">
        <f t="shared" si="173"/>
        <v>55.138950154389065</v>
      </c>
      <c r="U775" s="128">
        <v>55.138950154389065</v>
      </c>
      <c r="V775" s="257">
        <f t="shared" ref="V775:V777" si="198">U775-T775</f>
        <v>0</v>
      </c>
      <c r="W775" s="257">
        <f t="shared" ref="W775:W777" si="199">X775+Y775+Z775+AA775+AB775+AD775+AF775+AH775+AJ775+AL775+AN775+AO775</f>
        <v>5566.2388148434047</v>
      </c>
      <c r="X775" s="257">
        <v>0</v>
      </c>
      <c r="Y775" s="258">
        <v>0</v>
      </c>
      <c r="Z775" s="258">
        <v>0</v>
      </c>
      <c r="AA775" s="258">
        <v>0</v>
      </c>
      <c r="AB775" s="258">
        <v>0</v>
      </c>
      <c r="AC775" s="258">
        <v>0</v>
      </c>
      <c r="AD775" s="258">
        <v>0</v>
      </c>
      <c r="AE775" s="258">
        <v>809.03</v>
      </c>
      <c r="AF775" s="257">
        <f t="shared" si="197"/>
        <v>5566.2388148434047</v>
      </c>
      <c r="AG775" s="258">
        <v>0</v>
      </c>
      <c r="AH775" s="257">
        <v>0</v>
      </c>
      <c r="AI775" s="258">
        <v>0</v>
      </c>
      <c r="AJ775" s="257">
        <v>0</v>
      </c>
      <c r="AK775" s="258">
        <v>0</v>
      </c>
      <c r="AL775" s="258">
        <v>0</v>
      </c>
      <c r="AM775" s="258">
        <v>0</v>
      </c>
      <c r="AN775" s="258"/>
      <c r="AO775" s="258">
        <v>0</v>
      </c>
    </row>
    <row r="776" spans="1:41" s="259" customFormat="1" ht="36" customHeight="1" x14ac:dyDescent="0.25">
      <c r="A776" s="259">
        <v>1</v>
      </c>
      <c r="B776" s="135">
        <f>SUBTOTAL(103,$A$552:A776)</f>
        <v>218</v>
      </c>
      <c r="C776" s="94" t="s">
        <v>652</v>
      </c>
      <c r="D776" s="124">
        <v>1975</v>
      </c>
      <c r="E776" s="124"/>
      <c r="F776" s="129" t="s">
        <v>269</v>
      </c>
      <c r="G776" s="124">
        <v>3</v>
      </c>
      <c r="H776" s="124" t="s">
        <v>305</v>
      </c>
      <c r="I776" s="125">
        <v>1248.5999999999999</v>
      </c>
      <c r="J776" s="125">
        <v>1155.9000000000001</v>
      </c>
      <c r="K776" s="125">
        <v>1155.9000000000001</v>
      </c>
      <c r="L776" s="126">
        <v>53</v>
      </c>
      <c r="M776" s="124" t="s">
        <v>267</v>
      </c>
      <c r="N776" s="124" t="s">
        <v>271</v>
      </c>
      <c r="O776" s="127" t="s">
        <v>709</v>
      </c>
      <c r="P776" s="128">
        <v>4232403.2300000004</v>
      </c>
      <c r="Q776" s="128">
        <v>0</v>
      </c>
      <c r="R776" s="128">
        <v>0</v>
      </c>
      <c r="S776" s="128">
        <f t="shared" si="195"/>
        <v>4232403.2300000004</v>
      </c>
      <c r="T776" s="128">
        <f t="shared" si="173"/>
        <v>3389.7190693576813</v>
      </c>
      <c r="U776" s="128">
        <v>3750.2980297933691</v>
      </c>
      <c r="V776" s="257">
        <f t="shared" si="198"/>
        <v>360.5789604356878</v>
      </c>
      <c r="W776" s="257">
        <f t="shared" si="199"/>
        <v>3737.5497997757489</v>
      </c>
      <c r="X776" s="257">
        <v>0</v>
      </c>
      <c r="Y776" s="258">
        <v>0</v>
      </c>
      <c r="Z776" s="258">
        <v>0</v>
      </c>
      <c r="AA776" s="258">
        <v>0</v>
      </c>
      <c r="AB776" s="258">
        <v>0</v>
      </c>
      <c r="AC776" s="258">
        <v>0</v>
      </c>
      <c r="AD776" s="258">
        <v>0</v>
      </c>
      <c r="AE776" s="258">
        <v>748</v>
      </c>
      <c r="AF776" s="257">
        <f t="shared" si="197"/>
        <v>3737.5497997757489</v>
      </c>
      <c r="AG776" s="258">
        <v>0</v>
      </c>
      <c r="AH776" s="257">
        <v>0</v>
      </c>
      <c r="AI776" s="258">
        <v>0</v>
      </c>
      <c r="AJ776" s="257">
        <v>0</v>
      </c>
      <c r="AK776" s="258">
        <v>0</v>
      </c>
      <c r="AL776" s="258">
        <v>0</v>
      </c>
      <c r="AM776" s="258">
        <v>0</v>
      </c>
      <c r="AN776" s="258"/>
      <c r="AO776" s="258">
        <v>0</v>
      </c>
    </row>
    <row r="777" spans="1:41" s="259" customFormat="1" ht="36" customHeight="1" x14ac:dyDescent="0.25">
      <c r="A777" s="259">
        <v>1</v>
      </c>
      <c r="B777" s="135">
        <f>SUBTOTAL(103,$A$552:A777)</f>
        <v>219</v>
      </c>
      <c r="C777" s="94" t="s">
        <v>649</v>
      </c>
      <c r="D777" s="124">
        <v>1959</v>
      </c>
      <c r="E777" s="124"/>
      <c r="F777" s="129" t="s">
        <v>269</v>
      </c>
      <c r="G777" s="124">
        <v>3</v>
      </c>
      <c r="H777" s="124" t="s">
        <v>314</v>
      </c>
      <c r="I777" s="125">
        <v>1163.0999999999999</v>
      </c>
      <c r="J777" s="125">
        <v>1058.9000000000001</v>
      </c>
      <c r="K777" s="125">
        <v>996.7</v>
      </c>
      <c r="L777" s="126">
        <v>42</v>
      </c>
      <c r="M777" s="124" t="s">
        <v>267</v>
      </c>
      <c r="N777" s="124" t="s">
        <v>271</v>
      </c>
      <c r="O777" s="127" t="s">
        <v>715</v>
      </c>
      <c r="P777" s="128">
        <v>3341865.1999999997</v>
      </c>
      <c r="Q777" s="128">
        <v>0</v>
      </c>
      <c r="R777" s="128">
        <v>0</v>
      </c>
      <c r="S777" s="128">
        <f t="shared" si="195"/>
        <v>3341865.1999999997</v>
      </c>
      <c r="T777" s="128">
        <f t="shared" si="173"/>
        <v>2873.2397902158027</v>
      </c>
      <c r="U777" s="128">
        <v>3235.8578179004389</v>
      </c>
      <c r="V777" s="257">
        <f t="shared" si="198"/>
        <v>362.61802768463622</v>
      </c>
      <c r="W777" s="257">
        <f t="shared" si="199"/>
        <v>3224.8583028114526</v>
      </c>
      <c r="X777" s="257">
        <v>0</v>
      </c>
      <c r="Y777" s="258">
        <v>0</v>
      </c>
      <c r="Z777" s="258">
        <v>0</v>
      </c>
      <c r="AA777" s="258">
        <v>0</v>
      </c>
      <c r="AB777" s="258">
        <v>0</v>
      </c>
      <c r="AC777" s="258">
        <v>0</v>
      </c>
      <c r="AD777" s="258">
        <v>0</v>
      </c>
      <c r="AE777" s="258">
        <v>601.20000000000005</v>
      </c>
      <c r="AF777" s="257">
        <f t="shared" si="197"/>
        <v>3224.8583028114526</v>
      </c>
      <c r="AG777" s="258">
        <v>0</v>
      </c>
      <c r="AH777" s="257">
        <v>0</v>
      </c>
      <c r="AI777" s="258">
        <v>0</v>
      </c>
      <c r="AJ777" s="257">
        <v>0</v>
      </c>
      <c r="AK777" s="258">
        <v>0</v>
      </c>
      <c r="AL777" s="258">
        <v>0</v>
      </c>
      <c r="AM777" s="258">
        <v>0</v>
      </c>
      <c r="AN777" s="258"/>
      <c r="AO777" s="258">
        <v>0</v>
      </c>
    </row>
    <row r="778" spans="1:41" s="259" customFormat="1" ht="36" customHeight="1" x14ac:dyDescent="0.25">
      <c r="A778" s="259">
        <v>1</v>
      </c>
      <c r="B778" s="135">
        <f>SUBTOTAL(103,$A$552:A778)</f>
        <v>220</v>
      </c>
      <c r="C778" s="94" t="s">
        <v>1972</v>
      </c>
      <c r="D778" s="124">
        <v>1972</v>
      </c>
      <c r="E778" s="124"/>
      <c r="F778" s="129" t="s">
        <v>1585</v>
      </c>
      <c r="G778" s="124" t="s">
        <v>305</v>
      </c>
      <c r="H778" s="124" t="s">
        <v>305</v>
      </c>
      <c r="I778" s="125">
        <v>770.7</v>
      </c>
      <c r="J778" s="125">
        <v>710.1</v>
      </c>
      <c r="K778" s="125">
        <v>710.1</v>
      </c>
      <c r="L778" s="126">
        <v>29</v>
      </c>
      <c r="M778" s="124" t="s">
        <v>267</v>
      </c>
      <c r="N778" s="124" t="s">
        <v>271</v>
      </c>
      <c r="O778" s="127" t="s">
        <v>715</v>
      </c>
      <c r="P778" s="128">
        <v>3773671.0300000003</v>
      </c>
      <c r="Q778" s="128">
        <v>0</v>
      </c>
      <c r="R778" s="128">
        <v>0</v>
      </c>
      <c r="S778" s="128">
        <f t="shared" si="195"/>
        <v>3773671.0300000003</v>
      </c>
      <c r="T778" s="128">
        <f t="shared" si="173"/>
        <v>4896.4201764629561</v>
      </c>
      <c r="U778" s="128">
        <v>5715.9669170883608</v>
      </c>
      <c r="V778" s="257">
        <f t="shared" si="179"/>
        <v>819.54674062540471</v>
      </c>
      <c r="W778" s="257">
        <f t="shared" si="196"/>
        <v>6549.1960001297512</v>
      </c>
      <c r="X778" s="257">
        <v>0</v>
      </c>
      <c r="Y778" s="258">
        <v>0</v>
      </c>
      <c r="Z778" s="258">
        <v>0</v>
      </c>
      <c r="AA778" s="258">
        <v>0</v>
      </c>
      <c r="AB778" s="258">
        <v>0</v>
      </c>
      <c r="AC778" s="258">
        <v>0</v>
      </c>
      <c r="AD778" s="258">
        <v>0</v>
      </c>
      <c r="AE778" s="258">
        <v>809.03</v>
      </c>
      <c r="AF778" s="257">
        <f t="shared" si="197"/>
        <v>6549.1960001297512</v>
      </c>
      <c r="AG778" s="258">
        <v>0</v>
      </c>
      <c r="AH778" s="257">
        <v>0</v>
      </c>
      <c r="AI778" s="258">
        <v>0</v>
      </c>
      <c r="AJ778" s="257">
        <v>0</v>
      </c>
      <c r="AK778" s="258">
        <v>0</v>
      </c>
      <c r="AL778" s="258">
        <v>0</v>
      </c>
      <c r="AM778" s="258">
        <v>0</v>
      </c>
      <c r="AN778" s="258"/>
      <c r="AO778" s="258">
        <v>0</v>
      </c>
    </row>
    <row r="779" spans="1:41" s="259" customFormat="1" ht="36" customHeight="1" x14ac:dyDescent="0.25">
      <c r="A779" s="259">
        <v>1</v>
      </c>
      <c r="B779" s="135">
        <f>SUBTOTAL(103,$A$552:A779)</f>
        <v>221</v>
      </c>
      <c r="C779" s="94" t="s">
        <v>1973</v>
      </c>
      <c r="D779" s="124">
        <v>1959</v>
      </c>
      <c r="E779" s="124"/>
      <c r="F779" s="129" t="s">
        <v>1585</v>
      </c>
      <c r="G779" s="124" t="s">
        <v>314</v>
      </c>
      <c r="H779" s="124" t="s">
        <v>314</v>
      </c>
      <c r="I779" s="125">
        <v>1662.7</v>
      </c>
      <c r="J779" s="125">
        <v>1046.8</v>
      </c>
      <c r="K779" s="125">
        <v>950.1</v>
      </c>
      <c r="L779" s="126">
        <v>59</v>
      </c>
      <c r="M779" s="124" t="s">
        <v>267</v>
      </c>
      <c r="N779" s="124" t="s">
        <v>271</v>
      </c>
      <c r="O779" s="127" t="s">
        <v>715</v>
      </c>
      <c r="P779" s="128">
        <v>3256927.5100000002</v>
      </c>
      <c r="Q779" s="128">
        <v>0</v>
      </c>
      <c r="R779" s="128">
        <v>0</v>
      </c>
      <c r="S779" s="128">
        <f t="shared" si="195"/>
        <v>3256927.5100000002</v>
      </c>
      <c r="T779" s="128">
        <f t="shared" si="173"/>
        <v>1958.8184940157576</v>
      </c>
      <c r="U779" s="128">
        <v>1958.8184940157576</v>
      </c>
      <c r="V779" s="257">
        <f t="shared" si="179"/>
        <v>0</v>
      </c>
      <c r="W779" s="257">
        <f t="shared" si="196"/>
        <v>2806.7027605701569</v>
      </c>
      <c r="X779" s="257">
        <v>0</v>
      </c>
      <c r="Y779" s="258">
        <v>0</v>
      </c>
      <c r="Z779" s="258">
        <v>0</v>
      </c>
      <c r="AA779" s="258">
        <v>0</v>
      </c>
      <c r="AB779" s="258">
        <v>0</v>
      </c>
      <c r="AC779" s="258">
        <v>0</v>
      </c>
      <c r="AD779" s="258">
        <v>0</v>
      </c>
      <c r="AE779" s="258">
        <v>748</v>
      </c>
      <c r="AF779" s="257">
        <f t="shared" si="197"/>
        <v>2806.7027605701569</v>
      </c>
      <c r="AG779" s="258">
        <v>0</v>
      </c>
      <c r="AH779" s="257">
        <v>0</v>
      </c>
      <c r="AI779" s="258">
        <v>0</v>
      </c>
      <c r="AJ779" s="257">
        <v>0</v>
      </c>
      <c r="AK779" s="258">
        <v>0</v>
      </c>
      <c r="AL779" s="258">
        <v>0</v>
      </c>
      <c r="AM779" s="258">
        <v>0</v>
      </c>
      <c r="AN779" s="258"/>
      <c r="AO779" s="258">
        <v>0</v>
      </c>
    </row>
    <row r="780" spans="1:41" s="259" customFormat="1" ht="36" customHeight="1" x14ac:dyDescent="0.25">
      <c r="A780" s="259">
        <v>1</v>
      </c>
      <c r="B780" s="135">
        <f>SUBTOTAL(103,$A$552:A780)</f>
        <v>222</v>
      </c>
      <c r="C780" s="94" t="s">
        <v>1977</v>
      </c>
      <c r="D780" s="124">
        <v>1933</v>
      </c>
      <c r="E780" s="124"/>
      <c r="F780" s="129" t="s">
        <v>332</v>
      </c>
      <c r="G780" s="124" t="s">
        <v>305</v>
      </c>
      <c r="H780" s="124" t="s">
        <v>305</v>
      </c>
      <c r="I780" s="125">
        <v>472.1</v>
      </c>
      <c r="J780" s="125">
        <v>426.9</v>
      </c>
      <c r="K780" s="125">
        <v>426.9</v>
      </c>
      <c r="L780" s="126">
        <v>31</v>
      </c>
      <c r="M780" s="124" t="s">
        <v>267</v>
      </c>
      <c r="N780" s="124" t="s">
        <v>268</v>
      </c>
      <c r="O780" s="127" t="s">
        <v>270</v>
      </c>
      <c r="P780" s="128">
        <v>2492026.9400000004</v>
      </c>
      <c r="Q780" s="128">
        <v>0</v>
      </c>
      <c r="R780" s="128">
        <v>0</v>
      </c>
      <c r="S780" s="128">
        <f t="shared" si="195"/>
        <v>2492026.9400000004</v>
      </c>
      <c r="T780" s="128">
        <f t="shared" si="173"/>
        <v>5278.5997458165648</v>
      </c>
      <c r="U780" s="128">
        <v>5063.6029231095117</v>
      </c>
      <c r="V780" s="257">
        <f t="shared" si="179"/>
        <v>-214.99682270705307</v>
      </c>
      <c r="W780" s="257">
        <f t="shared" si="196"/>
        <v>7944.9961703029021</v>
      </c>
      <c r="X780" s="257">
        <v>0</v>
      </c>
      <c r="Y780" s="258">
        <v>0</v>
      </c>
      <c r="Z780" s="258">
        <v>0</v>
      </c>
      <c r="AA780" s="258">
        <v>0</v>
      </c>
      <c r="AB780" s="258">
        <v>0</v>
      </c>
      <c r="AC780" s="258">
        <v>0</v>
      </c>
      <c r="AD780" s="258">
        <v>0</v>
      </c>
      <c r="AE780" s="258">
        <v>601.20000000000005</v>
      </c>
      <c r="AF780" s="257">
        <f t="shared" si="197"/>
        <v>7944.9961703029021</v>
      </c>
      <c r="AG780" s="258">
        <v>0</v>
      </c>
      <c r="AH780" s="257">
        <v>0</v>
      </c>
      <c r="AI780" s="258">
        <v>0</v>
      </c>
      <c r="AJ780" s="257">
        <v>0</v>
      </c>
      <c r="AK780" s="258">
        <v>0</v>
      </c>
      <c r="AL780" s="258">
        <v>0</v>
      </c>
      <c r="AM780" s="258">
        <v>0</v>
      </c>
      <c r="AN780" s="258"/>
      <c r="AO780" s="258">
        <v>0</v>
      </c>
    </row>
    <row r="781" spans="1:41" s="259" customFormat="1" ht="36" customHeight="1" x14ac:dyDescent="0.25">
      <c r="B781" s="94" t="s">
        <v>824</v>
      </c>
      <c r="C781" s="94"/>
      <c r="D781" s="124" t="s">
        <v>896</v>
      </c>
      <c r="E781" s="124" t="s">
        <v>896</v>
      </c>
      <c r="F781" s="124" t="s">
        <v>896</v>
      </c>
      <c r="G781" s="124" t="s">
        <v>896</v>
      </c>
      <c r="H781" s="124" t="s">
        <v>896</v>
      </c>
      <c r="I781" s="125">
        <f>SUM(I782:I785)</f>
        <v>11803.32</v>
      </c>
      <c r="J781" s="125">
        <f>SUM(J782:J785)</f>
        <v>8101.62</v>
      </c>
      <c r="K781" s="125">
        <f>SUM(K782:K785)</f>
        <v>8101.62</v>
      </c>
      <c r="L781" s="126">
        <f>SUM(L782:L785)</f>
        <v>483</v>
      </c>
      <c r="M781" s="124" t="s">
        <v>896</v>
      </c>
      <c r="N781" s="124" t="s">
        <v>896</v>
      </c>
      <c r="O781" s="127" t="s">
        <v>896</v>
      </c>
      <c r="P781" s="125">
        <v>13606335.93</v>
      </c>
      <c r="Q781" s="125">
        <f>SUM(Q782:Q785)</f>
        <v>0</v>
      </c>
      <c r="R781" s="125">
        <f>SUM(R782:R785)</f>
        <v>0</v>
      </c>
      <c r="S781" s="125">
        <f>SUM(S782:S785)</f>
        <v>13606335.93</v>
      </c>
      <c r="T781" s="128">
        <f t="shared" ref="T781:T843" si="200">P781/I781</f>
        <v>1152.7549816492308</v>
      </c>
      <c r="U781" s="128">
        <f>MAX(U782:U785)</f>
        <v>4269.38</v>
      </c>
      <c r="V781" s="257">
        <f t="shared" si="179"/>
        <v>3116.6250183507691</v>
      </c>
      <c r="W781" s="257"/>
      <c r="X781" s="257"/>
      <c r="Y781" s="258"/>
      <c r="Z781" s="258"/>
      <c r="AA781" s="258"/>
      <c r="AB781" s="258"/>
      <c r="AC781" s="258"/>
      <c r="AD781" s="258"/>
      <c r="AE781" s="258"/>
      <c r="AF781" s="258"/>
      <c r="AG781" s="258"/>
      <c r="AH781" s="258"/>
      <c r="AI781" s="258"/>
      <c r="AJ781" s="258"/>
      <c r="AK781" s="258"/>
      <c r="AL781" s="258"/>
      <c r="AM781" s="258"/>
      <c r="AN781" s="258"/>
      <c r="AO781" s="258"/>
    </row>
    <row r="782" spans="1:41" s="259" customFormat="1" ht="36" customHeight="1" x14ac:dyDescent="0.25">
      <c r="A782" s="259">
        <v>1</v>
      </c>
      <c r="B782" s="135">
        <f>SUBTOTAL(103,$A$552:A782)</f>
        <v>223</v>
      </c>
      <c r="C782" s="94" t="s">
        <v>657</v>
      </c>
      <c r="D782" s="124">
        <v>1978</v>
      </c>
      <c r="E782" s="124"/>
      <c r="F782" s="129" t="s">
        <v>269</v>
      </c>
      <c r="G782" s="124">
        <v>3</v>
      </c>
      <c r="H782" s="124" t="s">
        <v>305</v>
      </c>
      <c r="I782" s="125">
        <v>1608.4</v>
      </c>
      <c r="J782" s="125">
        <v>1122.9000000000001</v>
      </c>
      <c r="K782" s="125">
        <v>1122.9000000000001</v>
      </c>
      <c r="L782" s="126">
        <v>53</v>
      </c>
      <c r="M782" s="124" t="s">
        <v>267</v>
      </c>
      <c r="N782" s="124" t="s">
        <v>271</v>
      </c>
      <c r="O782" s="127" t="s">
        <v>997</v>
      </c>
      <c r="P782" s="128">
        <v>3550280</v>
      </c>
      <c r="Q782" s="128">
        <v>0</v>
      </c>
      <c r="R782" s="128">
        <v>0</v>
      </c>
      <c r="S782" s="128">
        <f>P782-Q782-R782</f>
        <v>3550280</v>
      </c>
      <c r="T782" s="128">
        <f t="shared" si="200"/>
        <v>2207.3364834618251</v>
      </c>
      <c r="U782" s="128">
        <v>2646.6856503357371</v>
      </c>
      <c r="V782" s="257">
        <f t="shared" si="179"/>
        <v>439.34916687391205</v>
      </c>
      <c r="W782" s="257">
        <f t="shared" ref="W782:W785" si="201">X782+Y782+Z782+AA782+AB782+AD782+AF782+AH782+AJ782+AL782+AN782+AO782</f>
        <v>2637.6888833623475</v>
      </c>
      <c r="X782" s="257">
        <v>0</v>
      </c>
      <c r="Y782" s="258">
        <v>0</v>
      </c>
      <c r="Z782" s="258">
        <v>0</v>
      </c>
      <c r="AA782" s="258">
        <v>0</v>
      </c>
      <c r="AB782" s="258">
        <v>0</v>
      </c>
      <c r="AC782" s="258">
        <v>0</v>
      </c>
      <c r="AD782" s="258">
        <v>0</v>
      </c>
      <c r="AE782" s="258">
        <v>680</v>
      </c>
      <c r="AF782" s="257">
        <f>6238.91*AE782/I782</f>
        <v>2637.6888833623475</v>
      </c>
      <c r="AG782" s="258">
        <v>0</v>
      </c>
      <c r="AH782" s="257">
        <v>0</v>
      </c>
      <c r="AI782" s="258">
        <v>0</v>
      </c>
      <c r="AJ782" s="257">
        <v>0</v>
      </c>
      <c r="AK782" s="258">
        <v>0</v>
      </c>
      <c r="AL782" s="258">
        <v>0</v>
      </c>
      <c r="AM782" s="258">
        <v>0</v>
      </c>
      <c r="AN782" s="258"/>
      <c r="AO782" s="258">
        <v>0</v>
      </c>
    </row>
    <row r="783" spans="1:41" s="259" customFormat="1" ht="36" customHeight="1" x14ac:dyDescent="0.25">
      <c r="A783" s="259">
        <v>1</v>
      </c>
      <c r="B783" s="135">
        <f>SUBTOTAL(103,$A$552:A783)</f>
        <v>224</v>
      </c>
      <c r="C783" s="94" t="s">
        <v>660</v>
      </c>
      <c r="D783" s="124">
        <v>1986</v>
      </c>
      <c r="E783" s="124"/>
      <c r="F783" s="129" t="s">
        <v>269</v>
      </c>
      <c r="G783" s="124">
        <v>5</v>
      </c>
      <c r="H783" s="124" t="s">
        <v>373</v>
      </c>
      <c r="I783" s="125">
        <v>5164.1000000000004</v>
      </c>
      <c r="J783" s="125">
        <v>3835.7</v>
      </c>
      <c r="K783" s="125">
        <v>3835.7</v>
      </c>
      <c r="L783" s="126">
        <v>196</v>
      </c>
      <c r="M783" s="124" t="s">
        <v>267</v>
      </c>
      <c r="N783" s="124" t="s">
        <v>271</v>
      </c>
      <c r="O783" s="127" t="s">
        <v>719</v>
      </c>
      <c r="P783" s="128">
        <v>5495600.0099999998</v>
      </c>
      <c r="Q783" s="128">
        <v>0</v>
      </c>
      <c r="R783" s="128">
        <v>0</v>
      </c>
      <c r="S783" s="128">
        <f>P783-Q783-R783</f>
        <v>5495600.0099999998</v>
      </c>
      <c r="T783" s="128">
        <f t="shared" si="200"/>
        <v>1064.1931817741715</v>
      </c>
      <c r="U783" s="128">
        <v>1333.4770821633972</v>
      </c>
      <c r="V783" s="257">
        <f t="shared" ref="V783" si="202">U783-T783</f>
        <v>269.28390038922566</v>
      </c>
      <c r="W783" s="257">
        <f t="shared" ref="W783" si="203">X783+Y783+Z783+AA783+AB783+AD783+AF783+AH783+AJ783+AL783+AN783+AO783</f>
        <v>1328.9442497240564</v>
      </c>
      <c r="X783" s="257">
        <v>0</v>
      </c>
      <c r="Y783" s="258">
        <v>0</v>
      </c>
      <c r="Z783" s="258">
        <v>0</v>
      </c>
      <c r="AA783" s="258">
        <v>0</v>
      </c>
      <c r="AB783" s="258">
        <v>0</v>
      </c>
      <c r="AC783" s="258">
        <v>0</v>
      </c>
      <c r="AD783" s="258">
        <v>0</v>
      </c>
      <c r="AE783" s="258">
        <v>1100</v>
      </c>
      <c r="AF783" s="257">
        <f>6238.91*AE783/I783</f>
        <v>1328.9442497240564</v>
      </c>
      <c r="AG783" s="258">
        <v>0</v>
      </c>
      <c r="AH783" s="257">
        <v>0</v>
      </c>
      <c r="AI783" s="258">
        <v>0</v>
      </c>
      <c r="AJ783" s="257">
        <v>0</v>
      </c>
      <c r="AK783" s="258">
        <v>0</v>
      </c>
      <c r="AL783" s="258">
        <v>0</v>
      </c>
      <c r="AM783" s="258">
        <v>0</v>
      </c>
      <c r="AN783" s="258"/>
      <c r="AO783" s="258">
        <v>0</v>
      </c>
    </row>
    <row r="784" spans="1:41" s="259" customFormat="1" ht="36" customHeight="1" x14ac:dyDescent="0.25">
      <c r="A784" s="259">
        <v>1</v>
      </c>
      <c r="B784" s="135">
        <f>SUBTOTAL(103,$A$552:A784)</f>
        <v>225</v>
      </c>
      <c r="C784" s="94" t="s">
        <v>1929</v>
      </c>
      <c r="D784" s="124">
        <v>1965</v>
      </c>
      <c r="E784" s="124"/>
      <c r="F784" s="129" t="s">
        <v>269</v>
      </c>
      <c r="G784" s="124">
        <v>4</v>
      </c>
      <c r="H784" s="124" t="s">
        <v>314</v>
      </c>
      <c r="I784" s="125">
        <v>3674.31</v>
      </c>
      <c r="J784" s="125">
        <v>2209.41</v>
      </c>
      <c r="K784" s="125">
        <v>2209.41</v>
      </c>
      <c r="L784" s="126">
        <v>170</v>
      </c>
      <c r="M784" s="124" t="s">
        <v>267</v>
      </c>
      <c r="N784" s="124" t="s">
        <v>271</v>
      </c>
      <c r="O784" s="127" t="s">
        <v>1930</v>
      </c>
      <c r="P784" s="128">
        <v>3582812.32</v>
      </c>
      <c r="Q784" s="128">
        <v>0</v>
      </c>
      <c r="R784" s="128">
        <v>0</v>
      </c>
      <c r="S784" s="128">
        <f>P784-Q784-R784</f>
        <v>3582812.32</v>
      </c>
      <c r="T784" s="128">
        <f t="shared" si="200"/>
        <v>975.09799663065985</v>
      </c>
      <c r="U784" s="128">
        <v>4269.38</v>
      </c>
      <c r="V784" s="257">
        <f t="shared" si="179"/>
        <v>3294.2820033693401</v>
      </c>
      <c r="W784" s="257">
        <f t="shared" si="201"/>
        <v>1867.7795286734108</v>
      </c>
      <c r="X784" s="257">
        <v>0</v>
      </c>
      <c r="Y784" s="258">
        <v>0</v>
      </c>
      <c r="Z784" s="258">
        <v>0</v>
      </c>
      <c r="AA784" s="258">
        <v>0</v>
      </c>
      <c r="AB784" s="258">
        <v>0</v>
      </c>
      <c r="AC784" s="258">
        <v>0</v>
      </c>
      <c r="AD784" s="258">
        <v>0</v>
      </c>
      <c r="AE784" s="258">
        <v>1100</v>
      </c>
      <c r="AF784" s="257">
        <f>6238.91*AE784/I784</f>
        <v>1867.7795286734108</v>
      </c>
      <c r="AG784" s="258">
        <v>0</v>
      </c>
      <c r="AH784" s="257">
        <v>0</v>
      </c>
      <c r="AI784" s="258">
        <v>0</v>
      </c>
      <c r="AJ784" s="257">
        <v>0</v>
      </c>
      <c r="AK784" s="258">
        <v>0</v>
      </c>
      <c r="AL784" s="258">
        <v>0</v>
      </c>
      <c r="AM784" s="258">
        <v>0</v>
      </c>
      <c r="AN784" s="258"/>
      <c r="AO784" s="258">
        <v>0</v>
      </c>
    </row>
    <row r="785" spans="1:191" s="259" customFormat="1" ht="36" customHeight="1" x14ac:dyDescent="0.25">
      <c r="A785" s="259">
        <v>1</v>
      </c>
      <c r="B785" s="135">
        <f>SUBTOTAL(103,$A$552:A785)</f>
        <v>226</v>
      </c>
      <c r="C785" s="94" t="s">
        <v>1958</v>
      </c>
      <c r="D785" s="124">
        <v>1962</v>
      </c>
      <c r="E785" s="124"/>
      <c r="F785" s="129" t="s">
        <v>1585</v>
      </c>
      <c r="G785" s="124" t="s">
        <v>314</v>
      </c>
      <c r="H785" s="124" t="s">
        <v>305</v>
      </c>
      <c r="I785" s="125">
        <v>1356.51</v>
      </c>
      <c r="J785" s="125">
        <v>933.61</v>
      </c>
      <c r="K785" s="125">
        <v>933.61</v>
      </c>
      <c r="L785" s="126">
        <v>64</v>
      </c>
      <c r="M785" s="124" t="s">
        <v>267</v>
      </c>
      <c r="N785" s="124" t="s">
        <v>271</v>
      </c>
      <c r="O785" s="127" t="s">
        <v>1323</v>
      </c>
      <c r="P785" s="128">
        <v>977643.6</v>
      </c>
      <c r="Q785" s="128">
        <v>0</v>
      </c>
      <c r="R785" s="128">
        <v>0</v>
      </c>
      <c r="S785" s="128">
        <f>P785-Q785-R785</f>
        <v>977643.6</v>
      </c>
      <c r="T785" s="128">
        <f t="shared" si="200"/>
        <v>720.70504456288563</v>
      </c>
      <c r="U785" s="128">
        <v>810.46</v>
      </c>
      <c r="V785" s="257">
        <f t="shared" si="179"/>
        <v>89.754955437114404</v>
      </c>
      <c r="W785" s="257">
        <f t="shared" si="201"/>
        <v>4341.5</v>
      </c>
      <c r="X785" s="257">
        <v>101.55</v>
      </c>
      <c r="Y785" s="258">
        <v>0</v>
      </c>
      <c r="Z785" s="258">
        <v>3259.66</v>
      </c>
      <c r="AA785" s="258">
        <v>184.98</v>
      </c>
      <c r="AB785" s="258">
        <v>795.31</v>
      </c>
      <c r="AC785" s="258">
        <v>0</v>
      </c>
      <c r="AD785" s="258">
        <v>0</v>
      </c>
      <c r="AE785" s="258">
        <v>0</v>
      </c>
      <c r="AF785" s="257">
        <v>0</v>
      </c>
      <c r="AG785" s="258">
        <v>0</v>
      </c>
      <c r="AH785" s="257">
        <v>0</v>
      </c>
      <c r="AI785" s="258">
        <v>0</v>
      </c>
      <c r="AJ785" s="257">
        <v>0</v>
      </c>
      <c r="AK785" s="258">
        <v>0</v>
      </c>
      <c r="AL785" s="258">
        <v>0</v>
      </c>
      <c r="AM785" s="258">
        <v>0</v>
      </c>
      <c r="AN785" s="258"/>
      <c r="AO785" s="258">
        <v>0</v>
      </c>
    </row>
    <row r="786" spans="1:191" s="259" customFormat="1" ht="36" customHeight="1" x14ac:dyDescent="0.25">
      <c r="B786" s="94" t="s">
        <v>825</v>
      </c>
      <c r="C786" s="261"/>
      <c r="D786" s="124" t="s">
        <v>896</v>
      </c>
      <c r="E786" s="124" t="s">
        <v>896</v>
      </c>
      <c r="F786" s="124" t="s">
        <v>896</v>
      </c>
      <c r="G786" s="124" t="s">
        <v>896</v>
      </c>
      <c r="H786" s="124" t="s">
        <v>896</v>
      </c>
      <c r="I786" s="125">
        <f>SUM(I787:I787)</f>
        <v>2782.7</v>
      </c>
      <c r="J786" s="125">
        <f>SUM(J787:J787)</f>
        <v>2782.7</v>
      </c>
      <c r="K786" s="125">
        <f>SUM(K787:K787)</f>
        <v>2782.7</v>
      </c>
      <c r="L786" s="126">
        <f>SUM(L787:L787)</f>
        <v>103</v>
      </c>
      <c r="M786" s="124" t="s">
        <v>896</v>
      </c>
      <c r="N786" s="124" t="s">
        <v>896</v>
      </c>
      <c r="O786" s="127" t="s">
        <v>896</v>
      </c>
      <c r="P786" s="125">
        <v>2579501.7000000002</v>
      </c>
      <c r="Q786" s="125">
        <f>SUM(Q787:Q787)</f>
        <v>0</v>
      </c>
      <c r="R786" s="125">
        <f>SUM(R787:R787)</f>
        <v>0</v>
      </c>
      <c r="S786" s="125">
        <f>SUM(S787:S787)</f>
        <v>2579501.7000000002</v>
      </c>
      <c r="T786" s="128">
        <f t="shared" si="200"/>
        <v>926.97800697164632</v>
      </c>
      <c r="U786" s="128">
        <f>MAX(U787:U787)</f>
        <v>2339.6692421029934</v>
      </c>
      <c r="V786" s="257">
        <f t="shared" si="179"/>
        <v>1412.6912351313472</v>
      </c>
      <c r="W786" s="257"/>
      <c r="X786" s="257"/>
      <c r="Y786" s="258"/>
      <c r="Z786" s="258"/>
      <c r="AA786" s="258"/>
      <c r="AB786" s="258"/>
      <c r="AC786" s="258"/>
      <c r="AD786" s="258"/>
      <c r="AE786" s="258"/>
      <c r="AF786" s="258"/>
      <c r="AG786" s="258"/>
      <c r="AH786" s="258"/>
      <c r="AI786" s="258"/>
      <c r="AJ786" s="258"/>
      <c r="AK786" s="258"/>
      <c r="AL786" s="258"/>
      <c r="AM786" s="258"/>
      <c r="AN786" s="258"/>
      <c r="AO786" s="258"/>
    </row>
    <row r="787" spans="1:191" s="259" customFormat="1" ht="36" customHeight="1" x14ac:dyDescent="0.25">
      <c r="A787" s="259">
        <v>1</v>
      </c>
      <c r="B787" s="135">
        <f>SUBTOTAL(103,$A$552:A787)</f>
        <v>227</v>
      </c>
      <c r="C787" s="94" t="s">
        <v>765</v>
      </c>
      <c r="D787" s="124">
        <v>1985</v>
      </c>
      <c r="E787" s="124"/>
      <c r="F787" s="129" t="s">
        <v>269</v>
      </c>
      <c r="G787" s="124">
        <v>5</v>
      </c>
      <c r="H787" s="124" t="s">
        <v>310</v>
      </c>
      <c r="I787" s="125">
        <v>2782.7</v>
      </c>
      <c r="J787" s="125">
        <v>2782.7</v>
      </c>
      <c r="K787" s="125">
        <v>2782.7</v>
      </c>
      <c r="L787" s="126">
        <v>103</v>
      </c>
      <c r="M787" s="124" t="s">
        <v>267</v>
      </c>
      <c r="N787" s="124" t="s">
        <v>343</v>
      </c>
      <c r="O787" s="127" t="s">
        <v>724</v>
      </c>
      <c r="P787" s="128">
        <v>2579501.7000000002</v>
      </c>
      <c r="Q787" s="128">
        <v>0</v>
      </c>
      <c r="R787" s="128">
        <v>0</v>
      </c>
      <c r="S787" s="128">
        <f>P787-Q787-R787</f>
        <v>2579501.7000000002</v>
      </c>
      <c r="T787" s="128">
        <f t="shared" si="200"/>
        <v>926.97800697164632</v>
      </c>
      <c r="U787" s="128">
        <v>2339.6692421029934</v>
      </c>
      <c r="V787" s="257">
        <f>U787-T787</f>
        <v>1412.6912351313472</v>
      </c>
      <c r="W787" s="257">
        <f>X787+Y787+Z787+AA787+AB787+AD787+AF787+AH787+AJ787+AL787+AN787+AO787</f>
        <v>2331.7161030653683</v>
      </c>
      <c r="X787" s="257">
        <v>0</v>
      </c>
      <c r="Y787" s="258">
        <v>0</v>
      </c>
      <c r="Z787" s="258">
        <v>0</v>
      </c>
      <c r="AA787" s="258">
        <v>0</v>
      </c>
      <c r="AB787" s="258">
        <v>0</v>
      </c>
      <c r="AC787" s="258">
        <v>0</v>
      </c>
      <c r="AD787" s="258">
        <v>0</v>
      </c>
      <c r="AE787" s="258">
        <v>1040</v>
      </c>
      <c r="AF787" s="257">
        <f>6238.91*AE787/I787</f>
        <v>2331.7161030653683</v>
      </c>
      <c r="AG787" s="258">
        <v>0</v>
      </c>
      <c r="AH787" s="257">
        <v>0</v>
      </c>
      <c r="AI787" s="258">
        <v>0</v>
      </c>
      <c r="AJ787" s="257">
        <v>0</v>
      </c>
      <c r="AK787" s="258">
        <v>0</v>
      </c>
      <c r="AL787" s="258">
        <v>0</v>
      </c>
      <c r="AM787" s="258">
        <v>0</v>
      </c>
      <c r="AN787" s="258"/>
      <c r="AO787" s="258">
        <v>0</v>
      </c>
    </row>
    <row r="788" spans="1:191" s="259" customFormat="1" ht="36" customHeight="1" x14ac:dyDescent="0.25">
      <c r="B788" s="94" t="s">
        <v>827</v>
      </c>
      <c r="C788" s="94"/>
      <c r="D788" s="124" t="s">
        <v>896</v>
      </c>
      <c r="E788" s="124" t="s">
        <v>896</v>
      </c>
      <c r="F788" s="124" t="s">
        <v>896</v>
      </c>
      <c r="G788" s="124" t="s">
        <v>896</v>
      </c>
      <c r="H788" s="124" t="s">
        <v>896</v>
      </c>
      <c r="I788" s="125">
        <f>SUM(I789:I791)</f>
        <v>1396.4</v>
      </c>
      <c r="J788" s="125">
        <f>SUM(J789:J791)</f>
        <v>1208.8</v>
      </c>
      <c r="K788" s="125">
        <f>SUM(K789:K791)</f>
        <v>1208.8</v>
      </c>
      <c r="L788" s="126">
        <f>SUM(L789:L791)</f>
        <v>54</v>
      </c>
      <c r="M788" s="124" t="s">
        <v>896</v>
      </c>
      <c r="N788" s="124" t="s">
        <v>896</v>
      </c>
      <c r="O788" s="127" t="s">
        <v>896</v>
      </c>
      <c r="P788" s="125">
        <v>3119161.9899999998</v>
      </c>
      <c r="Q788" s="125">
        <f>SUM(Q789:Q791)</f>
        <v>0</v>
      </c>
      <c r="R788" s="125">
        <f>SUM(R789:R791)</f>
        <v>0</v>
      </c>
      <c r="S788" s="125">
        <f>SUM(S789:S791)</f>
        <v>3119161.9899999998</v>
      </c>
      <c r="T788" s="128">
        <f t="shared" si="200"/>
        <v>2233.7166929246632</v>
      </c>
      <c r="U788" s="128">
        <f>MAX(U789:U791)</f>
        <v>4753.8294816033849</v>
      </c>
      <c r="V788" s="257">
        <f t="shared" si="179"/>
        <v>2520.1127886787217</v>
      </c>
      <c r="W788" s="257"/>
      <c r="X788" s="257"/>
      <c r="Y788" s="258"/>
      <c r="Z788" s="258"/>
      <c r="AA788" s="258"/>
      <c r="AB788" s="258"/>
      <c r="AC788" s="258"/>
      <c r="AD788" s="258"/>
      <c r="AE788" s="258"/>
      <c r="AF788" s="258"/>
      <c r="AG788" s="258"/>
      <c r="AH788" s="258"/>
      <c r="AI788" s="258"/>
      <c r="AJ788" s="258"/>
      <c r="AK788" s="258"/>
      <c r="AL788" s="258"/>
      <c r="AM788" s="258"/>
      <c r="AN788" s="258"/>
      <c r="AO788" s="258"/>
    </row>
    <row r="789" spans="1:191" s="259" customFormat="1" ht="36" customHeight="1" x14ac:dyDescent="0.25">
      <c r="A789" s="259">
        <v>1</v>
      </c>
      <c r="B789" s="135">
        <f>SUBTOTAL(103,$A$552:A789)</f>
        <v>228</v>
      </c>
      <c r="C789" s="94" t="s">
        <v>691</v>
      </c>
      <c r="D789" s="124">
        <v>1975</v>
      </c>
      <c r="E789" s="124"/>
      <c r="F789" s="129" t="s">
        <v>269</v>
      </c>
      <c r="G789" s="124">
        <v>2</v>
      </c>
      <c r="H789" s="124" t="s">
        <v>305</v>
      </c>
      <c r="I789" s="125">
        <v>850.7</v>
      </c>
      <c r="J789" s="125">
        <v>705.9</v>
      </c>
      <c r="K789" s="125">
        <v>705.9</v>
      </c>
      <c r="L789" s="126">
        <v>22</v>
      </c>
      <c r="M789" s="124" t="s">
        <v>267</v>
      </c>
      <c r="N789" s="124" t="s">
        <v>268</v>
      </c>
      <c r="O789" s="127" t="s">
        <v>270</v>
      </c>
      <c r="P789" s="128">
        <v>2605803.73</v>
      </c>
      <c r="Q789" s="128">
        <v>0</v>
      </c>
      <c r="R789" s="128">
        <v>0</v>
      </c>
      <c r="S789" s="128">
        <f>P789-Q789-R789</f>
        <v>2605803.73</v>
      </c>
      <c r="T789" s="128">
        <f t="shared" si="200"/>
        <v>3063.128870342071</v>
      </c>
      <c r="U789" s="128">
        <v>4753.8294816033849</v>
      </c>
      <c r="V789" s="257">
        <f t="shared" si="179"/>
        <v>1690.700611261314</v>
      </c>
      <c r="W789" s="257">
        <f t="shared" ref="W789" si="204">X789+Y789+Z789+AA789+AB789+AD789+AF789+AH789+AJ789+AL789+AN789+AO789</f>
        <v>4737.6699894204767</v>
      </c>
      <c r="X789" s="257">
        <v>0</v>
      </c>
      <c r="Y789" s="258">
        <v>0</v>
      </c>
      <c r="Z789" s="258">
        <v>0</v>
      </c>
      <c r="AA789" s="258">
        <v>0</v>
      </c>
      <c r="AB789" s="258">
        <v>0</v>
      </c>
      <c r="AC789" s="258">
        <v>0</v>
      </c>
      <c r="AD789" s="258">
        <v>0</v>
      </c>
      <c r="AE789" s="258">
        <v>646</v>
      </c>
      <c r="AF789" s="257">
        <f>6238.91*AE789/I789</f>
        <v>4737.6699894204767</v>
      </c>
      <c r="AG789" s="258">
        <v>0</v>
      </c>
      <c r="AH789" s="257">
        <v>0</v>
      </c>
      <c r="AI789" s="258">
        <v>0</v>
      </c>
      <c r="AJ789" s="257">
        <v>0</v>
      </c>
      <c r="AK789" s="258">
        <v>0</v>
      </c>
      <c r="AL789" s="258">
        <v>0</v>
      </c>
      <c r="AM789" s="258">
        <v>0</v>
      </c>
      <c r="AN789" s="258"/>
      <c r="AO789" s="258">
        <v>0</v>
      </c>
    </row>
    <row r="790" spans="1:191" s="259" customFormat="1" ht="36" customHeight="1" x14ac:dyDescent="0.25">
      <c r="A790" s="259">
        <v>1</v>
      </c>
      <c r="B790" s="135">
        <f>SUBTOTAL(103,$A$552:A790)</f>
        <v>229</v>
      </c>
      <c r="C790" s="94" t="s">
        <v>683</v>
      </c>
      <c r="D790" s="124">
        <v>1961</v>
      </c>
      <c r="E790" s="124"/>
      <c r="F790" s="129" t="s">
        <v>269</v>
      </c>
      <c r="G790" s="124">
        <v>2</v>
      </c>
      <c r="H790" s="124" t="s">
        <v>306</v>
      </c>
      <c r="I790" s="125">
        <v>300.8</v>
      </c>
      <c r="J790" s="125">
        <v>279</v>
      </c>
      <c r="K790" s="125">
        <v>279</v>
      </c>
      <c r="L790" s="126">
        <v>17</v>
      </c>
      <c r="M790" s="124" t="s">
        <v>267</v>
      </c>
      <c r="N790" s="124" t="s">
        <v>268</v>
      </c>
      <c r="O790" s="127" t="s">
        <v>270</v>
      </c>
      <c r="P790" s="128">
        <v>402763.69</v>
      </c>
      <c r="Q790" s="128">
        <v>0</v>
      </c>
      <c r="R790" s="128">
        <v>0</v>
      </c>
      <c r="S790" s="128">
        <f>P790-Q790-R790</f>
        <v>402763.69</v>
      </c>
      <c r="T790" s="128">
        <f t="shared" si="200"/>
        <v>1338.9750332446808</v>
      </c>
      <c r="U790" s="128">
        <v>1338.9750332446808</v>
      </c>
      <c r="V790" s="257">
        <f t="shared" ref="V790" si="205">U790-T790</f>
        <v>0</v>
      </c>
      <c r="W790" s="257">
        <f>T790</f>
        <v>1338.9750332446808</v>
      </c>
      <c r="X790" s="257">
        <v>0</v>
      </c>
      <c r="Y790" s="258">
        <v>0</v>
      </c>
      <c r="Z790" s="258">
        <v>0</v>
      </c>
      <c r="AA790" s="258">
        <v>0</v>
      </c>
      <c r="AB790" s="258">
        <v>810.46</v>
      </c>
      <c r="AC790" s="258">
        <v>0</v>
      </c>
      <c r="AD790" s="258">
        <v>0</v>
      </c>
      <c r="AE790" s="258">
        <v>0</v>
      </c>
      <c r="AF790" s="257">
        <v>0</v>
      </c>
      <c r="AG790" s="258">
        <v>0</v>
      </c>
      <c r="AH790" s="257">
        <v>0</v>
      </c>
      <c r="AI790" s="258">
        <v>0</v>
      </c>
      <c r="AJ790" s="257">
        <v>0</v>
      </c>
      <c r="AK790" s="258">
        <v>0</v>
      </c>
      <c r="AL790" s="258">
        <v>0</v>
      </c>
      <c r="AM790" s="258">
        <v>0</v>
      </c>
      <c r="AN790" s="258"/>
      <c r="AO790" s="258">
        <v>0</v>
      </c>
    </row>
    <row r="791" spans="1:191" s="259" customFormat="1" ht="36" customHeight="1" x14ac:dyDescent="0.25">
      <c r="A791" s="259">
        <v>1</v>
      </c>
      <c r="B791" s="135">
        <f>SUBTOTAL(103,$A$552:A791)</f>
        <v>230</v>
      </c>
      <c r="C791" s="94" t="s">
        <v>688</v>
      </c>
      <c r="D791" s="124">
        <v>1938</v>
      </c>
      <c r="E791" s="124"/>
      <c r="F791" s="129" t="s">
        <v>332</v>
      </c>
      <c r="G791" s="124">
        <v>2</v>
      </c>
      <c r="H791" s="124" t="s">
        <v>306</v>
      </c>
      <c r="I791" s="125">
        <v>244.9</v>
      </c>
      <c r="J791" s="125">
        <v>223.9</v>
      </c>
      <c r="K791" s="125">
        <v>223.9</v>
      </c>
      <c r="L791" s="126">
        <v>15</v>
      </c>
      <c r="M791" s="124" t="s">
        <v>267</v>
      </c>
      <c r="N791" s="124" t="s">
        <v>268</v>
      </c>
      <c r="O791" s="127" t="s">
        <v>270</v>
      </c>
      <c r="P791" s="128">
        <v>110594.57</v>
      </c>
      <c r="Q791" s="128">
        <v>0</v>
      </c>
      <c r="R791" s="128">
        <v>0</v>
      </c>
      <c r="S791" s="128">
        <f>P791-Q791-R791</f>
        <v>110594.57</v>
      </c>
      <c r="T791" s="128">
        <f t="shared" si="200"/>
        <v>451.59073091057576</v>
      </c>
      <c r="U791" s="128">
        <v>810.46</v>
      </c>
      <c r="V791" s="257">
        <f t="shared" si="179"/>
        <v>358.86926908942428</v>
      </c>
      <c r="W791" s="257">
        <f>T791</f>
        <v>451.59073091057576</v>
      </c>
      <c r="X791" s="257">
        <v>0</v>
      </c>
      <c r="Y791" s="258">
        <v>0</v>
      </c>
      <c r="Z791" s="258">
        <v>0</v>
      </c>
      <c r="AA791" s="258">
        <v>0</v>
      </c>
      <c r="AB791" s="258">
        <v>810.46</v>
      </c>
      <c r="AC791" s="258">
        <v>0</v>
      </c>
      <c r="AD791" s="258">
        <v>0</v>
      </c>
      <c r="AE791" s="258">
        <v>0</v>
      </c>
      <c r="AF791" s="257">
        <v>0</v>
      </c>
      <c r="AG791" s="258">
        <v>0</v>
      </c>
      <c r="AH791" s="257">
        <v>0</v>
      </c>
      <c r="AI791" s="258">
        <v>0</v>
      </c>
      <c r="AJ791" s="257">
        <v>0</v>
      </c>
      <c r="AK791" s="258">
        <v>0</v>
      </c>
      <c r="AL791" s="258">
        <v>0</v>
      </c>
      <c r="AM791" s="258">
        <v>0</v>
      </c>
      <c r="AN791" s="258"/>
      <c r="AO791" s="258">
        <v>0</v>
      </c>
    </row>
    <row r="792" spans="1:191" s="259" customFormat="1" ht="36" customHeight="1" x14ac:dyDescent="0.25">
      <c r="B792" s="94" t="s">
        <v>872</v>
      </c>
      <c r="C792" s="94"/>
      <c r="D792" s="124" t="s">
        <v>896</v>
      </c>
      <c r="E792" s="124" t="s">
        <v>896</v>
      </c>
      <c r="F792" s="124" t="s">
        <v>896</v>
      </c>
      <c r="G792" s="124" t="s">
        <v>896</v>
      </c>
      <c r="H792" s="124" t="s">
        <v>896</v>
      </c>
      <c r="I792" s="125">
        <f>I793</f>
        <v>618.29999999999995</v>
      </c>
      <c r="J792" s="125">
        <f>J793</f>
        <v>561.1</v>
      </c>
      <c r="K792" s="125">
        <f>K793</f>
        <v>561.1</v>
      </c>
      <c r="L792" s="126">
        <f>L793</f>
        <v>24</v>
      </c>
      <c r="M792" s="124" t="s">
        <v>896</v>
      </c>
      <c r="N792" s="124" t="s">
        <v>896</v>
      </c>
      <c r="O792" s="127" t="s">
        <v>896</v>
      </c>
      <c r="P792" s="125">
        <v>3080948</v>
      </c>
      <c r="Q792" s="125">
        <f>Q793</f>
        <v>0</v>
      </c>
      <c r="R792" s="125">
        <f>R793</f>
        <v>0</v>
      </c>
      <c r="S792" s="125">
        <f>S793</f>
        <v>3080948</v>
      </c>
      <c r="T792" s="128">
        <f t="shared" si="200"/>
        <v>4982.9338508814499</v>
      </c>
      <c r="U792" s="128">
        <f>U793</f>
        <v>5264.9180009704032</v>
      </c>
      <c r="V792" s="257">
        <f t="shared" si="179"/>
        <v>281.98415008895336</v>
      </c>
      <c r="W792" s="257"/>
      <c r="X792" s="257"/>
      <c r="Y792" s="258"/>
      <c r="Z792" s="258"/>
      <c r="AA792" s="258"/>
      <c r="AB792" s="258"/>
      <c r="AC792" s="258"/>
      <c r="AD792" s="258"/>
      <c r="AE792" s="258"/>
      <c r="AF792" s="258"/>
      <c r="AG792" s="258"/>
      <c r="AH792" s="258"/>
      <c r="AI792" s="258"/>
      <c r="AJ792" s="258"/>
      <c r="AK792" s="258"/>
      <c r="AL792" s="258"/>
      <c r="AM792" s="258"/>
      <c r="AN792" s="258"/>
      <c r="AO792" s="258"/>
    </row>
    <row r="793" spans="1:191" s="259" customFormat="1" ht="36" customHeight="1" x14ac:dyDescent="0.25">
      <c r="A793" s="259">
        <v>1</v>
      </c>
      <c r="B793" s="135">
        <f>SUBTOTAL(103,$A$552:A793)</f>
        <v>231</v>
      </c>
      <c r="C793" s="94" t="s">
        <v>677</v>
      </c>
      <c r="D793" s="124">
        <v>1984</v>
      </c>
      <c r="E793" s="124"/>
      <c r="F793" s="129" t="s">
        <v>320</v>
      </c>
      <c r="G793" s="124">
        <v>2</v>
      </c>
      <c r="H793" s="124" t="s">
        <v>305</v>
      </c>
      <c r="I793" s="125">
        <v>618.29999999999995</v>
      </c>
      <c r="J793" s="125">
        <v>561.1</v>
      </c>
      <c r="K793" s="125">
        <v>561.1</v>
      </c>
      <c r="L793" s="126">
        <v>24</v>
      </c>
      <c r="M793" s="124" t="s">
        <v>267</v>
      </c>
      <c r="N793" s="124" t="s">
        <v>268</v>
      </c>
      <c r="O793" s="127" t="s">
        <v>270</v>
      </c>
      <c r="P793" s="128">
        <v>3080948</v>
      </c>
      <c r="Q793" s="128">
        <v>0</v>
      </c>
      <c r="R793" s="128">
        <v>0</v>
      </c>
      <c r="S793" s="128">
        <f>P793-Q793-R793</f>
        <v>3080948</v>
      </c>
      <c r="T793" s="128">
        <f t="shared" si="200"/>
        <v>4982.9338508814499</v>
      </c>
      <c r="U793" s="128">
        <v>5264.9180009704032</v>
      </c>
      <c r="V793" s="257">
        <f>U793-T793</f>
        <v>281.98415008895336</v>
      </c>
      <c r="W793" s="257">
        <f>X793+Y793+Z793+AA793+AB793+AD793+AF793+AH793+AJ793+AL793+AN793+AO793</f>
        <v>5247.0211871259908</v>
      </c>
      <c r="X793" s="257">
        <v>0</v>
      </c>
      <c r="Y793" s="258">
        <v>0</v>
      </c>
      <c r="Z793" s="258">
        <v>0</v>
      </c>
      <c r="AA793" s="258">
        <v>0</v>
      </c>
      <c r="AB793" s="258">
        <v>0</v>
      </c>
      <c r="AC793" s="258">
        <v>0</v>
      </c>
      <c r="AD793" s="258">
        <v>0</v>
      </c>
      <c r="AE793" s="258">
        <v>520</v>
      </c>
      <c r="AF793" s="257">
        <f>6238.91*AE793/I793</f>
        <v>5247.0211871259908</v>
      </c>
      <c r="AG793" s="258">
        <v>0</v>
      </c>
      <c r="AH793" s="257">
        <v>0</v>
      </c>
      <c r="AI793" s="258">
        <v>0</v>
      </c>
      <c r="AJ793" s="257">
        <v>0</v>
      </c>
      <c r="AK793" s="258">
        <v>0</v>
      </c>
      <c r="AL793" s="258">
        <v>0</v>
      </c>
      <c r="AM793" s="258">
        <v>0</v>
      </c>
      <c r="AN793" s="258"/>
      <c r="AO793" s="258">
        <v>0</v>
      </c>
    </row>
    <row r="794" spans="1:191" s="259" customFormat="1" ht="36" customHeight="1" x14ac:dyDescent="0.25">
      <c r="B794" s="94" t="s">
        <v>828</v>
      </c>
      <c r="C794" s="94"/>
      <c r="D794" s="124" t="s">
        <v>896</v>
      </c>
      <c r="E794" s="124" t="s">
        <v>896</v>
      </c>
      <c r="F794" s="124" t="s">
        <v>896</v>
      </c>
      <c r="G794" s="124" t="s">
        <v>896</v>
      </c>
      <c r="H794" s="124" t="s">
        <v>896</v>
      </c>
      <c r="I794" s="125">
        <f>I795</f>
        <v>4097</v>
      </c>
      <c r="J794" s="125">
        <f>J795</f>
        <v>3097</v>
      </c>
      <c r="K794" s="125">
        <f>K795</f>
        <v>3097</v>
      </c>
      <c r="L794" s="126">
        <f>L795</f>
        <v>158</v>
      </c>
      <c r="M794" s="124" t="s">
        <v>896</v>
      </c>
      <c r="N794" s="124" t="s">
        <v>896</v>
      </c>
      <c r="O794" s="127" t="s">
        <v>896</v>
      </c>
      <c r="P794" s="125">
        <v>2008998.15</v>
      </c>
      <c r="Q794" s="125">
        <f>Q795</f>
        <v>0</v>
      </c>
      <c r="R794" s="125">
        <f>R795</f>
        <v>0</v>
      </c>
      <c r="S794" s="125">
        <f>S795</f>
        <v>2008998.15</v>
      </c>
      <c r="T794" s="128">
        <f t="shared" si="200"/>
        <v>490.35834757139367</v>
      </c>
      <c r="U794" s="128">
        <f>U795</f>
        <v>1240.730846961191</v>
      </c>
      <c r="V794" s="257">
        <f t="shared" si="179"/>
        <v>750.37249938979733</v>
      </c>
      <c r="W794" s="257"/>
      <c r="X794" s="257"/>
      <c r="Y794" s="258"/>
      <c r="Z794" s="258"/>
      <c r="AA794" s="258"/>
      <c r="AB794" s="258"/>
      <c r="AC794" s="258"/>
      <c r="AD794" s="258"/>
      <c r="AE794" s="258"/>
      <c r="AF794" s="258"/>
      <c r="AG794" s="258"/>
      <c r="AH794" s="258"/>
      <c r="AI794" s="258"/>
      <c r="AJ794" s="258"/>
      <c r="AK794" s="258"/>
      <c r="AL794" s="258"/>
      <c r="AM794" s="258"/>
      <c r="AN794" s="258"/>
      <c r="AO794" s="258"/>
    </row>
    <row r="795" spans="1:191" s="196" customFormat="1" ht="36" customHeight="1" x14ac:dyDescent="0.25">
      <c r="A795" s="259">
        <v>1</v>
      </c>
      <c r="B795" s="135">
        <f>SUBTOTAL(103,$A$552:A795)</f>
        <v>232</v>
      </c>
      <c r="C795" s="132" t="s">
        <v>684</v>
      </c>
      <c r="D795" s="124">
        <v>1979</v>
      </c>
      <c r="E795" s="124"/>
      <c r="F795" s="134" t="s">
        <v>728</v>
      </c>
      <c r="G795" s="124">
        <v>5</v>
      </c>
      <c r="H795" s="124" t="s">
        <v>310</v>
      </c>
      <c r="I795" s="125">
        <v>4097</v>
      </c>
      <c r="J795" s="125">
        <v>3097</v>
      </c>
      <c r="K795" s="125">
        <v>3097</v>
      </c>
      <c r="L795" s="133">
        <v>158</v>
      </c>
      <c r="M795" s="124" t="s">
        <v>267</v>
      </c>
      <c r="N795" s="124" t="s">
        <v>271</v>
      </c>
      <c r="O795" s="124" t="s">
        <v>725</v>
      </c>
      <c r="P795" s="125">
        <v>2008998.15</v>
      </c>
      <c r="Q795" s="125">
        <v>0</v>
      </c>
      <c r="R795" s="125">
        <v>0</v>
      </c>
      <c r="S795" s="125">
        <f>P795-Q795-R795</f>
        <v>2008998.15</v>
      </c>
      <c r="T795" s="128">
        <f t="shared" si="200"/>
        <v>490.35834757139367</v>
      </c>
      <c r="U795" s="128">
        <v>1240.730846961191</v>
      </c>
      <c r="V795" s="257">
        <f>U795-T795</f>
        <v>750.37249938979733</v>
      </c>
      <c r="W795" s="257">
        <f>X795+Y795+Z795+AA795+AB795+AD795+AF795+AH795+AJ795+AL795+AN795+AO795</f>
        <v>1236.5132828899195</v>
      </c>
      <c r="X795" s="257">
        <v>0</v>
      </c>
      <c r="Y795" s="258">
        <v>0</v>
      </c>
      <c r="Z795" s="258">
        <v>0</v>
      </c>
      <c r="AA795" s="258">
        <v>0</v>
      </c>
      <c r="AB795" s="258">
        <v>0</v>
      </c>
      <c r="AC795" s="258">
        <v>0</v>
      </c>
      <c r="AD795" s="258">
        <v>0</v>
      </c>
      <c r="AE795" s="258">
        <v>812</v>
      </c>
      <c r="AF795" s="257">
        <f>6238.91*AE795/I795</f>
        <v>1236.5132828899195</v>
      </c>
      <c r="AG795" s="258">
        <v>0</v>
      </c>
      <c r="AH795" s="257">
        <v>0</v>
      </c>
      <c r="AI795" s="258">
        <v>0</v>
      </c>
      <c r="AJ795" s="257">
        <v>0</v>
      </c>
      <c r="AK795" s="258">
        <v>0</v>
      </c>
      <c r="AL795" s="258">
        <v>0</v>
      </c>
      <c r="AM795" s="258">
        <v>0</v>
      </c>
      <c r="AN795" s="258"/>
      <c r="AO795" s="258">
        <v>0</v>
      </c>
      <c r="AP795" s="259"/>
      <c r="DQ795" s="263"/>
      <c r="DR795" s="263"/>
      <c r="DS795" s="263"/>
      <c r="EP795" s="264"/>
      <c r="FS795" s="265"/>
      <c r="GI795" s="266"/>
    </row>
    <row r="796" spans="1:191" s="259" customFormat="1" ht="36" customHeight="1" x14ac:dyDescent="0.25">
      <c r="B796" s="94" t="s">
        <v>829</v>
      </c>
      <c r="C796" s="94"/>
      <c r="D796" s="124" t="s">
        <v>896</v>
      </c>
      <c r="E796" s="124" t="s">
        <v>896</v>
      </c>
      <c r="F796" s="124" t="s">
        <v>896</v>
      </c>
      <c r="G796" s="124" t="s">
        <v>896</v>
      </c>
      <c r="H796" s="124" t="s">
        <v>896</v>
      </c>
      <c r="I796" s="125">
        <f>SUM(I797:I810)</f>
        <v>21313.599999999999</v>
      </c>
      <c r="J796" s="125">
        <f>SUM(J797:J810)</f>
        <v>19650.099999999995</v>
      </c>
      <c r="K796" s="125">
        <f>SUM(K797:K810)</f>
        <v>19342</v>
      </c>
      <c r="L796" s="126">
        <f>SUM(L797:L810)</f>
        <v>1017</v>
      </c>
      <c r="M796" s="124" t="s">
        <v>896</v>
      </c>
      <c r="N796" s="124" t="s">
        <v>896</v>
      </c>
      <c r="O796" s="127" t="s">
        <v>896</v>
      </c>
      <c r="P796" s="125">
        <v>48634728.759999998</v>
      </c>
      <c r="Q796" s="125">
        <f>SUM(Q797:Q810)</f>
        <v>0</v>
      </c>
      <c r="R796" s="125">
        <f>SUM(R797:R810)</f>
        <v>0</v>
      </c>
      <c r="S796" s="125">
        <f>SUM(S797:S810)</f>
        <v>48634728.759999998</v>
      </c>
      <c r="T796" s="128">
        <f t="shared" si="200"/>
        <v>2281.8636344869005</v>
      </c>
      <c r="U796" s="128">
        <f>MAX(U797:U810)</f>
        <v>18806.533031088082</v>
      </c>
      <c r="V796" s="257">
        <f t="shared" si="179"/>
        <v>16524.669396601181</v>
      </c>
      <c r="W796" s="257"/>
      <c r="X796" s="257"/>
      <c r="Y796" s="258"/>
      <c r="Z796" s="258"/>
      <c r="AA796" s="258"/>
      <c r="AB796" s="258"/>
      <c r="AC796" s="258"/>
      <c r="AD796" s="258"/>
      <c r="AE796" s="258"/>
      <c r="AF796" s="258"/>
      <c r="AG796" s="258"/>
      <c r="AH796" s="258"/>
      <c r="AI796" s="258"/>
      <c r="AJ796" s="258"/>
      <c r="AK796" s="258"/>
      <c r="AL796" s="258"/>
      <c r="AM796" s="258"/>
      <c r="AN796" s="258"/>
      <c r="AO796" s="258"/>
    </row>
    <row r="797" spans="1:191" s="259" customFormat="1" ht="36" customHeight="1" x14ac:dyDescent="0.25">
      <c r="A797" s="259">
        <v>1</v>
      </c>
      <c r="B797" s="135">
        <f>SUBTOTAL(103,$A$552:A797)</f>
        <v>233</v>
      </c>
      <c r="C797" s="94" t="s">
        <v>674</v>
      </c>
      <c r="D797" s="124">
        <v>1993</v>
      </c>
      <c r="E797" s="124"/>
      <c r="F797" s="129" t="s">
        <v>313</v>
      </c>
      <c r="G797" s="124">
        <v>5</v>
      </c>
      <c r="H797" s="124" t="s">
        <v>314</v>
      </c>
      <c r="I797" s="125">
        <v>3247.3</v>
      </c>
      <c r="J797" s="125">
        <v>3247.3</v>
      </c>
      <c r="K797" s="125">
        <v>3247.3</v>
      </c>
      <c r="L797" s="126">
        <v>133</v>
      </c>
      <c r="M797" s="124" t="s">
        <v>267</v>
      </c>
      <c r="N797" s="124" t="s">
        <v>343</v>
      </c>
      <c r="O797" s="127" t="s">
        <v>726</v>
      </c>
      <c r="P797" s="128">
        <v>2492137.06</v>
      </c>
      <c r="Q797" s="128">
        <v>0</v>
      </c>
      <c r="R797" s="128">
        <v>0</v>
      </c>
      <c r="S797" s="128">
        <f t="shared" ref="S797:S810" si="206">P797-Q797-R797</f>
        <v>2492137.06</v>
      </c>
      <c r="T797" s="128">
        <f t="shared" si="200"/>
        <v>767.44897607242933</v>
      </c>
      <c r="U797" s="128">
        <v>6342.237658978228</v>
      </c>
      <c r="V797" s="257">
        <f t="shared" si="179"/>
        <v>5574.7886829057989</v>
      </c>
      <c r="W797" s="257">
        <f t="shared" ref="W797:W810" si="207">X797+Y797+Z797+AA797+AB797+AD797+AF797+AH797+AJ797+AL797+AN797+AO797</f>
        <v>6652.1497197671906</v>
      </c>
      <c r="X797" s="257">
        <v>0</v>
      </c>
      <c r="Y797" s="258">
        <v>0</v>
      </c>
      <c r="Z797" s="258">
        <v>0</v>
      </c>
      <c r="AA797" s="258">
        <v>0</v>
      </c>
      <c r="AB797" s="258">
        <v>0</v>
      </c>
      <c r="AC797" s="258">
        <v>0</v>
      </c>
      <c r="AD797" s="258">
        <v>0</v>
      </c>
      <c r="AE797" s="258">
        <v>0</v>
      </c>
      <c r="AF797" s="257">
        <v>0</v>
      </c>
      <c r="AG797" s="258">
        <v>0</v>
      </c>
      <c r="AH797" s="257">
        <v>0</v>
      </c>
      <c r="AI797" s="258">
        <v>2768.5</v>
      </c>
      <c r="AJ797" s="257">
        <f>7802.61*AI797/I797</f>
        <v>6652.1497197671906</v>
      </c>
      <c r="AK797" s="258">
        <v>0</v>
      </c>
      <c r="AL797" s="258">
        <v>0</v>
      </c>
      <c r="AM797" s="258">
        <v>0</v>
      </c>
      <c r="AN797" s="258"/>
      <c r="AO797" s="258">
        <v>0</v>
      </c>
    </row>
    <row r="798" spans="1:191" s="259" customFormat="1" ht="36" customHeight="1" x14ac:dyDescent="0.25">
      <c r="A798" s="259">
        <v>1</v>
      </c>
      <c r="B798" s="135">
        <f>SUBTOTAL(103,$A$552:A798)</f>
        <v>234</v>
      </c>
      <c r="C798" s="94" t="s">
        <v>662</v>
      </c>
      <c r="D798" s="124">
        <v>1972</v>
      </c>
      <c r="E798" s="124"/>
      <c r="F798" s="129" t="s">
        <v>269</v>
      </c>
      <c r="G798" s="124">
        <v>5</v>
      </c>
      <c r="H798" s="124" t="s">
        <v>373</v>
      </c>
      <c r="I798" s="125">
        <v>4860.8999999999996</v>
      </c>
      <c r="J798" s="125">
        <v>4466.5</v>
      </c>
      <c r="K798" s="125">
        <v>4344.3</v>
      </c>
      <c r="L798" s="126">
        <v>257</v>
      </c>
      <c r="M798" s="124" t="s">
        <v>267</v>
      </c>
      <c r="N798" s="124" t="s">
        <v>271</v>
      </c>
      <c r="O798" s="127" t="s">
        <v>1089</v>
      </c>
      <c r="P798" s="128">
        <v>5311274.96</v>
      </c>
      <c r="Q798" s="128">
        <v>0</v>
      </c>
      <c r="R798" s="128">
        <v>0</v>
      </c>
      <c r="S798" s="128">
        <f t="shared" si="206"/>
        <v>5311274.96</v>
      </c>
      <c r="T798" s="128">
        <f t="shared" si="200"/>
        <v>1092.6525869694913</v>
      </c>
      <c r="U798" s="128">
        <v>1703.8473060544343</v>
      </c>
      <c r="V798" s="257">
        <f t="shared" si="179"/>
        <v>611.19471908494302</v>
      </c>
      <c r="W798" s="257">
        <f t="shared" si="207"/>
        <v>1698.0554897241252</v>
      </c>
      <c r="X798" s="257">
        <v>0</v>
      </c>
      <c r="Y798" s="258">
        <v>0</v>
      </c>
      <c r="Z798" s="258">
        <v>0</v>
      </c>
      <c r="AA798" s="258">
        <v>0</v>
      </c>
      <c r="AB798" s="258">
        <v>0</v>
      </c>
      <c r="AC798" s="258">
        <v>0</v>
      </c>
      <c r="AD798" s="258">
        <v>0</v>
      </c>
      <c r="AE798" s="258">
        <v>1323</v>
      </c>
      <c r="AF798" s="257">
        <f t="shared" ref="AF798:AF810" si="208">6238.91*AE798/I798</f>
        <v>1698.0554897241252</v>
      </c>
      <c r="AG798" s="258">
        <v>0</v>
      </c>
      <c r="AH798" s="257">
        <v>0</v>
      </c>
      <c r="AI798" s="258">
        <v>0</v>
      </c>
      <c r="AJ798" s="257">
        <v>0</v>
      </c>
      <c r="AK798" s="258">
        <v>0</v>
      </c>
      <c r="AL798" s="258">
        <v>0</v>
      </c>
      <c r="AM798" s="258">
        <v>0</v>
      </c>
      <c r="AN798" s="258"/>
      <c r="AO798" s="258">
        <v>0</v>
      </c>
    </row>
    <row r="799" spans="1:191" s="259" customFormat="1" ht="36" customHeight="1" x14ac:dyDescent="0.25">
      <c r="A799" s="259">
        <v>1</v>
      </c>
      <c r="B799" s="135">
        <f>SUBTOTAL(103,$A$552:A799)</f>
        <v>235</v>
      </c>
      <c r="C799" s="94" t="s">
        <v>690</v>
      </c>
      <c r="D799" s="124">
        <v>1981</v>
      </c>
      <c r="E799" s="124"/>
      <c r="F799" s="129" t="s">
        <v>269</v>
      </c>
      <c r="G799" s="124">
        <v>2</v>
      </c>
      <c r="H799" s="124">
        <v>3</v>
      </c>
      <c r="I799" s="125">
        <v>843.1</v>
      </c>
      <c r="J799" s="125">
        <v>843.1</v>
      </c>
      <c r="K799" s="125">
        <v>843.1</v>
      </c>
      <c r="L799" s="126">
        <v>47</v>
      </c>
      <c r="M799" s="124" t="s">
        <v>267</v>
      </c>
      <c r="N799" s="124" t="s">
        <v>268</v>
      </c>
      <c r="O799" s="127" t="s">
        <v>270</v>
      </c>
      <c r="P799" s="128">
        <v>4042067.3</v>
      </c>
      <c r="Q799" s="128">
        <v>0</v>
      </c>
      <c r="R799" s="128">
        <v>0</v>
      </c>
      <c r="S799" s="128">
        <f t="shared" ref="S799:S804" si="209">P799-Q799-R799</f>
        <v>4042067.3</v>
      </c>
      <c r="T799" s="128">
        <f t="shared" si="200"/>
        <v>4794.2916617245874</v>
      </c>
      <c r="U799" s="128">
        <v>6355.9751393666229</v>
      </c>
      <c r="V799" s="257">
        <f t="shared" ref="V799:V804" si="210">U799-T799</f>
        <v>1561.6834776420355</v>
      </c>
      <c r="W799" s="257">
        <f t="shared" ref="W799:W804" si="211">X799+Y799+Z799+AA799+AB799+AD799+AF799+AH799+AJ799+AL799+AN799+AO799</f>
        <v>6334.3695409797174</v>
      </c>
      <c r="X799" s="257">
        <v>0</v>
      </c>
      <c r="Y799" s="258">
        <v>0</v>
      </c>
      <c r="Z799" s="258">
        <v>0</v>
      </c>
      <c r="AA799" s="258">
        <v>0</v>
      </c>
      <c r="AB799" s="258">
        <v>0</v>
      </c>
      <c r="AC799" s="258">
        <v>0</v>
      </c>
      <c r="AD799" s="258">
        <v>0</v>
      </c>
      <c r="AE799" s="258">
        <v>856</v>
      </c>
      <c r="AF799" s="257">
        <f t="shared" si="208"/>
        <v>6334.3695409797174</v>
      </c>
      <c r="AG799" s="258">
        <v>0</v>
      </c>
      <c r="AH799" s="257">
        <v>0</v>
      </c>
      <c r="AI799" s="258">
        <v>0</v>
      </c>
      <c r="AJ799" s="257">
        <v>0</v>
      </c>
      <c r="AK799" s="258">
        <v>0</v>
      </c>
      <c r="AL799" s="258">
        <v>0</v>
      </c>
      <c r="AM799" s="258">
        <v>0</v>
      </c>
      <c r="AN799" s="258"/>
      <c r="AO799" s="258">
        <v>0</v>
      </c>
    </row>
    <row r="800" spans="1:191" s="259" customFormat="1" ht="36" customHeight="1" x14ac:dyDescent="0.25">
      <c r="A800" s="259">
        <v>1</v>
      </c>
      <c r="B800" s="135">
        <f>SUBTOTAL(103,$A$552:A800)</f>
        <v>236</v>
      </c>
      <c r="C800" s="94" t="s">
        <v>667</v>
      </c>
      <c r="D800" s="124">
        <v>1940</v>
      </c>
      <c r="E800" s="124"/>
      <c r="F800" s="129" t="s">
        <v>269</v>
      </c>
      <c r="G800" s="124" t="s">
        <v>310</v>
      </c>
      <c r="H800" s="124">
        <v>3</v>
      </c>
      <c r="I800" s="125">
        <v>2521.1999999999998</v>
      </c>
      <c r="J800" s="125">
        <v>2421.1999999999998</v>
      </c>
      <c r="K800" s="125">
        <v>2421.1999999999998</v>
      </c>
      <c r="L800" s="126">
        <v>94</v>
      </c>
      <c r="M800" s="124" t="s">
        <v>267</v>
      </c>
      <c r="N800" s="124" t="s">
        <v>343</v>
      </c>
      <c r="O800" s="127" t="s">
        <v>727</v>
      </c>
      <c r="P800" s="128">
        <v>4517254.16</v>
      </c>
      <c r="Q800" s="128">
        <v>0</v>
      </c>
      <c r="R800" s="128">
        <v>0</v>
      </c>
      <c r="S800" s="128">
        <f t="shared" si="209"/>
        <v>4517254.16</v>
      </c>
      <c r="T800" s="128">
        <f t="shared" si="200"/>
        <v>1791.7079803268286</v>
      </c>
      <c r="U800" s="128">
        <v>3069.0127082341742</v>
      </c>
      <c r="V800" s="257">
        <f t="shared" si="210"/>
        <v>1277.3047279073455</v>
      </c>
      <c r="W800" s="257">
        <f t="shared" si="211"/>
        <v>3058.5803426939556</v>
      </c>
      <c r="X800" s="257">
        <v>0</v>
      </c>
      <c r="Y800" s="258">
        <v>0</v>
      </c>
      <c r="Z800" s="258">
        <v>0</v>
      </c>
      <c r="AA800" s="258">
        <v>0</v>
      </c>
      <c r="AB800" s="258">
        <v>0</v>
      </c>
      <c r="AC800" s="258">
        <v>0</v>
      </c>
      <c r="AD800" s="258">
        <v>0</v>
      </c>
      <c r="AE800" s="258">
        <v>1236</v>
      </c>
      <c r="AF800" s="257">
        <f t="shared" si="208"/>
        <v>3058.5803426939556</v>
      </c>
      <c r="AG800" s="258">
        <v>0</v>
      </c>
      <c r="AH800" s="257">
        <v>0</v>
      </c>
      <c r="AI800" s="258">
        <v>0</v>
      </c>
      <c r="AJ800" s="257">
        <v>0</v>
      </c>
      <c r="AK800" s="258">
        <v>0</v>
      </c>
      <c r="AL800" s="258">
        <v>0</v>
      </c>
      <c r="AM800" s="258">
        <v>0</v>
      </c>
      <c r="AN800" s="258"/>
      <c r="AO800" s="258">
        <v>0</v>
      </c>
    </row>
    <row r="801" spans="1:41" s="259" customFormat="1" ht="36" customHeight="1" x14ac:dyDescent="0.25">
      <c r="A801" s="259">
        <v>1</v>
      </c>
      <c r="B801" s="135">
        <f>SUBTOTAL(103,$A$552:A801)</f>
        <v>237</v>
      </c>
      <c r="C801" s="94" t="s">
        <v>672</v>
      </c>
      <c r="D801" s="124">
        <v>1979</v>
      </c>
      <c r="E801" s="124"/>
      <c r="F801" s="129" t="s">
        <v>269</v>
      </c>
      <c r="G801" s="124">
        <v>2</v>
      </c>
      <c r="H801" s="124" t="s">
        <v>314</v>
      </c>
      <c r="I801" s="125">
        <v>1052.4000000000001</v>
      </c>
      <c r="J801" s="125">
        <v>934.4</v>
      </c>
      <c r="K801" s="125">
        <v>934.4</v>
      </c>
      <c r="L801" s="126">
        <v>57</v>
      </c>
      <c r="M801" s="124" t="s">
        <v>267</v>
      </c>
      <c r="N801" s="124" t="s">
        <v>299</v>
      </c>
      <c r="O801" s="127" t="s">
        <v>1086</v>
      </c>
      <c r="P801" s="128">
        <v>3875480.82</v>
      </c>
      <c r="Q801" s="128">
        <v>0</v>
      </c>
      <c r="R801" s="128">
        <v>0</v>
      </c>
      <c r="S801" s="128">
        <f t="shared" si="209"/>
        <v>3875480.82</v>
      </c>
      <c r="T801" s="128">
        <f t="shared" si="200"/>
        <v>3682.5169327251992</v>
      </c>
      <c r="U801" s="128">
        <v>5645.1162200684139</v>
      </c>
      <c r="V801" s="257">
        <f t="shared" si="210"/>
        <v>1962.5992873432147</v>
      </c>
      <c r="W801" s="257">
        <f t="shared" si="211"/>
        <v>5625.9270144431766</v>
      </c>
      <c r="X801" s="257">
        <v>0</v>
      </c>
      <c r="Y801" s="258">
        <v>0</v>
      </c>
      <c r="Z801" s="258">
        <v>0</v>
      </c>
      <c r="AA801" s="258">
        <v>0</v>
      </c>
      <c r="AB801" s="258">
        <v>0</v>
      </c>
      <c r="AC801" s="258">
        <v>0</v>
      </c>
      <c r="AD801" s="258">
        <v>0</v>
      </c>
      <c r="AE801" s="258">
        <v>949</v>
      </c>
      <c r="AF801" s="257">
        <f t="shared" si="208"/>
        <v>5625.9270144431766</v>
      </c>
      <c r="AG801" s="258">
        <v>0</v>
      </c>
      <c r="AH801" s="257">
        <v>0</v>
      </c>
      <c r="AI801" s="258">
        <v>0</v>
      </c>
      <c r="AJ801" s="257">
        <v>0</v>
      </c>
      <c r="AK801" s="258">
        <v>0</v>
      </c>
      <c r="AL801" s="258">
        <v>0</v>
      </c>
      <c r="AM801" s="258">
        <v>0</v>
      </c>
      <c r="AN801" s="258"/>
      <c r="AO801" s="258">
        <v>0</v>
      </c>
    </row>
    <row r="802" spans="1:41" s="259" customFormat="1" ht="36" customHeight="1" x14ac:dyDescent="0.25">
      <c r="A802" s="259">
        <v>1</v>
      </c>
      <c r="B802" s="135">
        <f>SUBTOTAL(103,$A$552:A802)</f>
        <v>238</v>
      </c>
      <c r="C802" s="94" t="s">
        <v>671</v>
      </c>
      <c r="D802" s="124">
        <v>1977</v>
      </c>
      <c r="E802" s="124"/>
      <c r="F802" s="129" t="s">
        <v>269</v>
      </c>
      <c r="G802" s="124">
        <v>5</v>
      </c>
      <c r="H802" s="124" t="s">
        <v>310</v>
      </c>
      <c r="I802" s="125">
        <v>2827.6</v>
      </c>
      <c r="J802" s="125">
        <v>2827.6</v>
      </c>
      <c r="K802" s="125">
        <v>2827.6</v>
      </c>
      <c r="L802" s="126">
        <v>156</v>
      </c>
      <c r="M802" s="124" t="s">
        <v>267</v>
      </c>
      <c r="N802" s="124" t="s">
        <v>271</v>
      </c>
      <c r="O802" s="127" t="s">
        <v>723</v>
      </c>
      <c r="P802" s="128">
        <v>3103798.52</v>
      </c>
      <c r="Q802" s="128">
        <v>0</v>
      </c>
      <c r="R802" s="128">
        <v>0</v>
      </c>
      <c r="S802" s="128">
        <f t="shared" si="209"/>
        <v>3103798.52</v>
      </c>
      <c r="T802" s="128">
        <f t="shared" si="200"/>
        <v>1097.6794879049371</v>
      </c>
      <c r="U802" s="128">
        <v>1859.7254208516056</v>
      </c>
      <c r="V802" s="257">
        <f t="shared" si="210"/>
        <v>762.04593294666847</v>
      </c>
      <c r="W802" s="257">
        <f t="shared" si="211"/>
        <v>1853.4037346159287</v>
      </c>
      <c r="X802" s="257">
        <v>0</v>
      </c>
      <c r="Y802" s="258">
        <v>0</v>
      </c>
      <c r="Z802" s="258">
        <v>0</v>
      </c>
      <c r="AA802" s="258">
        <v>0</v>
      </c>
      <c r="AB802" s="258">
        <v>0</v>
      </c>
      <c r="AC802" s="258">
        <v>0</v>
      </c>
      <c r="AD802" s="258">
        <v>0</v>
      </c>
      <c r="AE802" s="258">
        <v>840</v>
      </c>
      <c r="AF802" s="257">
        <f t="shared" si="208"/>
        <v>1853.4037346159287</v>
      </c>
      <c r="AG802" s="258">
        <v>0</v>
      </c>
      <c r="AH802" s="257">
        <v>0</v>
      </c>
      <c r="AI802" s="258">
        <v>0</v>
      </c>
      <c r="AJ802" s="257">
        <v>0</v>
      </c>
      <c r="AK802" s="258">
        <v>0</v>
      </c>
      <c r="AL802" s="258">
        <v>0</v>
      </c>
      <c r="AM802" s="258">
        <v>0</v>
      </c>
      <c r="AN802" s="258"/>
      <c r="AO802" s="258">
        <v>0</v>
      </c>
    </row>
    <row r="803" spans="1:41" s="259" customFormat="1" ht="36" customHeight="1" x14ac:dyDescent="0.25">
      <c r="A803" s="259">
        <v>1</v>
      </c>
      <c r="B803" s="135">
        <f>SUBTOTAL(103,$A$552:A803)</f>
        <v>239</v>
      </c>
      <c r="C803" s="94" t="s">
        <v>1204</v>
      </c>
      <c r="D803" s="124">
        <v>1927</v>
      </c>
      <c r="E803" s="124"/>
      <c r="F803" s="129" t="s">
        <v>269</v>
      </c>
      <c r="G803" s="124">
        <v>2</v>
      </c>
      <c r="H803" s="124" t="s">
        <v>305</v>
      </c>
      <c r="I803" s="128">
        <v>462</v>
      </c>
      <c r="J803" s="128">
        <v>344</v>
      </c>
      <c r="K803" s="128">
        <v>344</v>
      </c>
      <c r="L803" s="126">
        <v>25</v>
      </c>
      <c r="M803" s="124" t="s">
        <v>267</v>
      </c>
      <c r="N803" s="124" t="s">
        <v>271</v>
      </c>
      <c r="O803" s="127" t="s">
        <v>1312</v>
      </c>
      <c r="P803" s="128">
        <v>1859292.57</v>
      </c>
      <c r="Q803" s="128">
        <v>0</v>
      </c>
      <c r="R803" s="128">
        <v>0</v>
      </c>
      <c r="S803" s="128">
        <f t="shared" si="209"/>
        <v>1859292.57</v>
      </c>
      <c r="T803" s="128">
        <f t="shared" si="200"/>
        <v>4024.4427922077925</v>
      </c>
      <c r="U803" s="128">
        <v>5525.769441558441</v>
      </c>
      <c r="V803" s="257">
        <f t="shared" si="210"/>
        <v>1501.3266493506485</v>
      </c>
      <c r="W803" s="257">
        <f t="shared" si="211"/>
        <v>5506.9859264069264</v>
      </c>
      <c r="X803" s="257">
        <v>0</v>
      </c>
      <c r="Y803" s="258">
        <v>0</v>
      </c>
      <c r="Z803" s="258">
        <v>0</v>
      </c>
      <c r="AA803" s="258">
        <v>0</v>
      </c>
      <c r="AB803" s="258">
        <v>0</v>
      </c>
      <c r="AC803" s="258">
        <v>0</v>
      </c>
      <c r="AD803" s="258">
        <v>0</v>
      </c>
      <c r="AE803" s="258">
        <v>407.8</v>
      </c>
      <c r="AF803" s="257">
        <f t="shared" si="208"/>
        <v>5506.9859264069264</v>
      </c>
      <c r="AG803" s="258">
        <v>0</v>
      </c>
      <c r="AH803" s="257">
        <v>0</v>
      </c>
      <c r="AI803" s="258">
        <v>0</v>
      </c>
      <c r="AJ803" s="257">
        <v>0</v>
      </c>
      <c r="AK803" s="258">
        <v>0</v>
      </c>
      <c r="AL803" s="258">
        <v>0</v>
      </c>
      <c r="AM803" s="258">
        <v>0</v>
      </c>
      <c r="AN803" s="258"/>
      <c r="AO803" s="258">
        <v>0</v>
      </c>
    </row>
    <row r="804" spans="1:41" s="259" customFormat="1" ht="36" customHeight="1" x14ac:dyDescent="0.25">
      <c r="A804" s="259">
        <v>1</v>
      </c>
      <c r="B804" s="135">
        <f>SUBTOTAL(103,$A$552:A804)</f>
        <v>240</v>
      </c>
      <c r="C804" s="94" t="s">
        <v>676</v>
      </c>
      <c r="D804" s="124">
        <v>1917</v>
      </c>
      <c r="E804" s="124"/>
      <c r="F804" s="129" t="s">
        <v>269</v>
      </c>
      <c r="G804" s="124">
        <v>2</v>
      </c>
      <c r="H804" s="124" t="s">
        <v>305</v>
      </c>
      <c r="I804" s="128">
        <v>722.2</v>
      </c>
      <c r="J804" s="128">
        <v>514</v>
      </c>
      <c r="K804" s="128">
        <v>514</v>
      </c>
      <c r="L804" s="126">
        <v>21</v>
      </c>
      <c r="M804" s="124" t="s">
        <v>267</v>
      </c>
      <c r="N804" s="124" t="s">
        <v>268</v>
      </c>
      <c r="O804" s="127" t="s">
        <v>270</v>
      </c>
      <c r="P804" s="128">
        <v>2567424.7199999997</v>
      </c>
      <c r="Q804" s="128">
        <v>0</v>
      </c>
      <c r="R804" s="128">
        <v>0</v>
      </c>
      <c r="S804" s="128">
        <f t="shared" si="209"/>
        <v>2567424.7199999997</v>
      </c>
      <c r="T804" s="128">
        <f t="shared" si="200"/>
        <v>3555.0051509277205</v>
      </c>
      <c r="U804" s="128">
        <v>4510.9427803932422</v>
      </c>
      <c r="V804" s="257">
        <f t="shared" si="210"/>
        <v>955.9376294655217</v>
      </c>
      <c r="W804" s="257">
        <f t="shared" si="211"/>
        <v>4495.6089227360835</v>
      </c>
      <c r="X804" s="257">
        <v>0</v>
      </c>
      <c r="Y804" s="258">
        <v>0</v>
      </c>
      <c r="Z804" s="258">
        <v>0</v>
      </c>
      <c r="AA804" s="258">
        <v>0</v>
      </c>
      <c r="AB804" s="258">
        <v>0</v>
      </c>
      <c r="AC804" s="258">
        <v>0</v>
      </c>
      <c r="AD804" s="258">
        <v>0</v>
      </c>
      <c r="AE804" s="258">
        <v>520.4</v>
      </c>
      <c r="AF804" s="257">
        <f t="shared" si="208"/>
        <v>4495.6089227360835</v>
      </c>
      <c r="AG804" s="258">
        <v>0</v>
      </c>
      <c r="AH804" s="257">
        <v>0</v>
      </c>
      <c r="AI804" s="258">
        <v>0</v>
      </c>
      <c r="AJ804" s="257">
        <v>0</v>
      </c>
      <c r="AK804" s="258">
        <v>0</v>
      </c>
      <c r="AL804" s="258">
        <v>0</v>
      </c>
      <c r="AM804" s="258">
        <v>0</v>
      </c>
      <c r="AN804" s="258"/>
      <c r="AO804" s="258">
        <v>0</v>
      </c>
    </row>
    <row r="805" spans="1:41" s="259" customFormat="1" ht="36" customHeight="1" x14ac:dyDescent="0.25">
      <c r="A805" s="259">
        <v>1</v>
      </c>
      <c r="B805" s="135">
        <f>SUBTOTAL(103,$A$552:A805)</f>
        <v>241</v>
      </c>
      <c r="C805" s="94" t="s">
        <v>689</v>
      </c>
      <c r="D805" s="124">
        <v>1981</v>
      </c>
      <c r="E805" s="124"/>
      <c r="F805" s="129" t="s">
        <v>269</v>
      </c>
      <c r="G805" s="124">
        <v>2</v>
      </c>
      <c r="H805" s="124">
        <v>3</v>
      </c>
      <c r="I805" s="125">
        <v>975</v>
      </c>
      <c r="J805" s="125">
        <v>975</v>
      </c>
      <c r="K805" s="125">
        <v>975</v>
      </c>
      <c r="L805" s="126">
        <v>47</v>
      </c>
      <c r="M805" s="124" t="s">
        <v>267</v>
      </c>
      <c r="N805" s="124" t="s">
        <v>268</v>
      </c>
      <c r="O805" s="127" t="s">
        <v>270</v>
      </c>
      <c r="P805" s="128">
        <v>4559283.37</v>
      </c>
      <c r="Q805" s="128">
        <v>0</v>
      </c>
      <c r="R805" s="128">
        <v>0</v>
      </c>
      <c r="S805" s="128">
        <f t="shared" si="206"/>
        <v>4559283.37</v>
      </c>
      <c r="T805" s="128">
        <f t="shared" si="200"/>
        <v>4676.1880717948716</v>
      </c>
      <c r="U805" s="128">
        <v>5586.015692307692</v>
      </c>
      <c r="V805" s="257">
        <f t="shared" si="179"/>
        <v>909.82762051282043</v>
      </c>
      <c r="W805" s="257">
        <f t="shared" si="207"/>
        <v>5477.4430358974359</v>
      </c>
      <c r="X805" s="257">
        <v>0</v>
      </c>
      <c r="Y805" s="258">
        <v>0</v>
      </c>
      <c r="Z805" s="258">
        <v>0</v>
      </c>
      <c r="AA805" s="258">
        <v>0</v>
      </c>
      <c r="AB805" s="258">
        <v>0</v>
      </c>
      <c r="AC805" s="258">
        <v>0</v>
      </c>
      <c r="AD805" s="258">
        <v>0</v>
      </c>
      <c r="AE805" s="258">
        <v>856</v>
      </c>
      <c r="AF805" s="257">
        <f t="shared" si="208"/>
        <v>5477.4430358974359</v>
      </c>
      <c r="AG805" s="258">
        <v>0</v>
      </c>
      <c r="AH805" s="257">
        <v>0</v>
      </c>
      <c r="AI805" s="258">
        <v>0</v>
      </c>
      <c r="AJ805" s="257">
        <v>0</v>
      </c>
      <c r="AK805" s="258">
        <v>0</v>
      </c>
      <c r="AL805" s="258">
        <v>0</v>
      </c>
      <c r="AM805" s="258">
        <v>0</v>
      </c>
      <c r="AN805" s="258"/>
      <c r="AO805" s="258">
        <v>0</v>
      </c>
    </row>
    <row r="806" spans="1:41" s="259" customFormat="1" ht="36" customHeight="1" x14ac:dyDescent="0.25">
      <c r="A806" s="259">
        <v>1</v>
      </c>
      <c r="B806" s="135">
        <f>SUBTOTAL(103,$A$552:A806)</f>
        <v>242</v>
      </c>
      <c r="C806" s="94" t="s">
        <v>664</v>
      </c>
      <c r="D806" s="124">
        <v>1963</v>
      </c>
      <c r="E806" s="124"/>
      <c r="F806" s="129" t="s">
        <v>269</v>
      </c>
      <c r="G806" s="124">
        <v>3</v>
      </c>
      <c r="H806" s="124" t="s">
        <v>305</v>
      </c>
      <c r="I806" s="125">
        <v>1703.8</v>
      </c>
      <c r="J806" s="125">
        <v>1339.8</v>
      </c>
      <c r="K806" s="125">
        <v>1339.8</v>
      </c>
      <c r="L806" s="126">
        <v>62</v>
      </c>
      <c r="M806" s="124" t="s">
        <v>267</v>
      </c>
      <c r="N806" s="124" t="s">
        <v>271</v>
      </c>
      <c r="O806" s="127" t="s">
        <v>723</v>
      </c>
      <c r="P806" s="128">
        <v>5405855.4900000002</v>
      </c>
      <c r="Q806" s="128">
        <v>0</v>
      </c>
      <c r="R806" s="128">
        <v>0</v>
      </c>
      <c r="S806" s="128">
        <f t="shared" si="206"/>
        <v>5405855.4900000002</v>
      </c>
      <c r="T806" s="128">
        <f t="shared" si="200"/>
        <v>3172.8228019720627</v>
      </c>
      <c r="U806" s="128">
        <v>3643.0205335133232</v>
      </c>
      <c r="V806" s="257">
        <f t="shared" si="179"/>
        <v>470.19773154126051</v>
      </c>
      <c r="W806" s="257">
        <f t="shared" si="207"/>
        <v>4525.9377626481983</v>
      </c>
      <c r="X806" s="257">
        <v>0</v>
      </c>
      <c r="Y806" s="258">
        <v>0</v>
      </c>
      <c r="Z806" s="258">
        <v>0</v>
      </c>
      <c r="AA806" s="258">
        <v>0</v>
      </c>
      <c r="AB806" s="258">
        <v>0</v>
      </c>
      <c r="AC806" s="258">
        <v>0</v>
      </c>
      <c r="AD806" s="258">
        <v>0</v>
      </c>
      <c r="AE806" s="258">
        <v>1236</v>
      </c>
      <c r="AF806" s="257">
        <f t="shared" si="208"/>
        <v>4525.9377626481983</v>
      </c>
      <c r="AG806" s="258">
        <v>0</v>
      </c>
      <c r="AH806" s="257">
        <v>0</v>
      </c>
      <c r="AI806" s="258">
        <v>0</v>
      </c>
      <c r="AJ806" s="257">
        <v>0</v>
      </c>
      <c r="AK806" s="258">
        <v>0</v>
      </c>
      <c r="AL806" s="258">
        <v>0</v>
      </c>
      <c r="AM806" s="258">
        <v>0</v>
      </c>
      <c r="AN806" s="258"/>
      <c r="AO806" s="258">
        <v>0</v>
      </c>
    </row>
    <row r="807" spans="1:41" s="259" customFormat="1" ht="36" customHeight="1" x14ac:dyDescent="0.25">
      <c r="A807" s="259">
        <v>1</v>
      </c>
      <c r="B807" s="135">
        <f>SUBTOTAL(103,$A$552:A807)</f>
        <v>243</v>
      </c>
      <c r="C807" s="94" t="s">
        <v>1213</v>
      </c>
      <c r="D807" s="124">
        <v>1957</v>
      </c>
      <c r="E807" s="124"/>
      <c r="F807" s="129" t="s">
        <v>269</v>
      </c>
      <c r="G807" s="124" t="s">
        <v>314</v>
      </c>
      <c r="H807" s="124" t="s">
        <v>314</v>
      </c>
      <c r="I807" s="125">
        <v>988</v>
      </c>
      <c r="J807" s="125">
        <v>627.1</v>
      </c>
      <c r="K807" s="125">
        <v>627.1</v>
      </c>
      <c r="L807" s="126">
        <v>55</v>
      </c>
      <c r="M807" s="124" t="s">
        <v>267</v>
      </c>
      <c r="N807" s="124" t="s">
        <v>271</v>
      </c>
      <c r="O807" s="127" t="s">
        <v>1076</v>
      </c>
      <c r="P807" s="128">
        <v>3122749.9699999997</v>
      </c>
      <c r="Q807" s="128">
        <v>0</v>
      </c>
      <c r="R807" s="128">
        <v>0</v>
      </c>
      <c r="S807" s="128">
        <f t="shared" si="206"/>
        <v>3122749.9699999997</v>
      </c>
      <c r="T807" s="128">
        <f t="shared" si="200"/>
        <v>3160.6781072874492</v>
      </c>
      <c r="U807" s="128">
        <v>4681.9631526315779</v>
      </c>
      <c r="V807" s="257">
        <f t="shared" si="179"/>
        <v>1521.2850453441288</v>
      </c>
      <c r="W807" s="257">
        <f t="shared" si="207"/>
        <v>5992.6372368421053</v>
      </c>
      <c r="X807" s="257">
        <v>0</v>
      </c>
      <c r="Y807" s="258">
        <v>0</v>
      </c>
      <c r="Z807" s="258">
        <v>0</v>
      </c>
      <c r="AA807" s="258">
        <v>0</v>
      </c>
      <c r="AB807" s="258">
        <v>0</v>
      </c>
      <c r="AC807" s="258">
        <v>0</v>
      </c>
      <c r="AD807" s="258">
        <v>0</v>
      </c>
      <c r="AE807" s="258">
        <v>949</v>
      </c>
      <c r="AF807" s="257">
        <f t="shared" si="208"/>
        <v>5992.6372368421053</v>
      </c>
      <c r="AG807" s="258">
        <v>0</v>
      </c>
      <c r="AH807" s="257">
        <v>0</v>
      </c>
      <c r="AI807" s="258">
        <v>0</v>
      </c>
      <c r="AJ807" s="257">
        <v>0</v>
      </c>
      <c r="AK807" s="258">
        <v>0</v>
      </c>
      <c r="AL807" s="258">
        <v>0</v>
      </c>
      <c r="AM807" s="258">
        <v>0</v>
      </c>
      <c r="AN807" s="258"/>
      <c r="AO807" s="258">
        <v>0</v>
      </c>
    </row>
    <row r="808" spans="1:41" s="259" customFormat="1" ht="36" customHeight="1" x14ac:dyDescent="0.25">
      <c r="A808" s="259">
        <v>1</v>
      </c>
      <c r="B808" s="135">
        <f>SUBTOTAL(103,$A$552:A808)</f>
        <v>244</v>
      </c>
      <c r="C808" s="94" t="s">
        <v>1966</v>
      </c>
      <c r="D808" s="124">
        <v>1947</v>
      </c>
      <c r="E808" s="124"/>
      <c r="F808" s="129" t="s">
        <v>269</v>
      </c>
      <c r="G808" s="124">
        <v>2</v>
      </c>
      <c r="H808" s="124" t="s">
        <v>306</v>
      </c>
      <c r="I808" s="125">
        <v>511.5</v>
      </c>
      <c r="J808" s="125">
        <v>511.5</v>
      </c>
      <c r="K808" s="125">
        <f>J808</f>
        <v>511.5</v>
      </c>
      <c r="L808" s="126">
        <v>31</v>
      </c>
      <c r="M808" s="124" t="s">
        <v>267</v>
      </c>
      <c r="N808" s="124" t="s">
        <v>268</v>
      </c>
      <c r="O808" s="127" t="s">
        <v>270</v>
      </c>
      <c r="P808" s="128">
        <v>2259579.75</v>
      </c>
      <c r="Q808" s="128">
        <v>0</v>
      </c>
      <c r="R808" s="128">
        <v>0</v>
      </c>
      <c r="S808" s="128">
        <f t="shared" si="206"/>
        <v>2259579.75</v>
      </c>
      <c r="T808" s="128">
        <f t="shared" si="200"/>
        <v>4417.5557184750733</v>
      </c>
      <c r="U808" s="128">
        <v>5835.5006686217002</v>
      </c>
      <c r="V808" s="257">
        <f t="shared" si="179"/>
        <v>1417.944950146627</v>
      </c>
      <c r="W808" s="257">
        <f t="shared" si="207"/>
        <v>10245.717302052784</v>
      </c>
      <c r="X808" s="257">
        <v>0</v>
      </c>
      <c r="Y808" s="258">
        <v>0</v>
      </c>
      <c r="Z808" s="258">
        <v>0</v>
      </c>
      <c r="AA808" s="258">
        <v>0</v>
      </c>
      <c r="AB808" s="258">
        <v>0</v>
      </c>
      <c r="AC808" s="258">
        <v>0</v>
      </c>
      <c r="AD808" s="258">
        <v>0</v>
      </c>
      <c r="AE808" s="258">
        <v>840</v>
      </c>
      <c r="AF808" s="257">
        <f t="shared" si="208"/>
        <v>10245.717302052784</v>
      </c>
      <c r="AG808" s="258">
        <v>0</v>
      </c>
      <c r="AH808" s="257">
        <v>0</v>
      </c>
      <c r="AI808" s="258">
        <v>0</v>
      </c>
      <c r="AJ808" s="257">
        <v>0</v>
      </c>
      <c r="AK808" s="258">
        <v>0</v>
      </c>
      <c r="AL808" s="258">
        <v>0</v>
      </c>
      <c r="AM808" s="258">
        <v>0</v>
      </c>
      <c r="AN808" s="258"/>
      <c r="AO808" s="258">
        <v>0</v>
      </c>
    </row>
    <row r="809" spans="1:41" s="259" customFormat="1" ht="36" customHeight="1" x14ac:dyDescent="0.25">
      <c r="A809" s="259">
        <v>1</v>
      </c>
      <c r="B809" s="135">
        <f>SUBTOTAL(103,$A$552:A809)</f>
        <v>245</v>
      </c>
      <c r="C809" s="94" t="s">
        <v>1967</v>
      </c>
      <c r="D809" s="124">
        <v>1955</v>
      </c>
      <c r="E809" s="124"/>
      <c r="F809" s="129" t="s">
        <v>332</v>
      </c>
      <c r="G809" s="124">
        <v>2</v>
      </c>
      <c r="H809" s="124" t="s">
        <v>306</v>
      </c>
      <c r="I809" s="128">
        <v>367</v>
      </c>
      <c r="J809" s="128">
        <v>367</v>
      </c>
      <c r="K809" s="128">
        <f>J809-56</f>
        <v>311</v>
      </c>
      <c r="L809" s="126">
        <v>21</v>
      </c>
      <c r="M809" s="124" t="s">
        <v>267</v>
      </c>
      <c r="N809" s="124" t="s">
        <v>268</v>
      </c>
      <c r="O809" s="127" t="s">
        <v>270</v>
      </c>
      <c r="P809" s="128">
        <v>2460182.5699999998</v>
      </c>
      <c r="Q809" s="128">
        <v>0</v>
      </c>
      <c r="R809" s="128">
        <v>0</v>
      </c>
      <c r="S809" s="128">
        <f t="shared" si="206"/>
        <v>2460182.5699999998</v>
      </c>
      <c r="T809" s="128">
        <f t="shared" si="200"/>
        <v>6703.4947411444136</v>
      </c>
      <c r="U809" s="128">
        <v>12969.828991825614</v>
      </c>
      <c r="V809" s="257">
        <f t="shared" si="179"/>
        <v>6266.3342506812005</v>
      </c>
      <c r="W809" s="257">
        <f t="shared" si="207"/>
        <v>6932.4999945504087</v>
      </c>
      <c r="X809" s="257">
        <v>0</v>
      </c>
      <c r="Y809" s="258">
        <v>0</v>
      </c>
      <c r="Z809" s="258">
        <v>0</v>
      </c>
      <c r="AA809" s="258">
        <v>0</v>
      </c>
      <c r="AB809" s="258">
        <v>0</v>
      </c>
      <c r="AC809" s="258">
        <v>0</v>
      </c>
      <c r="AD809" s="258">
        <v>0</v>
      </c>
      <c r="AE809" s="258">
        <v>407.8</v>
      </c>
      <c r="AF809" s="257">
        <f t="shared" si="208"/>
        <v>6932.4999945504087</v>
      </c>
      <c r="AG809" s="258">
        <v>0</v>
      </c>
      <c r="AH809" s="257">
        <v>0</v>
      </c>
      <c r="AI809" s="258">
        <v>0</v>
      </c>
      <c r="AJ809" s="257">
        <v>0</v>
      </c>
      <c r="AK809" s="258">
        <v>0</v>
      </c>
      <c r="AL809" s="258">
        <v>0</v>
      </c>
      <c r="AM809" s="258">
        <v>0</v>
      </c>
      <c r="AN809" s="258"/>
      <c r="AO809" s="258">
        <v>0</v>
      </c>
    </row>
    <row r="810" spans="1:41" s="259" customFormat="1" ht="36" customHeight="1" x14ac:dyDescent="0.25">
      <c r="A810" s="259">
        <v>1</v>
      </c>
      <c r="B810" s="135">
        <f>SUBTOTAL(103,$A$552:A810)</f>
        <v>246</v>
      </c>
      <c r="C810" s="94" t="s">
        <v>675</v>
      </c>
      <c r="D810" s="124">
        <v>1917</v>
      </c>
      <c r="E810" s="124"/>
      <c r="F810" s="129" t="s">
        <v>269</v>
      </c>
      <c r="G810" s="124">
        <v>2</v>
      </c>
      <c r="H810" s="124" t="s">
        <v>305</v>
      </c>
      <c r="I810" s="128">
        <v>231.6</v>
      </c>
      <c r="J810" s="128">
        <v>231.6</v>
      </c>
      <c r="K810" s="128">
        <v>101.7</v>
      </c>
      <c r="L810" s="126">
        <v>11</v>
      </c>
      <c r="M810" s="124" t="s">
        <v>267</v>
      </c>
      <c r="N810" s="124" t="s">
        <v>268</v>
      </c>
      <c r="O810" s="127" t="s">
        <v>270</v>
      </c>
      <c r="P810" s="128">
        <v>3058347.5</v>
      </c>
      <c r="Q810" s="128">
        <v>0</v>
      </c>
      <c r="R810" s="128">
        <v>0</v>
      </c>
      <c r="S810" s="128">
        <f t="shared" si="206"/>
        <v>3058347.5</v>
      </c>
      <c r="T810" s="128">
        <f t="shared" si="200"/>
        <v>13205.300086355786</v>
      </c>
      <c r="U810" s="128">
        <v>18806.533031088082</v>
      </c>
      <c r="V810" s="257">
        <f t="shared" ref="V810" si="212">U810-T810</f>
        <v>5601.2329447322954</v>
      </c>
      <c r="W810" s="257">
        <f t="shared" si="207"/>
        <v>14018.690690846286</v>
      </c>
      <c r="X810" s="257">
        <v>0</v>
      </c>
      <c r="Y810" s="258">
        <v>0</v>
      </c>
      <c r="Z810" s="258">
        <v>0</v>
      </c>
      <c r="AA810" s="258">
        <v>0</v>
      </c>
      <c r="AB810" s="258">
        <v>0</v>
      </c>
      <c r="AC810" s="258">
        <v>0</v>
      </c>
      <c r="AD810" s="258">
        <v>0</v>
      </c>
      <c r="AE810" s="258">
        <v>520.4</v>
      </c>
      <c r="AF810" s="257">
        <f t="shared" si="208"/>
        <v>14018.690690846286</v>
      </c>
      <c r="AG810" s="258">
        <v>0</v>
      </c>
      <c r="AH810" s="257">
        <v>0</v>
      </c>
      <c r="AI810" s="258">
        <v>0</v>
      </c>
      <c r="AJ810" s="257">
        <v>0</v>
      </c>
      <c r="AK810" s="258">
        <v>0</v>
      </c>
      <c r="AL810" s="258">
        <v>0</v>
      </c>
      <c r="AM810" s="258">
        <v>0</v>
      </c>
      <c r="AN810" s="258"/>
      <c r="AO810" s="258">
        <v>0</v>
      </c>
    </row>
    <row r="811" spans="1:41" s="259" customFormat="1" ht="36" customHeight="1" x14ac:dyDescent="0.25">
      <c r="B811" s="94" t="s">
        <v>830</v>
      </c>
      <c r="C811" s="261"/>
      <c r="D811" s="124" t="s">
        <v>896</v>
      </c>
      <c r="E811" s="124" t="s">
        <v>896</v>
      </c>
      <c r="F811" s="124" t="s">
        <v>896</v>
      </c>
      <c r="G811" s="124" t="s">
        <v>896</v>
      </c>
      <c r="H811" s="124" t="s">
        <v>896</v>
      </c>
      <c r="I811" s="125">
        <f>SUM(I812:I821)</f>
        <v>12858.21</v>
      </c>
      <c r="J811" s="125">
        <f>SUM(J812:J821)</f>
        <v>11743.61</v>
      </c>
      <c r="K811" s="125">
        <f>SUM(K812:K821)</f>
        <v>9302.41</v>
      </c>
      <c r="L811" s="126">
        <f>SUM(L812:L821)</f>
        <v>844</v>
      </c>
      <c r="M811" s="124" t="s">
        <v>896</v>
      </c>
      <c r="N811" s="124" t="s">
        <v>896</v>
      </c>
      <c r="O811" s="127" t="s">
        <v>896</v>
      </c>
      <c r="P811" s="125">
        <v>25570376.100000001</v>
      </c>
      <c r="Q811" s="125">
        <f>SUM(Q812:Q821)</f>
        <v>0</v>
      </c>
      <c r="R811" s="125">
        <f>SUM(R812:R821)</f>
        <v>0</v>
      </c>
      <c r="S811" s="125">
        <f>SUM(S812:S821)</f>
        <v>25570376.100000001</v>
      </c>
      <c r="T811" s="128">
        <f t="shared" si="200"/>
        <v>1988.6419727162647</v>
      </c>
      <c r="U811" s="128">
        <f>MAX(U812:U821)</f>
        <v>5900.6680414507764</v>
      </c>
      <c r="V811" s="257">
        <f t="shared" ref="V811:V900" si="213">U811-T811</f>
        <v>3912.0260687345117</v>
      </c>
      <c r="W811" s="257"/>
      <c r="X811" s="257"/>
      <c r="Y811" s="258"/>
      <c r="Z811" s="258"/>
      <c r="AA811" s="258"/>
      <c r="AB811" s="258"/>
      <c r="AC811" s="258"/>
      <c r="AD811" s="258"/>
      <c r="AE811" s="258"/>
      <c r="AF811" s="258"/>
      <c r="AG811" s="258"/>
      <c r="AH811" s="258"/>
      <c r="AI811" s="258"/>
      <c r="AJ811" s="258"/>
      <c r="AK811" s="258"/>
      <c r="AL811" s="258"/>
      <c r="AM811" s="258"/>
      <c r="AN811" s="258"/>
      <c r="AO811" s="258"/>
    </row>
    <row r="812" spans="1:41" s="259" customFormat="1" ht="36" customHeight="1" x14ac:dyDescent="0.25">
      <c r="A812" s="259">
        <v>1</v>
      </c>
      <c r="B812" s="135">
        <f>SUBTOTAL(103,$A$552:A812)</f>
        <v>247</v>
      </c>
      <c r="C812" s="94" t="s">
        <v>236</v>
      </c>
      <c r="D812" s="124">
        <v>1973</v>
      </c>
      <c r="E812" s="124"/>
      <c r="F812" s="129" t="s">
        <v>269</v>
      </c>
      <c r="G812" s="124">
        <v>5</v>
      </c>
      <c r="H812" s="124" t="s">
        <v>373</v>
      </c>
      <c r="I812" s="125">
        <v>4741.1099999999997</v>
      </c>
      <c r="J812" s="125">
        <v>4403.51</v>
      </c>
      <c r="K812" s="125">
        <v>4403.51</v>
      </c>
      <c r="L812" s="126">
        <v>260</v>
      </c>
      <c r="M812" s="124" t="s">
        <v>267</v>
      </c>
      <c r="N812" s="124" t="s">
        <v>271</v>
      </c>
      <c r="O812" s="127" t="s">
        <v>336</v>
      </c>
      <c r="P812" s="128">
        <v>7386727.6500000004</v>
      </c>
      <c r="Q812" s="128">
        <v>0</v>
      </c>
      <c r="R812" s="128">
        <v>0</v>
      </c>
      <c r="S812" s="128">
        <f t="shared" ref="S812:S821" si="214">P812-Q812-R812</f>
        <v>7386727.6500000004</v>
      </c>
      <c r="T812" s="128">
        <f t="shared" si="200"/>
        <v>1558.0165087922451</v>
      </c>
      <c r="U812" s="128">
        <v>1992.4926251447446</v>
      </c>
      <c r="V812" s="257">
        <f t="shared" si="213"/>
        <v>434.4761163524995</v>
      </c>
      <c r="W812" s="257">
        <f t="shared" ref="W812:W821" si="215">X812+Y812+Z812+AA812+AB812+AD812+AF812+AH812+AJ812+AL812+AN812+AO812</f>
        <v>1985.7196289476515</v>
      </c>
      <c r="X812" s="257">
        <v>0</v>
      </c>
      <c r="Y812" s="258">
        <v>0</v>
      </c>
      <c r="Z812" s="258">
        <v>0</v>
      </c>
      <c r="AA812" s="258">
        <v>0</v>
      </c>
      <c r="AB812" s="258">
        <v>0</v>
      </c>
      <c r="AC812" s="258">
        <v>0</v>
      </c>
      <c r="AD812" s="258">
        <v>0</v>
      </c>
      <c r="AE812" s="258">
        <v>1509</v>
      </c>
      <c r="AF812" s="257">
        <f>6238.91*AE812/I812</f>
        <v>1985.7196289476515</v>
      </c>
      <c r="AG812" s="258">
        <v>0</v>
      </c>
      <c r="AH812" s="257">
        <v>0</v>
      </c>
      <c r="AI812" s="258">
        <v>0</v>
      </c>
      <c r="AJ812" s="257">
        <v>0</v>
      </c>
      <c r="AK812" s="258">
        <v>0</v>
      </c>
      <c r="AL812" s="258">
        <v>0</v>
      </c>
      <c r="AM812" s="258">
        <v>0</v>
      </c>
      <c r="AN812" s="258"/>
      <c r="AO812" s="258">
        <v>0</v>
      </c>
    </row>
    <row r="813" spans="1:41" s="259" customFormat="1" ht="36" customHeight="1" x14ac:dyDescent="0.25">
      <c r="A813" s="259">
        <v>1</v>
      </c>
      <c r="B813" s="135">
        <f>SUBTOTAL(103,$A$552:A813)</f>
        <v>248</v>
      </c>
      <c r="C813" s="94" t="s">
        <v>241</v>
      </c>
      <c r="D813" s="124">
        <v>1989</v>
      </c>
      <c r="E813" s="124"/>
      <c r="F813" s="129" t="s">
        <v>269</v>
      </c>
      <c r="G813" s="124">
        <v>2</v>
      </c>
      <c r="H813" s="124" t="s">
        <v>314</v>
      </c>
      <c r="I813" s="125">
        <v>946.8</v>
      </c>
      <c r="J813" s="125">
        <v>859.3</v>
      </c>
      <c r="K813" s="125">
        <v>816</v>
      </c>
      <c r="L813" s="126">
        <v>40</v>
      </c>
      <c r="M813" s="124" t="s">
        <v>267</v>
      </c>
      <c r="N813" s="124" t="s">
        <v>271</v>
      </c>
      <c r="O813" s="127" t="s">
        <v>335</v>
      </c>
      <c r="P813" s="128">
        <v>4229794.2699999996</v>
      </c>
      <c r="Q813" s="128">
        <v>0</v>
      </c>
      <c r="R813" s="128">
        <v>0</v>
      </c>
      <c r="S813" s="128">
        <f t="shared" si="214"/>
        <v>4229794.2699999996</v>
      </c>
      <c r="T813" s="128">
        <f t="shared" si="200"/>
        <v>4467.4633185466837</v>
      </c>
      <c r="U813" s="128">
        <v>4728.6410223912135</v>
      </c>
      <c r="V813" s="257">
        <f t="shared" ref="V813:V815" si="216">U813-T813</f>
        <v>261.17770384452979</v>
      </c>
      <c r="W813" s="257">
        <f t="shared" ref="W813:W815" si="217">X813+Y813+Z813+AA813+AB813+AD813+AF813+AH813+AJ813+AL813+AN813+AO813</f>
        <v>4728.6410223912135</v>
      </c>
      <c r="X813" s="257">
        <v>0</v>
      </c>
      <c r="Y813" s="258">
        <v>0</v>
      </c>
      <c r="Z813" s="258">
        <v>0</v>
      </c>
      <c r="AA813" s="258">
        <v>0</v>
      </c>
      <c r="AB813" s="258">
        <v>0</v>
      </c>
      <c r="AC813" s="258">
        <v>0</v>
      </c>
      <c r="AD813" s="258">
        <v>0</v>
      </c>
      <c r="AE813" s="258">
        <v>0</v>
      </c>
      <c r="AF813" s="257">
        <v>0</v>
      </c>
      <c r="AG813" s="258">
        <v>0</v>
      </c>
      <c r="AH813" s="257">
        <v>0</v>
      </c>
      <c r="AI813" s="258">
        <v>0</v>
      </c>
      <c r="AJ813" s="257">
        <v>0</v>
      </c>
      <c r="AK813" s="258">
        <v>0</v>
      </c>
      <c r="AL813" s="258">
        <v>0</v>
      </c>
      <c r="AM813" s="258">
        <v>641</v>
      </c>
      <c r="AN813" s="258">
        <f>6984.52*AM813/I813</f>
        <v>4728.6410223912135</v>
      </c>
      <c r="AO813" s="258">
        <v>0</v>
      </c>
    </row>
    <row r="814" spans="1:41" s="259" customFormat="1" ht="36" customHeight="1" x14ac:dyDescent="0.25">
      <c r="A814" s="259">
        <v>1</v>
      </c>
      <c r="B814" s="135">
        <f>SUBTOTAL(103,$A$552:A814)</f>
        <v>249</v>
      </c>
      <c r="C814" s="94" t="s">
        <v>1619</v>
      </c>
      <c r="D814" s="124">
        <v>1940</v>
      </c>
      <c r="E814" s="124"/>
      <c r="F814" s="129" t="s">
        <v>332</v>
      </c>
      <c r="G814" s="124">
        <v>2</v>
      </c>
      <c r="H814" s="124" t="s">
        <v>306</v>
      </c>
      <c r="I814" s="125">
        <v>324</v>
      </c>
      <c r="J814" s="125">
        <v>303.10000000000002</v>
      </c>
      <c r="K814" s="125">
        <v>250.5</v>
      </c>
      <c r="L814" s="126">
        <v>15</v>
      </c>
      <c r="M814" s="124" t="s">
        <v>267</v>
      </c>
      <c r="N814" s="124" t="s">
        <v>271</v>
      </c>
      <c r="O814" s="127" t="s">
        <v>335</v>
      </c>
      <c r="P814" s="128">
        <v>1438527.14</v>
      </c>
      <c r="Q814" s="128">
        <v>0</v>
      </c>
      <c r="R814" s="128">
        <v>0</v>
      </c>
      <c r="S814" s="128">
        <f t="shared" si="214"/>
        <v>1438527.14</v>
      </c>
      <c r="T814" s="128">
        <f t="shared" si="200"/>
        <v>4439.8985802469133</v>
      </c>
      <c r="U814" s="128">
        <v>5410.0407407407401</v>
      </c>
      <c r="V814" s="257">
        <f t="shared" si="216"/>
        <v>970.14216049382685</v>
      </c>
      <c r="W814" s="257">
        <f t="shared" si="217"/>
        <v>5391.6506172839509</v>
      </c>
      <c r="X814" s="257">
        <v>0</v>
      </c>
      <c r="Y814" s="258">
        <v>0</v>
      </c>
      <c r="Z814" s="258">
        <v>0</v>
      </c>
      <c r="AA814" s="258">
        <v>0</v>
      </c>
      <c r="AB814" s="258">
        <v>0</v>
      </c>
      <c r="AC814" s="258">
        <v>0</v>
      </c>
      <c r="AD814" s="258">
        <v>0</v>
      </c>
      <c r="AE814" s="258">
        <v>280</v>
      </c>
      <c r="AF814" s="257">
        <f>6238.91*AE814/I814</f>
        <v>5391.6506172839509</v>
      </c>
      <c r="AG814" s="258">
        <v>0</v>
      </c>
      <c r="AH814" s="257">
        <v>0</v>
      </c>
      <c r="AI814" s="258">
        <v>0</v>
      </c>
      <c r="AJ814" s="257">
        <v>0</v>
      </c>
      <c r="AK814" s="258">
        <v>0</v>
      </c>
      <c r="AL814" s="258">
        <v>0</v>
      </c>
      <c r="AM814" s="258">
        <v>0</v>
      </c>
      <c r="AN814" s="258"/>
      <c r="AO814" s="258">
        <v>0</v>
      </c>
    </row>
    <row r="815" spans="1:41" s="259" customFormat="1" ht="36" customHeight="1" x14ac:dyDescent="0.25">
      <c r="A815" s="259">
        <v>1</v>
      </c>
      <c r="B815" s="135">
        <f>SUBTOTAL(103,$A$552:A815)</f>
        <v>250</v>
      </c>
      <c r="C815" s="94" t="s">
        <v>1219</v>
      </c>
      <c r="D815" s="124">
        <v>1955</v>
      </c>
      <c r="E815" s="124"/>
      <c r="F815" s="129" t="s">
        <v>1317</v>
      </c>
      <c r="G815" s="124">
        <v>2</v>
      </c>
      <c r="H815" s="124" t="s">
        <v>305</v>
      </c>
      <c r="I815" s="125">
        <v>805.7</v>
      </c>
      <c r="J815" s="125">
        <v>731</v>
      </c>
      <c r="K815" s="125">
        <v>705.2</v>
      </c>
      <c r="L815" s="126">
        <v>37</v>
      </c>
      <c r="M815" s="124" t="s">
        <v>267</v>
      </c>
      <c r="N815" s="124" t="s">
        <v>271</v>
      </c>
      <c r="O815" s="127" t="s">
        <v>335</v>
      </c>
      <c r="P815" s="128">
        <v>2302763.91</v>
      </c>
      <c r="Q815" s="128">
        <v>0</v>
      </c>
      <c r="R815" s="128">
        <v>0</v>
      </c>
      <c r="S815" s="128">
        <f t="shared" si="214"/>
        <v>2302763.91</v>
      </c>
      <c r="T815" s="128">
        <f t="shared" si="200"/>
        <v>2858.0909892019363</v>
      </c>
      <c r="U815" s="128">
        <v>5166.9682884448303</v>
      </c>
      <c r="V815" s="257">
        <f t="shared" si="216"/>
        <v>2308.877299242894</v>
      </c>
      <c r="W815" s="257">
        <f t="shared" si="217"/>
        <v>10862.758197840389</v>
      </c>
      <c r="X815" s="257">
        <v>0</v>
      </c>
      <c r="Y815" s="258">
        <v>0</v>
      </c>
      <c r="Z815" s="258">
        <v>0</v>
      </c>
      <c r="AA815" s="258">
        <v>0</v>
      </c>
      <c r="AB815" s="258">
        <v>0</v>
      </c>
      <c r="AC815" s="258">
        <v>0</v>
      </c>
      <c r="AD815" s="258">
        <v>0</v>
      </c>
      <c r="AE815" s="258">
        <v>0</v>
      </c>
      <c r="AF815" s="257">
        <v>0</v>
      </c>
      <c r="AG815" s="258">
        <v>0</v>
      </c>
      <c r="AH815" s="257">
        <v>0</v>
      </c>
      <c r="AI815" s="258">
        <v>0</v>
      </c>
      <c r="AJ815" s="257">
        <v>0</v>
      </c>
      <c r="AK815" s="258">
        <v>114</v>
      </c>
      <c r="AL815" s="257">
        <f>76773.02*AK815/I815</f>
        <v>10862.758197840389</v>
      </c>
      <c r="AM815" s="258">
        <v>0</v>
      </c>
      <c r="AN815" s="258"/>
      <c r="AO815" s="258">
        <v>0</v>
      </c>
    </row>
    <row r="816" spans="1:41" s="259" customFormat="1" ht="36" customHeight="1" x14ac:dyDescent="0.25">
      <c r="A816" s="259">
        <v>1</v>
      </c>
      <c r="B816" s="135">
        <f>SUBTOTAL(103,$A$552:A816)</f>
        <v>251</v>
      </c>
      <c r="C816" s="94" t="s">
        <v>234</v>
      </c>
      <c r="D816" s="124">
        <v>1964</v>
      </c>
      <c r="E816" s="124"/>
      <c r="F816" s="129" t="s">
        <v>269</v>
      </c>
      <c r="G816" s="124">
        <v>2</v>
      </c>
      <c r="H816" s="124" t="s">
        <v>305</v>
      </c>
      <c r="I816" s="125">
        <v>645.4</v>
      </c>
      <c r="J816" s="125">
        <v>597.4</v>
      </c>
      <c r="K816" s="125">
        <v>596.20000000000005</v>
      </c>
      <c r="L816" s="126">
        <v>42</v>
      </c>
      <c r="M816" s="124" t="s">
        <v>267</v>
      </c>
      <c r="N816" s="124" t="s">
        <v>271</v>
      </c>
      <c r="O816" s="127" t="s">
        <v>336</v>
      </c>
      <c r="P816" s="128">
        <v>2244110.73</v>
      </c>
      <c r="Q816" s="128">
        <v>0</v>
      </c>
      <c r="R816" s="128">
        <v>0</v>
      </c>
      <c r="S816" s="128">
        <f t="shared" si="214"/>
        <v>2244110.73</v>
      </c>
      <c r="T816" s="128">
        <f t="shared" si="200"/>
        <v>3477.0851100092968</v>
      </c>
      <c r="U816" s="128">
        <v>5184.5478462968704</v>
      </c>
      <c r="V816" s="257">
        <f t="shared" ref="V816:V818" si="218">U816-T816</f>
        <v>1707.4627362875735</v>
      </c>
      <c r="W816" s="257">
        <f t="shared" ref="W816:W818" si="219">X816+Y816+Z816+AA816+AB816+AD816+AF816+AH816+AJ816+AL816+AN816+AO816</f>
        <v>6936.9031918190276</v>
      </c>
      <c r="X816" s="257">
        <v>0</v>
      </c>
      <c r="Y816" s="258">
        <v>0</v>
      </c>
      <c r="Z816" s="258">
        <v>0</v>
      </c>
      <c r="AA816" s="258">
        <v>0</v>
      </c>
      <c r="AB816" s="258">
        <v>0</v>
      </c>
      <c r="AC816" s="258">
        <v>0</v>
      </c>
      <c r="AD816" s="258">
        <v>0</v>
      </c>
      <c r="AE816" s="258">
        <v>0</v>
      </c>
      <c r="AF816" s="257">
        <v>0</v>
      </c>
      <c r="AG816" s="258">
        <v>0</v>
      </c>
      <c r="AH816" s="257">
        <v>0</v>
      </c>
      <c r="AI816" s="258">
        <v>0</v>
      </c>
      <c r="AJ816" s="257">
        <v>0</v>
      </c>
      <c r="AK816" s="258">
        <v>0</v>
      </c>
      <c r="AL816" s="258">
        <v>0</v>
      </c>
      <c r="AM816" s="258">
        <v>641</v>
      </c>
      <c r="AN816" s="258">
        <f>6984.52*AM816/I816</f>
        <v>6936.9031918190276</v>
      </c>
      <c r="AO816" s="258">
        <v>0</v>
      </c>
    </row>
    <row r="817" spans="1:41" s="259" customFormat="1" ht="36" customHeight="1" x14ac:dyDescent="0.25">
      <c r="A817" s="259">
        <v>1</v>
      </c>
      <c r="B817" s="135">
        <f>SUBTOTAL(103,$A$552:A817)</f>
        <v>252</v>
      </c>
      <c r="C817" s="94" t="s">
        <v>238</v>
      </c>
      <c r="D817" s="124">
        <v>1963</v>
      </c>
      <c r="E817" s="124"/>
      <c r="F817" s="129" t="s">
        <v>269</v>
      </c>
      <c r="G817" s="124">
        <v>2</v>
      </c>
      <c r="H817" s="124" t="s">
        <v>306</v>
      </c>
      <c r="I817" s="125">
        <v>336.7</v>
      </c>
      <c r="J817" s="125">
        <v>304.3</v>
      </c>
      <c r="K817" s="125">
        <v>304.3</v>
      </c>
      <c r="L817" s="126">
        <v>15</v>
      </c>
      <c r="M817" s="124" t="s">
        <v>267</v>
      </c>
      <c r="N817" s="124" t="s">
        <v>271</v>
      </c>
      <c r="O817" s="127" t="s">
        <v>335</v>
      </c>
      <c r="P817" s="128">
        <v>1262100</v>
      </c>
      <c r="Q817" s="128">
        <v>0</v>
      </c>
      <c r="R817" s="128">
        <v>0</v>
      </c>
      <c r="S817" s="128">
        <f t="shared" si="214"/>
        <v>1262100</v>
      </c>
      <c r="T817" s="128">
        <f t="shared" si="200"/>
        <v>3748.4407484407484</v>
      </c>
      <c r="U817" s="128">
        <v>5038.6441639441637</v>
      </c>
      <c r="V817" s="257">
        <f t="shared" si="218"/>
        <v>1290.2034155034153</v>
      </c>
      <c r="W817" s="257">
        <f t="shared" si="219"/>
        <v>5188.2827442827447</v>
      </c>
      <c r="X817" s="257">
        <v>0</v>
      </c>
      <c r="Y817" s="258">
        <v>0</v>
      </c>
      <c r="Z817" s="258">
        <v>0</v>
      </c>
      <c r="AA817" s="258">
        <v>0</v>
      </c>
      <c r="AB817" s="258">
        <v>0</v>
      </c>
      <c r="AC817" s="258">
        <v>0</v>
      </c>
      <c r="AD817" s="258">
        <v>0</v>
      </c>
      <c r="AE817" s="258">
        <v>280</v>
      </c>
      <c r="AF817" s="257">
        <f>6238.91*AE817/I817</f>
        <v>5188.2827442827447</v>
      </c>
      <c r="AG817" s="258">
        <v>0</v>
      </c>
      <c r="AH817" s="257">
        <v>0</v>
      </c>
      <c r="AI817" s="258">
        <v>0</v>
      </c>
      <c r="AJ817" s="257">
        <v>0</v>
      </c>
      <c r="AK817" s="258">
        <v>0</v>
      </c>
      <c r="AL817" s="258">
        <v>0</v>
      </c>
      <c r="AM817" s="258">
        <v>0</v>
      </c>
      <c r="AN817" s="258"/>
      <c r="AO817" s="258">
        <v>0</v>
      </c>
    </row>
    <row r="818" spans="1:41" s="259" customFormat="1" ht="36" customHeight="1" x14ac:dyDescent="0.25">
      <c r="A818" s="259">
        <v>1</v>
      </c>
      <c r="B818" s="135">
        <f>SUBTOTAL(103,$A$552:A818)</f>
        <v>253</v>
      </c>
      <c r="C818" s="94" t="s">
        <v>240</v>
      </c>
      <c r="D818" s="124">
        <v>1972</v>
      </c>
      <c r="E818" s="124"/>
      <c r="F818" s="129" t="s">
        <v>269</v>
      </c>
      <c r="G818" s="124">
        <v>2</v>
      </c>
      <c r="H818" s="124" t="s">
        <v>314</v>
      </c>
      <c r="I818" s="125">
        <v>899</v>
      </c>
      <c r="J818" s="125">
        <v>845</v>
      </c>
      <c r="K818" s="125">
        <v>845</v>
      </c>
      <c r="L818" s="126">
        <v>54</v>
      </c>
      <c r="M818" s="124" t="s">
        <v>267</v>
      </c>
      <c r="N818" s="124" t="s">
        <v>271</v>
      </c>
      <c r="O818" s="127" t="s">
        <v>335</v>
      </c>
      <c r="P818" s="128">
        <v>2600940</v>
      </c>
      <c r="Q818" s="128">
        <v>0</v>
      </c>
      <c r="R818" s="128">
        <v>0</v>
      </c>
      <c r="S818" s="128">
        <f t="shared" si="214"/>
        <v>2600940</v>
      </c>
      <c r="T818" s="128">
        <f t="shared" si="200"/>
        <v>2893.1479421579534</v>
      </c>
      <c r="U818" s="128">
        <v>3756.1139999999996</v>
      </c>
      <c r="V818" s="257">
        <f t="shared" si="218"/>
        <v>862.96605784204621</v>
      </c>
      <c r="W818" s="257">
        <f t="shared" si="219"/>
        <v>9735.3996440489445</v>
      </c>
      <c r="X818" s="257">
        <v>0</v>
      </c>
      <c r="Y818" s="258">
        <v>0</v>
      </c>
      <c r="Z818" s="258">
        <v>0</v>
      </c>
      <c r="AA818" s="258">
        <v>0</v>
      </c>
      <c r="AB818" s="258">
        <v>0</v>
      </c>
      <c r="AC818" s="258">
        <v>0</v>
      </c>
      <c r="AD818" s="258">
        <v>0</v>
      </c>
      <c r="AE818" s="258">
        <v>0</v>
      </c>
      <c r="AF818" s="257">
        <v>0</v>
      </c>
      <c r="AG818" s="258">
        <v>0</v>
      </c>
      <c r="AH818" s="257">
        <v>0</v>
      </c>
      <c r="AI818" s="258">
        <v>0</v>
      </c>
      <c r="AJ818" s="257">
        <v>0</v>
      </c>
      <c r="AK818" s="258">
        <v>114</v>
      </c>
      <c r="AL818" s="257">
        <f>76773.02*AK818/I818</f>
        <v>9735.3996440489445</v>
      </c>
      <c r="AM818" s="258">
        <v>0</v>
      </c>
      <c r="AN818" s="258"/>
      <c r="AO818" s="258">
        <v>0</v>
      </c>
    </row>
    <row r="819" spans="1:41" s="259" customFormat="1" ht="36" customHeight="1" x14ac:dyDescent="0.25">
      <c r="A819" s="259">
        <v>1</v>
      </c>
      <c r="B819" s="135">
        <f>SUBTOTAL(103,$A$552:A819)</f>
        <v>254</v>
      </c>
      <c r="C819" s="94" t="s">
        <v>1217</v>
      </c>
      <c r="D819" s="124">
        <v>1977</v>
      </c>
      <c r="E819" s="124"/>
      <c r="F819" s="129" t="s">
        <v>269</v>
      </c>
      <c r="G819" s="124">
        <v>5</v>
      </c>
      <c r="H819" s="124" t="s">
        <v>306</v>
      </c>
      <c r="I819" s="125">
        <v>3019</v>
      </c>
      <c r="J819" s="125">
        <v>3019</v>
      </c>
      <c r="K819" s="125">
        <v>764.2</v>
      </c>
      <c r="L819" s="126">
        <v>333</v>
      </c>
      <c r="M819" s="124" t="s">
        <v>267</v>
      </c>
      <c r="N819" s="124" t="s">
        <v>271</v>
      </c>
      <c r="O819" s="127" t="s">
        <v>1316</v>
      </c>
      <c r="P819" s="128">
        <v>878254.32000000007</v>
      </c>
      <c r="Q819" s="128">
        <v>0</v>
      </c>
      <c r="R819" s="128">
        <v>0</v>
      </c>
      <c r="S819" s="128">
        <f t="shared" si="214"/>
        <v>878254.32000000007</v>
      </c>
      <c r="T819" s="128">
        <f t="shared" si="200"/>
        <v>290.90901623053992</v>
      </c>
      <c r="U819" s="128">
        <v>290.90901623053992</v>
      </c>
      <c r="V819" s="257">
        <f t="shared" si="213"/>
        <v>0</v>
      </c>
      <c r="W819" s="257">
        <f t="shared" si="215"/>
        <v>578.63358728055653</v>
      </c>
      <c r="X819" s="257">
        <v>0</v>
      </c>
      <c r="Y819" s="258">
        <v>0</v>
      </c>
      <c r="Z819" s="258">
        <v>0</v>
      </c>
      <c r="AA819" s="258">
        <v>0</v>
      </c>
      <c r="AB819" s="258">
        <v>0</v>
      </c>
      <c r="AC819" s="258">
        <v>0</v>
      </c>
      <c r="AD819" s="258">
        <v>0</v>
      </c>
      <c r="AE819" s="258">
        <v>280</v>
      </c>
      <c r="AF819" s="257">
        <f>6238.91*AE819/I819</f>
        <v>578.63358728055653</v>
      </c>
      <c r="AG819" s="258">
        <v>0</v>
      </c>
      <c r="AH819" s="257">
        <v>0</v>
      </c>
      <c r="AI819" s="258">
        <v>0</v>
      </c>
      <c r="AJ819" s="257">
        <v>0</v>
      </c>
      <c r="AK819" s="258">
        <v>0</v>
      </c>
      <c r="AL819" s="258">
        <v>0</v>
      </c>
      <c r="AM819" s="258">
        <v>0</v>
      </c>
      <c r="AN819" s="258"/>
      <c r="AO819" s="258">
        <v>0</v>
      </c>
    </row>
    <row r="820" spans="1:41" s="259" customFormat="1" ht="36" customHeight="1" x14ac:dyDescent="0.25">
      <c r="A820" s="259">
        <v>1</v>
      </c>
      <c r="B820" s="135">
        <f>SUBTOTAL(103,$A$552:A820)</f>
        <v>255</v>
      </c>
      <c r="C820" s="94" t="s">
        <v>1220</v>
      </c>
      <c r="D820" s="124">
        <v>1958</v>
      </c>
      <c r="E820" s="124"/>
      <c r="F820" s="129" t="s">
        <v>269</v>
      </c>
      <c r="G820" s="124">
        <v>2</v>
      </c>
      <c r="H820" s="124" t="s">
        <v>305</v>
      </c>
      <c r="I820" s="125">
        <v>482.5</v>
      </c>
      <c r="J820" s="125">
        <v>430.9</v>
      </c>
      <c r="K820" s="125">
        <v>367.4</v>
      </c>
      <c r="L820" s="126">
        <v>27</v>
      </c>
      <c r="M820" s="124" t="s">
        <v>267</v>
      </c>
      <c r="N820" s="124" t="s">
        <v>271</v>
      </c>
      <c r="O820" s="127" t="s">
        <v>335</v>
      </c>
      <c r="P820" s="128">
        <v>1811384.8699999999</v>
      </c>
      <c r="Q820" s="128">
        <v>0</v>
      </c>
      <c r="R820" s="128">
        <v>0</v>
      </c>
      <c r="S820" s="128">
        <f t="shared" si="214"/>
        <v>1811384.8699999999</v>
      </c>
      <c r="T820" s="128">
        <f t="shared" si="200"/>
        <v>3754.1655336787562</v>
      </c>
      <c r="U820" s="128">
        <v>5900.6680414507764</v>
      </c>
      <c r="V820" s="257">
        <f t="shared" si="213"/>
        <v>2146.5025077720202</v>
      </c>
      <c r="W820" s="257">
        <f t="shared" si="215"/>
        <v>18139.11767875648</v>
      </c>
      <c r="X820" s="257">
        <v>0</v>
      </c>
      <c r="Y820" s="258">
        <v>0</v>
      </c>
      <c r="Z820" s="258">
        <v>0</v>
      </c>
      <c r="AA820" s="258">
        <v>0</v>
      </c>
      <c r="AB820" s="258">
        <v>0</v>
      </c>
      <c r="AC820" s="258">
        <v>0</v>
      </c>
      <c r="AD820" s="258">
        <v>0</v>
      </c>
      <c r="AE820" s="258">
        <v>0</v>
      </c>
      <c r="AF820" s="257">
        <v>0</v>
      </c>
      <c r="AG820" s="258">
        <v>0</v>
      </c>
      <c r="AH820" s="257">
        <v>0</v>
      </c>
      <c r="AI820" s="258">
        <v>0</v>
      </c>
      <c r="AJ820" s="257">
        <v>0</v>
      </c>
      <c r="AK820" s="258">
        <v>114</v>
      </c>
      <c r="AL820" s="257">
        <f>76773.02*AK820/I820</f>
        <v>18139.11767875648</v>
      </c>
      <c r="AM820" s="258">
        <v>0</v>
      </c>
      <c r="AN820" s="258"/>
      <c r="AO820" s="258">
        <v>0</v>
      </c>
    </row>
    <row r="821" spans="1:41" s="259" customFormat="1" ht="36" customHeight="1" x14ac:dyDescent="0.25">
      <c r="A821" s="259">
        <v>1</v>
      </c>
      <c r="B821" s="135">
        <f>SUBTOTAL(103,$A$552:A821)</f>
        <v>256</v>
      </c>
      <c r="C821" s="94" t="s">
        <v>1594</v>
      </c>
      <c r="D821" s="124">
        <v>1958</v>
      </c>
      <c r="E821" s="124"/>
      <c r="F821" s="129" t="s">
        <v>332</v>
      </c>
      <c r="G821" s="124">
        <v>2</v>
      </c>
      <c r="H821" s="124" t="s">
        <v>306</v>
      </c>
      <c r="I821" s="128">
        <v>658</v>
      </c>
      <c r="J821" s="128">
        <v>250.1</v>
      </c>
      <c r="K821" s="128">
        <v>250.1</v>
      </c>
      <c r="L821" s="126">
        <v>21</v>
      </c>
      <c r="M821" s="124" t="s">
        <v>267</v>
      </c>
      <c r="N821" s="124" t="s">
        <v>271</v>
      </c>
      <c r="O821" s="127" t="s">
        <v>335</v>
      </c>
      <c r="P821" s="128">
        <v>1415773.2100000002</v>
      </c>
      <c r="Q821" s="128">
        <v>0</v>
      </c>
      <c r="R821" s="128">
        <v>0</v>
      </c>
      <c r="S821" s="128">
        <f t="shared" si="214"/>
        <v>1415773.2100000002</v>
      </c>
      <c r="T821" s="128">
        <f t="shared" si="200"/>
        <v>2151.6310182370826</v>
      </c>
      <c r="U821" s="128">
        <v>2285.4679848024316</v>
      </c>
      <c r="V821" s="257">
        <f t="shared" si="213"/>
        <v>133.83696656534903</v>
      </c>
      <c r="W821" s="257">
        <f t="shared" si="215"/>
        <v>6305.2813829787228</v>
      </c>
      <c r="X821" s="257">
        <v>0</v>
      </c>
      <c r="Y821" s="258">
        <v>0</v>
      </c>
      <c r="Z821" s="258">
        <v>0</v>
      </c>
      <c r="AA821" s="258">
        <v>0</v>
      </c>
      <c r="AB821" s="258">
        <v>0</v>
      </c>
      <c r="AC821" s="258">
        <v>0</v>
      </c>
      <c r="AD821" s="258">
        <v>0</v>
      </c>
      <c r="AE821" s="258">
        <v>665</v>
      </c>
      <c r="AF821" s="257">
        <f>6238.91*AE821/I821</f>
        <v>6305.2813829787228</v>
      </c>
      <c r="AG821" s="258">
        <v>0</v>
      </c>
      <c r="AH821" s="257">
        <v>0</v>
      </c>
      <c r="AI821" s="258">
        <v>0</v>
      </c>
      <c r="AJ821" s="257">
        <v>0</v>
      </c>
      <c r="AK821" s="258">
        <v>0</v>
      </c>
      <c r="AL821" s="258">
        <v>0</v>
      </c>
      <c r="AM821" s="258">
        <v>0</v>
      </c>
      <c r="AN821" s="258"/>
      <c r="AO821" s="258">
        <v>0</v>
      </c>
    </row>
    <row r="822" spans="1:41" s="259" customFormat="1" ht="36" customHeight="1" x14ac:dyDescent="0.25">
      <c r="B822" s="94" t="s">
        <v>1285</v>
      </c>
      <c r="C822" s="94"/>
      <c r="D822" s="124" t="s">
        <v>896</v>
      </c>
      <c r="E822" s="124" t="s">
        <v>896</v>
      </c>
      <c r="F822" s="124" t="s">
        <v>896</v>
      </c>
      <c r="G822" s="124" t="s">
        <v>896</v>
      </c>
      <c r="H822" s="124" t="s">
        <v>896</v>
      </c>
      <c r="I822" s="125">
        <f>SUM(I823:I824)</f>
        <v>1813.6000000000001</v>
      </c>
      <c r="J822" s="125">
        <f t="shared" ref="J822:L822" si="220">SUM(J823:J824)</f>
        <v>1627.1000000000001</v>
      </c>
      <c r="K822" s="125">
        <f t="shared" si="220"/>
        <v>1572.5000000000002</v>
      </c>
      <c r="L822" s="126">
        <f t="shared" si="220"/>
        <v>68</v>
      </c>
      <c r="M822" s="124" t="s">
        <v>896</v>
      </c>
      <c r="N822" s="124" t="s">
        <v>896</v>
      </c>
      <c r="O822" s="127" t="s">
        <v>896</v>
      </c>
      <c r="P822" s="128">
        <v>5788982.2599999998</v>
      </c>
      <c r="Q822" s="128">
        <f t="shared" ref="Q822:S822" si="221">SUM(Q823:Q824)</f>
        <v>0</v>
      </c>
      <c r="R822" s="128">
        <f t="shared" si="221"/>
        <v>0</v>
      </c>
      <c r="S822" s="128">
        <f t="shared" si="221"/>
        <v>5788982.2599999998</v>
      </c>
      <c r="T822" s="128">
        <f t="shared" si="200"/>
        <v>3191.9840427878248</v>
      </c>
      <c r="U822" s="128">
        <f>MAX(U823:U824)</f>
        <v>7527.0909833061887</v>
      </c>
      <c r="V822" s="257">
        <f t="shared" si="213"/>
        <v>4335.1069405183644</v>
      </c>
      <c r="W822" s="257"/>
      <c r="X822" s="257"/>
      <c r="Y822" s="258"/>
      <c r="Z822" s="258"/>
      <c r="AA822" s="258"/>
      <c r="AB822" s="258"/>
      <c r="AC822" s="258"/>
      <c r="AD822" s="258"/>
      <c r="AE822" s="258"/>
      <c r="AF822" s="258"/>
      <c r="AG822" s="258"/>
      <c r="AH822" s="258"/>
      <c r="AI822" s="258"/>
      <c r="AJ822" s="258"/>
      <c r="AK822" s="258"/>
      <c r="AL822" s="258"/>
      <c r="AM822" s="258"/>
      <c r="AN822" s="258"/>
      <c r="AO822" s="258"/>
    </row>
    <row r="823" spans="1:41" s="259" customFormat="1" ht="36" customHeight="1" x14ac:dyDescent="0.25">
      <c r="A823" s="259">
        <v>1</v>
      </c>
      <c r="B823" s="135">
        <f>SUBTOTAL(103,$A$552:A823)</f>
        <v>257</v>
      </c>
      <c r="C823" s="94" t="s">
        <v>1286</v>
      </c>
      <c r="D823" s="124">
        <v>1981</v>
      </c>
      <c r="E823" s="124"/>
      <c r="F823" s="129" t="s">
        <v>320</v>
      </c>
      <c r="G823" s="124">
        <v>2</v>
      </c>
      <c r="H823" s="124" t="s">
        <v>310</v>
      </c>
      <c r="I823" s="125">
        <v>1322.4</v>
      </c>
      <c r="J823" s="125">
        <v>1191.4000000000001</v>
      </c>
      <c r="K823" s="125">
        <v>1136.8000000000002</v>
      </c>
      <c r="L823" s="126">
        <v>36</v>
      </c>
      <c r="M823" s="124" t="s">
        <v>267</v>
      </c>
      <c r="N823" s="124" t="s">
        <v>268</v>
      </c>
      <c r="O823" s="127" t="s">
        <v>270</v>
      </c>
      <c r="P823" s="128">
        <v>3254609.94</v>
      </c>
      <c r="Q823" s="128">
        <v>0</v>
      </c>
      <c r="R823" s="128">
        <v>0</v>
      </c>
      <c r="S823" s="128">
        <f>P823-Q823-R823</f>
        <v>3254609.94</v>
      </c>
      <c r="T823" s="128">
        <f t="shared" si="200"/>
        <v>2461.1387931034483</v>
      </c>
      <c r="U823" s="128">
        <v>4738.6571960072597</v>
      </c>
      <c r="V823" s="257">
        <f t="shared" si="213"/>
        <v>2277.5184029038114</v>
      </c>
      <c r="W823" s="257">
        <f t="shared" ref="W823:W824" si="222">X823+Y823+Z823+AA823+AB823+AD823+AF823+AH823+AJ823+AL823+AN823+AO823</f>
        <v>4970.2106470054441</v>
      </c>
      <c r="X823" s="257">
        <v>0</v>
      </c>
      <c r="Y823" s="258">
        <v>0</v>
      </c>
      <c r="Z823" s="258">
        <v>0</v>
      </c>
      <c r="AA823" s="258">
        <v>0</v>
      </c>
      <c r="AB823" s="258">
        <v>0</v>
      </c>
      <c r="AC823" s="258">
        <v>0</v>
      </c>
      <c r="AD823" s="258">
        <v>0</v>
      </c>
      <c r="AE823" s="258">
        <v>0</v>
      </c>
      <c r="AF823" s="257">
        <v>0</v>
      </c>
      <c r="AG823" s="258">
        <v>0</v>
      </c>
      <c r="AH823" s="257">
        <v>0</v>
      </c>
      <c r="AI823" s="258">
        <v>842.36</v>
      </c>
      <c r="AJ823" s="257">
        <f>7802.61*AI823/I823</f>
        <v>4970.2106470054441</v>
      </c>
      <c r="AK823" s="258">
        <v>0</v>
      </c>
      <c r="AL823" s="258">
        <v>0</v>
      </c>
      <c r="AM823" s="258">
        <v>0</v>
      </c>
      <c r="AN823" s="258"/>
      <c r="AO823" s="258">
        <v>0</v>
      </c>
    </row>
    <row r="824" spans="1:41" s="259" customFormat="1" ht="36" customHeight="1" x14ac:dyDescent="0.25">
      <c r="A824" s="259">
        <v>1</v>
      </c>
      <c r="B824" s="135">
        <f>SUBTOTAL(103,$A$552:A824)</f>
        <v>258</v>
      </c>
      <c r="C824" s="94" t="s">
        <v>1223</v>
      </c>
      <c r="D824" s="124">
        <v>1967</v>
      </c>
      <c r="E824" s="124"/>
      <c r="F824" s="129" t="s">
        <v>269</v>
      </c>
      <c r="G824" s="124">
        <v>2</v>
      </c>
      <c r="H824" s="124" t="s">
        <v>305</v>
      </c>
      <c r="I824" s="128">
        <v>491.2</v>
      </c>
      <c r="J824" s="128">
        <v>435.7</v>
      </c>
      <c r="K824" s="128">
        <v>435.7</v>
      </c>
      <c r="L824" s="126">
        <v>32</v>
      </c>
      <c r="M824" s="124" t="s">
        <v>267</v>
      </c>
      <c r="N824" s="124" t="s">
        <v>268</v>
      </c>
      <c r="O824" s="127" t="s">
        <v>270</v>
      </c>
      <c r="P824" s="128">
        <v>2534372.3199999998</v>
      </c>
      <c r="Q824" s="128">
        <v>0</v>
      </c>
      <c r="R824" s="128">
        <v>0</v>
      </c>
      <c r="S824" s="128">
        <f>P824-Q824-R824</f>
        <v>2534372.3199999998</v>
      </c>
      <c r="T824" s="128">
        <f t="shared" si="200"/>
        <v>5159.5527687296417</v>
      </c>
      <c r="U824" s="128">
        <v>7527.0909833061887</v>
      </c>
      <c r="V824" s="257">
        <f t="shared" si="213"/>
        <v>2367.538214576547</v>
      </c>
      <c r="W824" s="257">
        <f t="shared" si="222"/>
        <v>7526.9395358306192</v>
      </c>
      <c r="X824" s="257">
        <v>0</v>
      </c>
      <c r="Y824" s="258">
        <v>0</v>
      </c>
      <c r="Z824" s="258">
        <v>0</v>
      </c>
      <c r="AA824" s="258">
        <v>0</v>
      </c>
      <c r="AB824" s="258">
        <v>0</v>
      </c>
      <c r="AC824" s="258">
        <v>0</v>
      </c>
      <c r="AD824" s="258">
        <v>0</v>
      </c>
      <c r="AE824" s="258">
        <v>0</v>
      </c>
      <c r="AF824" s="257">
        <v>0</v>
      </c>
      <c r="AG824" s="258">
        <v>0</v>
      </c>
      <c r="AH824" s="257">
        <v>0</v>
      </c>
      <c r="AI824" s="258">
        <v>497</v>
      </c>
      <c r="AJ824" s="257">
        <f>7439.1*AI824/I824</f>
        <v>7526.9395358306192</v>
      </c>
      <c r="AK824" s="258">
        <v>0</v>
      </c>
      <c r="AL824" s="258">
        <v>0</v>
      </c>
      <c r="AM824" s="258">
        <v>0</v>
      </c>
      <c r="AN824" s="258"/>
      <c r="AO824" s="258">
        <v>0</v>
      </c>
    </row>
    <row r="825" spans="1:41" s="259" customFormat="1" ht="36" customHeight="1" x14ac:dyDescent="0.25">
      <c r="B825" s="94" t="s">
        <v>831</v>
      </c>
      <c r="C825" s="94"/>
      <c r="D825" s="124" t="s">
        <v>896</v>
      </c>
      <c r="E825" s="124" t="s">
        <v>896</v>
      </c>
      <c r="F825" s="124" t="s">
        <v>896</v>
      </c>
      <c r="G825" s="124" t="s">
        <v>896</v>
      </c>
      <c r="H825" s="124" t="s">
        <v>896</v>
      </c>
      <c r="I825" s="125">
        <f>SUM(I826:I828)</f>
        <v>1142</v>
      </c>
      <c r="J825" s="125">
        <f t="shared" ref="J825:L825" si="223">SUM(J826:J828)</f>
        <v>1037.3</v>
      </c>
      <c r="K825" s="125">
        <f t="shared" si="223"/>
        <v>822.19999999999993</v>
      </c>
      <c r="L825" s="126">
        <f t="shared" si="223"/>
        <v>43</v>
      </c>
      <c r="M825" s="124" t="s">
        <v>896</v>
      </c>
      <c r="N825" s="124" t="s">
        <v>896</v>
      </c>
      <c r="O825" s="127" t="s">
        <v>896</v>
      </c>
      <c r="P825" s="128">
        <v>1900027.6800000002</v>
      </c>
      <c r="Q825" s="128">
        <f t="shared" ref="Q825:S825" si="224">SUM(Q826:Q828)</f>
        <v>0</v>
      </c>
      <c r="R825" s="128">
        <f t="shared" si="224"/>
        <v>0</v>
      </c>
      <c r="S825" s="128">
        <f t="shared" si="224"/>
        <v>1900027.6800000002</v>
      </c>
      <c r="T825" s="128">
        <f t="shared" si="200"/>
        <v>1663.7720490367776</v>
      </c>
      <c r="U825" s="128">
        <f>MAX(U826:U828)</f>
        <v>8321.4112350182386</v>
      </c>
      <c r="V825" s="257">
        <f t="shared" ref="V825:V828" si="225">U825-T825</f>
        <v>6657.6391859814612</v>
      </c>
      <c r="W825" s="257"/>
      <c r="X825" s="257"/>
      <c r="Y825" s="258"/>
      <c r="Z825" s="258"/>
      <c r="AA825" s="258"/>
      <c r="AB825" s="258"/>
      <c r="AC825" s="258"/>
      <c r="AD825" s="258"/>
      <c r="AE825" s="258"/>
      <c r="AF825" s="258"/>
      <c r="AG825" s="258"/>
      <c r="AH825" s="258"/>
      <c r="AI825" s="258"/>
      <c r="AJ825" s="258"/>
      <c r="AK825" s="258"/>
      <c r="AL825" s="258"/>
      <c r="AM825" s="258"/>
      <c r="AN825" s="258"/>
      <c r="AO825" s="258"/>
    </row>
    <row r="826" spans="1:41" s="259" customFormat="1" ht="36" customHeight="1" x14ac:dyDescent="0.25">
      <c r="A826" s="259">
        <v>1</v>
      </c>
      <c r="B826" s="135">
        <f>SUBTOTAL(103,$A$552:A826)</f>
        <v>259</v>
      </c>
      <c r="C826" s="94" t="s">
        <v>248</v>
      </c>
      <c r="D826" s="124">
        <v>1954</v>
      </c>
      <c r="E826" s="124"/>
      <c r="F826" s="129" t="s">
        <v>269</v>
      </c>
      <c r="G826" s="124">
        <v>2</v>
      </c>
      <c r="H826" s="124" t="s">
        <v>306</v>
      </c>
      <c r="I826" s="125">
        <v>373.6</v>
      </c>
      <c r="J826" s="125">
        <v>342.5</v>
      </c>
      <c r="K826" s="125">
        <v>160.1</v>
      </c>
      <c r="L826" s="126">
        <v>9</v>
      </c>
      <c r="M826" s="124" t="s">
        <v>267</v>
      </c>
      <c r="N826" s="124" t="s">
        <v>268</v>
      </c>
      <c r="O826" s="127" t="s">
        <v>270</v>
      </c>
      <c r="P826" s="128">
        <v>136194.91</v>
      </c>
      <c r="Q826" s="128">
        <v>0</v>
      </c>
      <c r="R826" s="128">
        <v>0</v>
      </c>
      <c r="S826" s="128">
        <f>P826-Q826-R826</f>
        <v>136194.91</v>
      </c>
      <c r="T826" s="128">
        <f t="shared" si="200"/>
        <v>364.54740364025696</v>
      </c>
      <c r="U826" s="128">
        <v>364.54740364025696</v>
      </c>
      <c r="V826" s="257">
        <f t="shared" si="225"/>
        <v>0</v>
      </c>
      <c r="W826" s="257">
        <f t="shared" ref="W826:W828" si="226">X826+Y826+Z826+AA826+AB826+AD826+AF826+AH826+AJ826+AL826+AN826+AO826</f>
        <v>17592.629977516059</v>
      </c>
      <c r="X826" s="257">
        <v>0</v>
      </c>
      <c r="Y826" s="258">
        <v>0</v>
      </c>
      <c r="Z826" s="258">
        <v>0</v>
      </c>
      <c r="AA826" s="258">
        <v>0</v>
      </c>
      <c r="AB826" s="258">
        <v>0</v>
      </c>
      <c r="AC826" s="258">
        <v>0</v>
      </c>
      <c r="AD826" s="258">
        <v>0</v>
      </c>
      <c r="AE826" s="258">
        <v>0</v>
      </c>
      <c r="AF826" s="257">
        <v>0</v>
      </c>
      <c r="AG826" s="258">
        <v>0</v>
      </c>
      <c r="AH826" s="257">
        <v>0</v>
      </c>
      <c r="AI826" s="258">
        <v>842.36</v>
      </c>
      <c r="AJ826" s="257">
        <f>7802.61*AI826/I826</f>
        <v>17592.629977516059</v>
      </c>
      <c r="AK826" s="258">
        <v>0</v>
      </c>
      <c r="AL826" s="258">
        <v>0</v>
      </c>
      <c r="AM826" s="258">
        <v>0</v>
      </c>
      <c r="AN826" s="258"/>
      <c r="AO826" s="258">
        <v>0</v>
      </c>
    </row>
    <row r="827" spans="1:41" s="259" customFormat="1" ht="36" customHeight="1" x14ac:dyDescent="0.25">
      <c r="A827" s="259">
        <v>1</v>
      </c>
      <c r="B827" s="135">
        <f>SUBTOTAL(103,$A$552:A827)</f>
        <v>260</v>
      </c>
      <c r="C827" s="94" t="s">
        <v>1224</v>
      </c>
      <c r="D827" s="124">
        <v>1973</v>
      </c>
      <c r="E827" s="124"/>
      <c r="F827" s="129" t="s">
        <v>269</v>
      </c>
      <c r="G827" s="124">
        <v>2</v>
      </c>
      <c r="H827" s="124" t="s">
        <v>306</v>
      </c>
      <c r="I827" s="128">
        <v>383.8</v>
      </c>
      <c r="J827" s="128">
        <v>334.9</v>
      </c>
      <c r="K827" s="128">
        <v>302.2</v>
      </c>
      <c r="L827" s="126">
        <v>16</v>
      </c>
      <c r="M827" s="124" t="s">
        <v>267</v>
      </c>
      <c r="N827" s="124" t="s">
        <v>268</v>
      </c>
      <c r="O827" s="127" t="s">
        <v>270</v>
      </c>
      <c r="P827" s="128">
        <v>383818.77</v>
      </c>
      <c r="Q827" s="128">
        <v>0</v>
      </c>
      <c r="R827" s="128">
        <v>0</v>
      </c>
      <c r="S827" s="128">
        <f>P827-Q827-R827</f>
        <v>383818.77</v>
      </c>
      <c r="T827" s="128">
        <f t="shared" si="200"/>
        <v>1000.0489056800417</v>
      </c>
      <c r="U827" s="128">
        <v>8321.4112350182386</v>
      </c>
      <c r="V827" s="257">
        <f t="shared" ref="V827" si="227">U827-T827</f>
        <v>7321.362329338197</v>
      </c>
      <c r="W827" s="257">
        <f t="shared" ref="W827" si="228">X827+Y827+Z827+AA827+AB827+AD827+AF827+AH827+AJ827+AL827+AN827+AO827</f>
        <v>9633.2274622199056</v>
      </c>
      <c r="X827" s="257">
        <v>0</v>
      </c>
      <c r="Y827" s="258">
        <v>0</v>
      </c>
      <c r="Z827" s="258">
        <v>0</v>
      </c>
      <c r="AA827" s="258">
        <v>0</v>
      </c>
      <c r="AB827" s="258">
        <v>0</v>
      </c>
      <c r="AC827" s="258">
        <v>0</v>
      </c>
      <c r="AD827" s="258">
        <v>0</v>
      </c>
      <c r="AE827" s="258">
        <v>0</v>
      </c>
      <c r="AF827" s="257">
        <v>0</v>
      </c>
      <c r="AG827" s="258">
        <v>0</v>
      </c>
      <c r="AH827" s="257">
        <v>0</v>
      </c>
      <c r="AI827" s="258">
        <v>497</v>
      </c>
      <c r="AJ827" s="257">
        <f>7439.1*AI827/I827</f>
        <v>9633.2274622199056</v>
      </c>
      <c r="AK827" s="258">
        <v>0</v>
      </c>
      <c r="AL827" s="258">
        <v>0</v>
      </c>
      <c r="AM827" s="258">
        <v>0</v>
      </c>
      <c r="AN827" s="258"/>
      <c r="AO827" s="258">
        <v>0</v>
      </c>
    </row>
    <row r="828" spans="1:41" s="259" customFormat="1" ht="36" customHeight="1" x14ac:dyDescent="0.25">
      <c r="A828" s="259">
        <v>1</v>
      </c>
      <c r="B828" s="135">
        <f>SUBTOTAL(103,$A$552:A828)</f>
        <v>261</v>
      </c>
      <c r="C828" s="94" t="s">
        <v>245</v>
      </c>
      <c r="D828" s="124">
        <v>1969</v>
      </c>
      <c r="E828" s="124"/>
      <c r="F828" s="129" t="s">
        <v>269</v>
      </c>
      <c r="G828" s="124">
        <v>2</v>
      </c>
      <c r="H828" s="124" t="s">
        <v>306</v>
      </c>
      <c r="I828" s="128">
        <v>384.6</v>
      </c>
      <c r="J828" s="128">
        <v>359.9</v>
      </c>
      <c r="K828" s="128">
        <v>359.9</v>
      </c>
      <c r="L828" s="126">
        <v>18</v>
      </c>
      <c r="M828" s="124" t="s">
        <v>267</v>
      </c>
      <c r="N828" s="124" t="s">
        <v>268</v>
      </c>
      <c r="O828" s="127" t="s">
        <v>270</v>
      </c>
      <c r="P828" s="128">
        <v>1380014</v>
      </c>
      <c r="Q828" s="128">
        <v>0</v>
      </c>
      <c r="R828" s="128">
        <v>0</v>
      </c>
      <c r="S828" s="128">
        <f>P828-Q828-R828</f>
        <v>1380014</v>
      </c>
      <c r="T828" s="128">
        <f t="shared" si="200"/>
        <v>3588.1799271970876</v>
      </c>
      <c r="U828" s="128">
        <v>7139.2922776911082</v>
      </c>
      <c r="V828" s="257">
        <f t="shared" si="225"/>
        <v>3551.1123504940206</v>
      </c>
      <c r="W828" s="257">
        <f t="shared" si="226"/>
        <v>9613.1895475819038</v>
      </c>
      <c r="X828" s="257">
        <v>0</v>
      </c>
      <c r="Y828" s="258">
        <v>0</v>
      </c>
      <c r="Z828" s="258">
        <v>0</v>
      </c>
      <c r="AA828" s="258">
        <v>0</v>
      </c>
      <c r="AB828" s="258">
        <v>0</v>
      </c>
      <c r="AC828" s="258">
        <v>0</v>
      </c>
      <c r="AD828" s="258">
        <v>0</v>
      </c>
      <c r="AE828" s="258">
        <v>0</v>
      </c>
      <c r="AF828" s="257">
        <v>0</v>
      </c>
      <c r="AG828" s="258">
        <v>0</v>
      </c>
      <c r="AH828" s="257">
        <v>0</v>
      </c>
      <c r="AI828" s="258">
        <v>497</v>
      </c>
      <c r="AJ828" s="257">
        <f>7439.1*AI828/I828</f>
        <v>9613.1895475819038</v>
      </c>
      <c r="AK828" s="258">
        <v>0</v>
      </c>
      <c r="AL828" s="258">
        <v>0</v>
      </c>
      <c r="AM828" s="258">
        <v>0</v>
      </c>
      <c r="AN828" s="258"/>
      <c r="AO828" s="258">
        <v>0</v>
      </c>
    </row>
    <row r="829" spans="1:41" s="259" customFormat="1" ht="36" customHeight="1" x14ac:dyDescent="0.25">
      <c r="B829" s="94" t="s">
        <v>873</v>
      </c>
      <c r="C829" s="94"/>
      <c r="D829" s="124" t="s">
        <v>896</v>
      </c>
      <c r="E829" s="124" t="s">
        <v>896</v>
      </c>
      <c r="F829" s="124" t="s">
        <v>896</v>
      </c>
      <c r="G829" s="124" t="s">
        <v>896</v>
      </c>
      <c r="H829" s="124" t="s">
        <v>896</v>
      </c>
      <c r="I829" s="125">
        <f>I830</f>
        <v>924.3</v>
      </c>
      <c r="J829" s="125">
        <f>J830</f>
        <v>558.9</v>
      </c>
      <c r="K829" s="125">
        <f>K830</f>
        <v>527.1</v>
      </c>
      <c r="L829" s="126">
        <f>L830</f>
        <v>22</v>
      </c>
      <c r="M829" s="124" t="s">
        <v>896</v>
      </c>
      <c r="N829" s="124" t="s">
        <v>896</v>
      </c>
      <c r="O829" s="127" t="s">
        <v>896</v>
      </c>
      <c r="P829" s="128">
        <v>2205555.96</v>
      </c>
      <c r="Q829" s="128">
        <f>Q830</f>
        <v>0</v>
      </c>
      <c r="R829" s="128">
        <f>R830</f>
        <v>0</v>
      </c>
      <c r="S829" s="128">
        <f>S830</f>
        <v>2205555.96</v>
      </c>
      <c r="T829" s="128">
        <f t="shared" si="200"/>
        <v>2386.1905874716003</v>
      </c>
      <c r="U829" s="128">
        <f>U830</f>
        <v>2994.9756767283347</v>
      </c>
      <c r="V829" s="257">
        <f t="shared" si="213"/>
        <v>608.78508925673441</v>
      </c>
      <c r="W829" s="257"/>
      <c r="X829" s="257"/>
      <c r="Y829" s="258"/>
      <c r="Z829" s="258"/>
      <c r="AA829" s="258"/>
      <c r="AB829" s="258"/>
      <c r="AC829" s="258"/>
      <c r="AD829" s="258"/>
      <c r="AE829" s="258"/>
      <c r="AF829" s="258"/>
      <c r="AG829" s="258"/>
      <c r="AH829" s="258"/>
      <c r="AI829" s="258"/>
      <c r="AJ829" s="258"/>
      <c r="AK829" s="258"/>
      <c r="AL829" s="258"/>
      <c r="AM829" s="258"/>
      <c r="AN829" s="258"/>
      <c r="AO829" s="258"/>
    </row>
    <row r="830" spans="1:41" s="259" customFormat="1" ht="36" customHeight="1" x14ac:dyDescent="0.25">
      <c r="A830" s="259">
        <v>1</v>
      </c>
      <c r="B830" s="135">
        <f>SUBTOTAL(103,$A$552:A830)</f>
        <v>262</v>
      </c>
      <c r="C830" s="94" t="s">
        <v>243</v>
      </c>
      <c r="D830" s="124">
        <v>1986</v>
      </c>
      <c r="E830" s="124"/>
      <c r="F830" s="129" t="s">
        <v>313</v>
      </c>
      <c r="G830" s="124">
        <v>2</v>
      </c>
      <c r="H830" s="124" t="s">
        <v>305</v>
      </c>
      <c r="I830" s="125">
        <v>924.3</v>
      </c>
      <c r="J830" s="125">
        <v>558.9</v>
      </c>
      <c r="K830" s="125">
        <v>527.1</v>
      </c>
      <c r="L830" s="126">
        <v>22</v>
      </c>
      <c r="M830" s="124" t="s">
        <v>267</v>
      </c>
      <c r="N830" s="124" t="s">
        <v>268</v>
      </c>
      <c r="O830" s="127" t="s">
        <v>270</v>
      </c>
      <c r="P830" s="128">
        <v>2205555.96</v>
      </c>
      <c r="Q830" s="128">
        <v>0</v>
      </c>
      <c r="R830" s="128">
        <v>0</v>
      </c>
      <c r="S830" s="128">
        <f>P830-Q830-R830</f>
        <v>2205555.96</v>
      </c>
      <c r="T830" s="128">
        <f t="shared" si="200"/>
        <v>2386.1905874716003</v>
      </c>
      <c r="U830" s="128">
        <v>2994.9756767283347</v>
      </c>
      <c r="V830" s="257">
        <f>U830-T830</f>
        <v>608.78508925673441</v>
      </c>
      <c r="W830" s="257">
        <f>X830+Y830+Z830+AA830+AB830+AD830+AF830+AH830+AJ830+AL830+AN830+AO830</f>
        <v>2984.7949821486532</v>
      </c>
      <c r="X830" s="257">
        <v>0</v>
      </c>
      <c r="Y830" s="258">
        <v>0</v>
      </c>
      <c r="Z830" s="258">
        <v>0</v>
      </c>
      <c r="AA830" s="258">
        <v>0</v>
      </c>
      <c r="AB830" s="258">
        <v>0</v>
      </c>
      <c r="AC830" s="258">
        <v>0</v>
      </c>
      <c r="AD830" s="258">
        <v>0</v>
      </c>
      <c r="AE830" s="258">
        <v>442.2</v>
      </c>
      <c r="AF830" s="257">
        <f>6238.91*AE830/I830</f>
        <v>2984.7949821486532</v>
      </c>
      <c r="AG830" s="258">
        <v>0</v>
      </c>
      <c r="AH830" s="257">
        <v>0</v>
      </c>
      <c r="AI830" s="258">
        <v>0</v>
      </c>
      <c r="AJ830" s="257">
        <v>0</v>
      </c>
      <c r="AK830" s="258">
        <v>0</v>
      </c>
      <c r="AL830" s="258">
        <v>0</v>
      </c>
      <c r="AM830" s="258">
        <v>0</v>
      </c>
      <c r="AN830" s="258"/>
      <c r="AO830" s="258">
        <v>0</v>
      </c>
    </row>
    <row r="831" spans="1:41" s="259" customFormat="1" ht="36" customHeight="1" x14ac:dyDescent="0.25">
      <c r="B831" s="94" t="s">
        <v>874</v>
      </c>
      <c r="C831" s="262"/>
      <c r="D831" s="124" t="s">
        <v>896</v>
      </c>
      <c r="E831" s="124" t="s">
        <v>896</v>
      </c>
      <c r="F831" s="124" t="s">
        <v>896</v>
      </c>
      <c r="G831" s="124" t="s">
        <v>896</v>
      </c>
      <c r="H831" s="124" t="s">
        <v>896</v>
      </c>
      <c r="I831" s="125">
        <f>I832</f>
        <v>672</v>
      </c>
      <c r="J831" s="125">
        <f>J832</f>
        <v>625.9</v>
      </c>
      <c r="K831" s="125">
        <f>K832</f>
        <v>453.4</v>
      </c>
      <c r="L831" s="126">
        <f>L832</f>
        <v>35</v>
      </c>
      <c r="M831" s="124" t="s">
        <v>896</v>
      </c>
      <c r="N831" s="124" t="s">
        <v>896</v>
      </c>
      <c r="O831" s="127" t="s">
        <v>896</v>
      </c>
      <c r="P831" s="128">
        <v>2610900</v>
      </c>
      <c r="Q831" s="128">
        <f>Q832</f>
        <v>0</v>
      </c>
      <c r="R831" s="128">
        <f>R832</f>
        <v>0</v>
      </c>
      <c r="S831" s="128">
        <f>S832</f>
        <v>2610900</v>
      </c>
      <c r="T831" s="128">
        <f t="shared" si="200"/>
        <v>3885.2678571428573</v>
      </c>
      <c r="U831" s="128">
        <f>U832</f>
        <v>4657.8794642857147</v>
      </c>
      <c r="V831" s="257">
        <f t="shared" si="213"/>
        <v>772.61160714285734</v>
      </c>
      <c r="W831" s="257"/>
      <c r="X831" s="257"/>
      <c r="Y831" s="258"/>
      <c r="Z831" s="258"/>
      <c r="AA831" s="258"/>
      <c r="AB831" s="258"/>
      <c r="AC831" s="258"/>
      <c r="AD831" s="258"/>
      <c r="AE831" s="258"/>
      <c r="AF831" s="258"/>
      <c r="AG831" s="258"/>
      <c r="AH831" s="258"/>
      <c r="AI831" s="258"/>
      <c r="AJ831" s="258"/>
      <c r="AK831" s="258"/>
      <c r="AL831" s="258"/>
      <c r="AM831" s="258"/>
      <c r="AN831" s="258"/>
      <c r="AO831" s="258"/>
    </row>
    <row r="832" spans="1:41" s="259" customFormat="1" ht="36" customHeight="1" x14ac:dyDescent="0.25">
      <c r="A832" s="259">
        <v>1</v>
      </c>
      <c r="B832" s="135">
        <f>SUBTOTAL(103,$A$552:A832)</f>
        <v>263</v>
      </c>
      <c r="C832" s="131" t="s">
        <v>2</v>
      </c>
      <c r="D832" s="124">
        <v>1963</v>
      </c>
      <c r="E832" s="124"/>
      <c r="F832" s="129" t="s">
        <v>269</v>
      </c>
      <c r="G832" s="124">
        <v>2</v>
      </c>
      <c r="H832" s="124" t="s">
        <v>305</v>
      </c>
      <c r="I832" s="125">
        <v>672</v>
      </c>
      <c r="J832" s="125">
        <v>625.9</v>
      </c>
      <c r="K832" s="125">
        <v>453.4</v>
      </c>
      <c r="L832" s="126">
        <v>35</v>
      </c>
      <c r="M832" s="124" t="s">
        <v>267</v>
      </c>
      <c r="N832" s="124" t="s">
        <v>268</v>
      </c>
      <c r="O832" s="127" t="s">
        <v>270</v>
      </c>
      <c r="P832" s="128">
        <v>2610900</v>
      </c>
      <c r="Q832" s="128">
        <v>0</v>
      </c>
      <c r="R832" s="128">
        <v>0</v>
      </c>
      <c r="S832" s="128">
        <f>P832-Q832-R832</f>
        <v>2610900</v>
      </c>
      <c r="T832" s="128">
        <f t="shared" si="200"/>
        <v>3885.2678571428573</v>
      </c>
      <c r="U832" s="128">
        <v>4657.8794642857147</v>
      </c>
      <c r="V832" s="257">
        <f>U832-T832</f>
        <v>772.61160714285734</v>
      </c>
      <c r="W832" s="257">
        <f>X832+Y832+Z832+AA832+AB832+AD832+AF832+AH832+AJ832+AL832+AN832+AO832</f>
        <v>4642.0461309523807</v>
      </c>
      <c r="X832" s="257">
        <v>0</v>
      </c>
      <c r="Y832" s="258">
        <v>0</v>
      </c>
      <c r="Z832" s="258">
        <v>0</v>
      </c>
      <c r="AA832" s="258">
        <v>0</v>
      </c>
      <c r="AB832" s="258">
        <v>0</v>
      </c>
      <c r="AC832" s="258">
        <v>0</v>
      </c>
      <c r="AD832" s="258">
        <v>0</v>
      </c>
      <c r="AE832" s="258">
        <v>500</v>
      </c>
      <c r="AF832" s="257">
        <f>6238.91*AE832/I832</f>
        <v>4642.0461309523807</v>
      </c>
      <c r="AG832" s="258">
        <v>0</v>
      </c>
      <c r="AH832" s="257">
        <v>0</v>
      </c>
      <c r="AI832" s="258">
        <v>0</v>
      </c>
      <c r="AJ832" s="257">
        <v>0</v>
      </c>
      <c r="AK832" s="258">
        <v>0</v>
      </c>
      <c r="AL832" s="258">
        <v>0</v>
      </c>
      <c r="AM832" s="258">
        <v>0</v>
      </c>
      <c r="AN832" s="258"/>
      <c r="AO832" s="258">
        <v>0</v>
      </c>
    </row>
    <row r="833" spans="1:41" s="259" customFormat="1" ht="36" customHeight="1" x14ac:dyDescent="0.25">
      <c r="B833" s="94" t="s">
        <v>875</v>
      </c>
      <c r="C833" s="131"/>
      <c r="D833" s="124" t="s">
        <v>896</v>
      </c>
      <c r="E833" s="124" t="s">
        <v>896</v>
      </c>
      <c r="F833" s="124" t="s">
        <v>896</v>
      </c>
      <c r="G833" s="124" t="s">
        <v>896</v>
      </c>
      <c r="H833" s="124" t="s">
        <v>896</v>
      </c>
      <c r="I833" s="125">
        <f>I834</f>
        <v>531.9</v>
      </c>
      <c r="J833" s="125">
        <f>J834</f>
        <v>471.5</v>
      </c>
      <c r="K833" s="125">
        <f>K834</f>
        <v>438.4</v>
      </c>
      <c r="L833" s="126">
        <f>L834</f>
        <v>14</v>
      </c>
      <c r="M833" s="124" t="s">
        <v>896</v>
      </c>
      <c r="N833" s="124" t="s">
        <v>896</v>
      </c>
      <c r="O833" s="127" t="s">
        <v>896</v>
      </c>
      <c r="P833" s="128">
        <v>3133080</v>
      </c>
      <c r="Q833" s="128">
        <f>Q834</f>
        <v>0</v>
      </c>
      <c r="R833" s="128">
        <f>R834</f>
        <v>0</v>
      </c>
      <c r="S833" s="128">
        <f>S834</f>
        <v>3133080</v>
      </c>
      <c r="T833" s="128">
        <f t="shared" si="200"/>
        <v>5890.3553299492387</v>
      </c>
      <c r="U833" s="128">
        <f>U834</f>
        <v>7061.6920473773262</v>
      </c>
      <c r="V833" s="257">
        <f t="shared" si="213"/>
        <v>1171.3367174280875</v>
      </c>
      <c r="W833" s="257"/>
      <c r="X833" s="257"/>
      <c r="Y833" s="258"/>
      <c r="Z833" s="258"/>
      <c r="AA833" s="258"/>
      <c r="AB833" s="258"/>
      <c r="AC833" s="258"/>
      <c r="AD833" s="258"/>
      <c r="AE833" s="258"/>
      <c r="AF833" s="258"/>
      <c r="AG833" s="258"/>
      <c r="AH833" s="258"/>
      <c r="AI833" s="258"/>
      <c r="AJ833" s="258"/>
      <c r="AK833" s="258"/>
      <c r="AL833" s="258"/>
      <c r="AM833" s="258"/>
      <c r="AN833" s="258"/>
      <c r="AO833" s="258"/>
    </row>
    <row r="834" spans="1:41" s="259" customFormat="1" ht="36" customHeight="1" x14ac:dyDescent="0.25">
      <c r="A834" s="259">
        <v>1</v>
      </c>
      <c r="B834" s="135">
        <f>SUBTOTAL(103,$A$552:A834)</f>
        <v>264</v>
      </c>
      <c r="C834" s="131" t="s">
        <v>1</v>
      </c>
      <c r="D834" s="124">
        <v>1962</v>
      </c>
      <c r="E834" s="124"/>
      <c r="F834" s="129" t="s">
        <v>269</v>
      </c>
      <c r="G834" s="124">
        <v>2</v>
      </c>
      <c r="H834" s="124" t="s">
        <v>305</v>
      </c>
      <c r="I834" s="125">
        <v>531.9</v>
      </c>
      <c r="J834" s="125">
        <v>471.5</v>
      </c>
      <c r="K834" s="125">
        <v>438.4</v>
      </c>
      <c r="L834" s="126">
        <v>14</v>
      </c>
      <c r="M834" s="124" t="s">
        <v>267</v>
      </c>
      <c r="N834" s="124" t="s">
        <v>268</v>
      </c>
      <c r="O834" s="127" t="s">
        <v>270</v>
      </c>
      <c r="P834" s="128">
        <v>3133080</v>
      </c>
      <c r="Q834" s="128">
        <v>0</v>
      </c>
      <c r="R834" s="128">
        <v>0</v>
      </c>
      <c r="S834" s="128">
        <f>P834-Q834-R834</f>
        <v>3133080</v>
      </c>
      <c r="T834" s="128">
        <f t="shared" si="200"/>
        <v>5890.3553299492387</v>
      </c>
      <c r="U834" s="128">
        <v>7061.6920473773262</v>
      </c>
      <c r="V834" s="257">
        <f>U834-T834</f>
        <v>1171.3367174280875</v>
      </c>
      <c r="W834" s="257">
        <f>X834+Y834+Z834+AA834+AB834+AD834+AF834+AH834+AJ834+AL834+AN834+AO834</f>
        <v>7037.6875352509869</v>
      </c>
      <c r="X834" s="257">
        <v>0</v>
      </c>
      <c r="Y834" s="258">
        <v>0</v>
      </c>
      <c r="Z834" s="258">
        <v>0</v>
      </c>
      <c r="AA834" s="258">
        <v>0</v>
      </c>
      <c r="AB834" s="258">
        <v>0</v>
      </c>
      <c r="AC834" s="258">
        <v>0</v>
      </c>
      <c r="AD834" s="258">
        <v>0</v>
      </c>
      <c r="AE834" s="258">
        <v>600</v>
      </c>
      <c r="AF834" s="257">
        <f>6238.91*AE834/I834</f>
        <v>7037.6875352509869</v>
      </c>
      <c r="AG834" s="258">
        <v>0</v>
      </c>
      <c r="AH834" s="257">
        <v>0</v>
      </c>
      <c r="AI834" s="258">
        <v>0</v>
      </c>
      <c r="AJ834" s="257">
        <v>0</v>
      </c>
      <c r="AK834" s="258">
        <v>0</v>
      </c>
      <c r="AL834" s="258">
        <v>0</v>
      </c>
      <c r="AM834" s="258">
        <v>0</v>
      </c>
      <c r="AN834" s="258"/>
      <c r="AO834" s="258">
        <v>0</v>
      </c>
    </row>
    <row r="835" spans="1:41" s="259" customFormat="1" ht="36" customHeight="1" x14ac:dyDescent="0.25">
      <c r="B835" s="94" t="s">
        <v>834</v>
      </c>
      <c r="C835" s="261"/>
      <c r="D835" s="124" t="s">
        <v>896</v>
      </c>
      <c r="E835" s="124" t="s">
        <v>896</v>
      </c>
      <c r="F835" s="124" t="s">
        <v>896</v>
      </c>
      <c r="G835" s="124" t="s">
        <v>896</v>
      </c>
      <c r="H835" s="124" t="s">
        <v>896</v>
      </c>
      <c r="I835" s="125">
        <f>I836</f>
        <v>7845.75</v>
      </c>
      <c r="J835" s="125">
        <f>J836</f>
        <v>6103.15</v>
      </c>
      <c r="K835" s="125">
        <f>K836</f>
        <v>5920.85</v>
      </c>
      <c r="L835" s="126">
        <f>L836</f>
        <v>252</v>
      </c>
      <c r="M835" s="124" t="s">
        <v>896</v>
      </c>
      <c r="N835" s="124" t="s">
        <v>896</v>
      </c>
      <c r="O835" s="127" t="s">
        <v>896</v>
      </c>
      <c r="P835" s="128">
        <v>8458120</v>
      </c>
      <c r="Q835" s="128">
        <f>Q836</f>
        <v>0</v>
      </c>
      <c r="R835" s="128">
        <f>R836</f>
        <v>0</v>
      </c>
      <c r="S835" s="128">
        <f>S836</f>
        <v>8458120</v>
      </c>
      <c r="T835" s="128">
        <f t="shared" si="200"/>
        <v>1078.0511742025938</v>
      </c>
      <c r="U835" s="128">
        <f>U836</f>
        <v>1595.8168435140044</v>
      </c>
      <c r="V835" s="257">
        <f t="shared" si="213"/>
        <v>517.76566931141065</v>
      </c>
      <c r="W835" s="257"/>
      <c r="X835" s="257"/>
      <c r="Y835" s="258"/>
      <c r="Z835" s="258"/>
      <c r="AA835" s="258"/>
      <c r="AB835" s="258"/>
      <c r="AC835" s="258"/>
      <c r="AD835" s="258"/>
      <c r="AE835" s="258"/>
      <c r="AF835" s="258"/>
      <c r="AG835" s="258"/>
      <c r="AH835" s="258"/>
      <c r="AI835" s="258"/>
      <c r="AJ835" s="258"/>
      <c r="AK835" s="258"/>
      <c r="AL835" s="258"/>
      <c r="AM835" s="258"/>
      <c r="AN835" s="258"/>
      <c r="AO835" s="258"/>
    </row>
    <row r="836" spans="1:41" s="259" customFormat="1" ht="36" customHeight="1" x14ac:dyDescent="0.25">
      <c r="A836" s="259">
        <v>1</v>
      </c>
      <c r="B836" s="135">
        <f>SUBTOTAL(103,$A$552:A836)</f>
        <v>265</v>
      </c>
      <c r="C836" s="94" t="s">
        <v>699</v>
      </c>
      <c r="D836" s="124">
        <v>1973</v>
      </c>
      <c r="E836" s="124">
        <v>1973</v>
      </c>
      <c r="F836" s="129" t="s">
        <v>320</v>
      </c>
      <c r="G836" s="124">
        <v>5</v>
      </c>
      <c r="H836" s="124" t="s">
        <v>2293</v>
      </c>
      <c r="I836" s="125">
        <v>7845.75</v>
      </c>
      <c r="J836" s="125">
        <v>6103.15</v>
      </c>
      <c r="K836" s="125">
        <v>5920.85</v>
      </c>
      <c r="L836" s="126">
        <v>252</v>
      </c>
      <c r="M836" s="124" t="s">
        <v>267</v>
      </c>
      <c r="N836" s="124" t="s">
        <v>271</v>
      </c>
      <c r="O836" s="127" t="s">
        <v>733</v>
      </c>
      <c r="P836" s="128">
        <v>8458120</v>
      </c>
      <c r="Q836" s="128">
        <v>0</v>
      </c>
      <c r="R836" s="128">
        <v>0</v>
      </c>
      <c r="S836" s="128">
        <f>P836-Q836-R836</f>
        <v>8458120</v>
      </c>
      <c r="T836" s="128">
        <f t="shared" si="200"/>
        <v>1078.0511742025938</v>
      </c>
      <c r="U836" s="128">
        <v>1595.8168435140044</v>
      </c>
      <c r="V836" s="257">
        <f>U836-T836</f>
        <v>517.76566931141065</v>
      </c>
      <c r="W836" s="257">
        <f>X836+Y836+Z836+AA836+AB836+AD836+AF836+AH836+AJ836+AL836+AN836+AO836</f>
        <v>1590.3922505815251</v>
      </c>
      <c r="X836" s="257">
        <v>0</v>
      </c>
      <c r="Y836" s="258">
        <v>0</v>
      </c>
      <c r="Z836" s="258">
        <v>0</v>
      </c>
      <c r="AA836" s="258">
        <v>0</v>
      </c>
      <c r="AB836" s="258">
        <v>0</v>
      </c>
      <c r="AC836" s="258">
        <v>0</v>
      </c>
      <c r="AD836" s="258">
        <v>0</v>
      </c>
      <c r="AE836" s="258">
        <v>2000</v>
      </c>
      <c r="AF836" s="257">
        <f>6238.91*AE836/I836</f>
        <v>1590.3922505815251</v>
      </c>
      <c r="AG836" s="258">
        <v>0</v>
      </c>
      <c r="AH836" s="257">
        <v>0</v>
      </c>
      <c r="AI836" s="258">
        <v>0</v>
      </c>
      <c r="AJ836" s="257">
        <v>0</v>
      </c>
      <c r="AK836" s="258">
        <v>0</v>
      </c>
      <c r="AL836" s="258">
        <v>0</v>
      </c>
      <c r="AM836" s="258">
        <v>0</v>
      </c>
      <c r="AN836" s="258"/>
      <c r="AO836" s="258">
        <v>0</v>
      </c>
    </row>
    <row r="837" spans="1:41" s="259" customFormat="1" ht="36" customHeight="1" x14ac:dyDescent="0.25">
      <c r="B837" s="94" t="s">
        <v>876</v>
      </c>
      <c r="C837" s="94"/>
      <c r="D837" s="124" t="s">
        <v>896</v>
      </c>
      <c r="E837" s="124" t="s">
        <v>896</v>
      </c>
      <c r="F837" s="124" t="s">
        <v>896</v>
      </c>
      <c r="G837" s="124" t="s">
        <v>896</v>
      </c>
      <c r="H837" s="124" t="s">
        <v>896</v>
      </c>
      <c r="I837" s="125">
        <f>I838</f>
        <v>550.20000000000005</v>
      </c>
      <c r="J837" s="125">
        <f>J838</f>
        <v>517.6</v>
      </c>
      <c r="K837" s="125">
        <f>K838</f>
        <v>517.6</v>
      </c>
      <c r="L837" s="126">
        <f>L838</f>
        <v>20</v>
      </c>
      <c r="M837" s="124" t="s">
        <v>896</v>
      </c>
      <c r="N837" s="124" t="s">
        <v>896</v>
      </c>
      <c r="O837" s="127" t="s">
        <v>896</v>
      </c>
      <c r="P837" s="128">
        <v>2537436</v>
      </c>
      <c r="Q837" s="128">
        <f>Q838</f>
        <v>0</v>
      </c>
      <c r="R837" s="128">
        <f>R838</f>
        <v>0</v>
      </c>
      <c r="S837" s="128">
        <f>S838</f>
        <v>2537436</v>
      </c>
      <c r="T837" s="128">
        <f t="shared" si="200"/>
        <v>4611.8429661941109</v>
      </c>
      <c r="U837" s="128">
        <f>U838</f>
        <v>6826.8157033805874</v>
      </c>
      <c r="V837" s="257">
        <f t="shared" si="213"/>
        <v>2214.9727371864765</v>
      </c>
      <c r="W837" s="257"/>
      <c r="X837" s="257"/>
      <c r="Y837" s="258"/>
      <c r="Z837" s="258"/>
      <c r="AA837" s="258"/>
      <c r="AB837" s="258"/>
      <c r="AC837" s="258"/>
      <c r="AD837" s="258"/>
      <c r="AE837" s="258"/>
      <c r="AF837" s="258"/>
      <c r="AG837" s="258"/>
      <c r="AH837" s="258"/>
      <c r="AI837" s="258"/>
      <c r="AJ837" s="258"/>
      <c r="AK837" s="258"/>
      <c r="AL837" s="258"/>
      <c r="AM837" s="258"/>
      <c r="AN837" s="258"/>
      <c r="AO837" s="258"/>
    </row>
    <row r="838" spans="1:41" s="259" customFormat="1" ht="36" customHeight="1" x14ac:dyDescent="0.25">
      <c r="A838" s="259">
        <v>1</v>
      </c>
      <c r="B838" s="135">
        <f>SUBTOTAL(103,$A$552:A838)</f>
        <v>266</v>
      </c>
      <c r="C838" s="94" t="s">
        <v>705</v>
      </c>
      <c r="D838" s="124">
        <v>1970</v>
      </c>
      <c r="E838" s="124"/>
      <c r="F838" s="129" t="s">
        <v>269</v>
      </c>
      <c r="G838" s="124">
        <v>2</v>
      </c>
      <c r="H838" s="124" t="s">
        <v>305</v>
      </c>
      <c r="I838" s="125">
        <v>550.20000000000005</v>
      </c>
      <c r="J838" s="125">
        <v>517.6</v>
      </c>
      <c r="K838" s="125">
        <v>517.6</v>
      </c>
      <c r="L838" s="126">
        <v>20</v>
      </c>
      <c r="M838" s="124" t="s">
        <v>267</v>
      </c>
      <c r="N838" s="124" t="s">
        <v>268</v>
      </c>
      <c r="O838" s="127" t="s">
        <v>270</v>
      </c>
      <c r="P838" s="128">
        <v>2537436</v>
      </c>
      <c r="Q838" s="128">
        <v>0</v>
      </c>
      <c r="R838" s="128">
        <v>0</v>
      </c>
      <c r="S838" s="128">
        <f>P838-Q838-R838</f>
        <v>2537436</v>
      </c>
      <c r="T838" s="128">
        <f t="shared" si="200"/>
        <v>4611.8429661941109</v>
      </c>
      <c r="U838" s="128">
        <v>6826.8157033805874</v>
      </c>
      <c r="V838" s="257">
        <f>U838-T838</f>
        <v>2214.9727371864765</v>
      </c>
      <c r="W838" s="257">
        <f>X838+Y838+Z838+AA838+AB838+AD838+AF838+AH838+AJ838+AL838+AN838+AO838</f>
        <v>6803.6095965103596</v>
      </c>
      <c r="X838" s="257">
        <v>0</v>
      </c>
      <c r="Y838" s="258">
        <v>0</v>
      </c>
      <c r="Z838" s="258">
        <v>0</v>
      </c>
      <c r="AA838" s="258">
        <v>0</v>
      </c>
      <c r="AB838" s="258">
        <v>0</v>
      </c>
      <c r="AC838" s="258">
        <v>0</v>
      </c>
      <c r="AD838" s="258">
        <v>0</v>
      </c>
      <c r="AE838" s="258">
        <v>600</v>
      </c>
      <c r="AF838" s="257">
        <f>6238.91*AE838/I838</f>
        <v>6803.6095965103596</v>
      </c>
      <c r="AG838" s="258">
        <v>0</v>
      </c>
      <c r="AH838" s="257">
        <v>0</v>
      </c>
      <c r="AI838" s="258">
        <v>0</v>
      </c>
      <c r="AJ838" s="257">
        <v>0</v>
      </c>
      <c r="AK838" s="258">
        <v>0</v>
      </c>
      <c r="AL838" s="258">
        <v>0</v>
      </c>
      <c r="AM838" s="258">
        <v>0</v>
      </c>
      <c r="AN838" s="258"/>
      <c r="AO838" s="258">
        <v>0</v>
      </c>
    </row>
    <row r="839" spans="1:41" s="259" customFormat="1" ht="36" customHeight="1" x14ac:dyDescent="0.25">
      <c r="B839" s="94" t="s">
        <v>835</v>
      </c>
      <c r="C839" s="94"/>
      <c r="D839" s="124" t="s">
        <v>896</v>
      </c>
      <c r="E839" s="124" t="s">
        <v>896</v>
      </c>
      <c r="F839" s="124" t="s">
        <v>896</v>
      </c>
      <c r="G839" s="124" t="s">
        <v>896</v>
      </c>
      <c r="H839" s="124" t="s">
        <v>896</v>
      </c>
      <c r="I839" s="125">
        <f>SUM(I840:I843)</f>
        <v>10202.299999999999</v>
      </c>
      <c r="J839" s="125">
        <f>SUM(J840:J843)</f>
        <v>8322.1999999999989</v>
      </c>
      <c r="K839" s="125">
        <f>SUM(K840:K843)</f>
        <v>7052.6</v>
      </c>
      <c r="L839" s="126">
        <f>SUM(L840:L843)</f>
        <v>360</v>
      </c>
      <c r="M839" s="124" t="s">
        <v>896</v>
      </c>
      <c r="N839" s="124" t="s">
        <v>896</v>
      </c>
      <c r="O839" s="127" t="s">
        <v>896</v>
      </c>
      <c r="P839" s="128">
        <v>7263627.54</v>
      </c>
      <c r="Q839" s="128">
        <f>SUM(Q840:Q843)</f>
        <v>0</v>
      </c>
      <c r="R839" s="128">
        <f>SUM(R840:R843)</f>
        <v>0</v>
      </c>
      <c r="S839" s="128">
        <f>SUM(S840:S843)</f>
        <v>7263627.54</v>
      </c>
      <c r="T839" s="128">
        <f t="shared" si="200"/>
        <v>711.95980710232016</v>
      </c>
      <c r="U839" s="128">
        <f>MAX(U840:U843)</f>
        <v>4025.3194588969823</v>
      </c>
      <c r="V839" s="257">
        <f t="shared" si="213"/>
        <v>3313.3596517946621</v>
      </c>
      <c r="W839" s="257"/>
      <c r="X839" s="257"/>
      <c r="Y839" s="258"/>
      <c r="Z839" s="258"/>
      <c r="AA839" s="258"/>
      <c r="AB839" s="258"/>
      <c r="AC839" s="258"/>
      <c r="AD839" s="258"/>
      <c r="AE839" s="258"/>
      <c r="AF839" s="258"/>
      <c r="AG839" s="258"/>
      <c r="AH839" s="258"/>
      <c r="AI839" s="258"/>
      <c r="AJ839" s="258"/>
      <c r="AK839" s="258"/>
      <c r="AL839" s="258"/>
      <c r="AM839" s="258"/>
      <c r="AN839" s="258"/>
      <c r="AO839" s="258"/>
    </row>
    <row r="840" spans="1:41" s="259" customFormat="1" ht="36" customHeight="1" x14ac:dyDescent="0.25">
      <c r="A840" s="259">
        <v>1</v>
      </c>
      <c r="B840" s="135">
        <f>SUBTOTAL(103,$A$552:A840)</f>
        <v>267</v>
      </c>
      <c r="C840" s="94" t="s">
        <v>702</v>
      </c>
      <c r="D840" s="124">
        <v>1973</v>
      </c>
      <c r="E840" s="124">
        <v>2006</v>
      </c>
      <c r="F840" s="129" t="s">
        <v>269</v>
      </c>
      <c r="G840" s="124">
        <v>3</v>
      </c>
      <c r="H840" s="124" t="s">
        <v>305</v>
      </c>
      <c r="I840" s="125">
        <v>1206.8</v>
      </c>
      <c r="J840" s="125">
        <v>1107.8</v>
      </c>
      <c r="K840" s="125">
        <v>1107.8</v>
      </c>
      <c r="L840" s="126">
        <v>30</v>
      </c>
      <c r="M840" s="124" t="s">
        <v>267</v>
      </c>
      <c r="N840" s="124" t="s">
        <v>271</v>
      </c>
      <c r="O840" s="127" t="s">
        <v>734</v>
      </c>
      <c r="P840" s="128">
        <v>2968784.92</v>
      </c>
      <c r="Q840" s="128">
        <v>0</v>
      </c>
      <c r="R840" s="128">
        <v>0</v>
      </c>
      <c r="S840" s="128">
        <f>P840-Q840-R840</f>
        <v>2968784.92</v>
      </c>
      <c r="T840" s="128">
        <f t="shared" si="200"/>
        <v>2460.0471660589992</v>
      </c>
      <c r="U840" s="128">
        <v>3641.5755551872721</v>
      </c>
      <c r="V840" s="257">
        <f t="shared" si="213"/>
        <v>1181.5283891282729</v>
      </c>
      <c r="W840" s="257">
        <f t="shared" ref="W840:W843" si="229">X840+Y840+Z840+AA840+AB840+AD840+AF840+AH840+AJ840+AL840+AN840+AO840</f>
        <v>3629.1969008949291</v>
      </c>
      <c r="X840" s="257">
        <v>0</v>
      </c>
      <c r="Y840" s="258">
        <v>0</v>
      </c>
      <c r="Z840" s="258">
        <v>0</v>
      </c>
      <c r="AA840" s="258">
        <v>0</v>
      </c>
      <c r="AB840" s="258">
        <v>0</v>
      </c>
      <c r="AC840" s="258">
        <v>0</v>
      </c>
      <c r="AD840" s="258">
        <v>0</v>
      </c>
      <c r="AE840" s="258">
        <v>702</v>
      </c>
      <c r="AF840" s="257">
        <f>6238.91*AE840/I840</f>
        <v>3629.1969008949291</v>
      </c>
      <c r="AG840" s="258">
        <v>0</v>
      </c>
      <c r="AH840" s="257">
        <v>0</v>
      </c>
      <c r="AI840" s="258">
        <v>0</v>
      </c>
      <c r="AJ840" s="257">
        <v>0</v>
      </c>
      <c r="AK840" s="258">
        <v>0</v>
      </c>
      <c r="AL840" s="258">
        <v>0</v>
      </c>
      <c r="AM840" s="258">
        <v>0</v>
      </c>
      <c r="AN840" s="258"/>
      <c r="AO840" s="258">
        <v>0</v>
      </c>
    </row>
    <row r="841" spans="1:41" s="259" customFormat="1" ht="36" customHeight="1" x14ac:dyDescent="0.25">
      <c r="A841" s="259">
        <v>1</v>
      </c>
      <c r="B841" s="135">
        <f>SUBTOTAL(103,$A$552:A841)</f>
        <v>268</v>
      </c>
      <c r="C841" s="94" t="s">
        <v>1564</v>
      </c>
      <c r="D841" s="124">
        <v>1978</v>
      </c>
      <c r="E841" s="124"/>
      <c r="F841" s="129" t="s">
        <v>320</v>
      </c>
      <c r="G841" s="124">
        <v>5</v>
      </c>
      <c r="H841" s="124" t="s">
        <v>310</v>
      </c>
      <c r="I841" s="125">
        <v>3092.4</v>
      </c>
      <c r="J841" s="125">
        <v>3092.4</v>
      </c>
      <c r="K841" s="125">
        <v>3092.4</v>
      </c>
      <c r="L841" s="126">
        <v>151</v>
      </c>
      <c r="M841" s="124" t="s">
        <v>267</v>
      </c>
      <c r="N841" s="124" t="s">
        <v>271</v>
      </c>
      <c r="O841" s="127" t="s">
        <v>1591</v>
      </c>
      <c r="P841" s="128">
        <v>3040224.4400000004</v>
      </c>
      <c r="Q841" s="128">
        <v>0</v>
      </c>
      <c r="R841" s="128">
        <v>0</v>
      </c>
      <c r="S841" s="128">
        <f>P841-R841-Q841</f>
        <v>3040224.4400000004</v>
      </c>
      <c r="T841" s="128">
        <f t="shared" si="200"/>
        <v>983.12781011512106</v>
      </c>
      <c r="U841" s="128">
        <v>1544.1963950329837</v>
      </c>
      <c r="V841" s="257">
        <f t="shared" si="213"/>
        <v>561.06858491786261</v>
      </c>
      <c r="W841" s="257">
        <f t="shared" si="229"/>
        <v>1538.9472733152243</v>
      </c>
      <c r="X841" s="257">
        <v>0</v>
      </c>
      <c r="Y841" s="258">
        <v>0</v>
      </c>
      <c r="Z841" s="258">
        <v>0</v>
      </c>
      <c r="AA841" s="258">
        <v>0</v>
      </c>
      <c r="AB841" s="258">
        <v>0</v>
      </c>
      <c r="AC841" s="258">
        <v>0</v>
      </c>
      <c r="AD841" s="258">
        <v>0</v>
      </c>
      <c r="AE841" s="258">
        <v>762.8</v>
      </c>
      <c r="AF841" s="257">
        <f>6238.91*AE841/I841</f>
        <v>1538.9472733152243</v>
      </c>
      <c r="AG841" s="258">
        <v>0</v>
      </c>
      <c r="AH841" s="257">
        <v>0</v>
      </c>
      <c r="AI841" s="258">
        <v>0</v>
      </c>
      <c r="AJ841" s="257">
        <v>0</v>
      </c>
      <c r="AK841" s="258">
        <v>0</v>
      </c>
      <c r="AL841" s="258">
        <v>0</v>
      </c>
      <c r="AM841" s="258">
        <v>0</v>
      </c>
      <c r="AN841" s="258"/>
      <c r="AO841" s="258">
        <v>0</v>
      </c>
    </row>
    <row r="842" spans="1:41" s="259" customFormat="1" ht="36" customHeight="1" x14ac:dyDescent="0.25">
      <c r="A842" s="259">
        <v>1</v>
      </c>
      <c r="B842" s="135">
        <f>SUBTOTAL(103,$A$552:A842)</f>
        <v>269</v>
      </c>
      <c r="C842" s="94" t="s">
        <v>1226</v>
      </c>
      <c r="D842" s="124">
        <v>1975</v>
      </c>
      <c r="E842" s="124">
        <v>2015</v>
      </c>
      <c r="F842" s="129" t="s">
        <v>269</v>
      </c>
      <c r="G842" s="124">
        <v>3</v>
      </c>
      <c r="H842" s="124" t="s">
        <v>305</v>
      </c>
      <c r="I842" s="125">
        <v>3981.1</v>
      </c>
      <c r="J842" s="125">
        <v>2548.6</v>
      </c>
      <c r="K842" s="125">
        <v>1279</v>
      </c>
      <c r="L842" s="126">
        <v>138</v>
      </c>
      <c r="M842" s="124" t="s">
        <v>267</v>
      </c>
      <c r="N842" s="124" t="s">
        <v>271</v>
      </c>
      <c r="O842" s="127" t="s">
        <v>731</v>
      </c>
      <c r="P842" s="128">
        <v>485250</v>
      </c>
      <c r="Q842" s="128">
        <v>0</v>
      </c>
      <c r="R842" s="128">
        <v>0</v>
      </c>
      <c r="S842" s="128">
        <f>P842-R842-Q842</f>
        <v>485250</v>
      </c>
      <c r="T842" s="128">
        <f t="shared" si="200"/>
        <v>121.88842279771923</v>
      </c>
      <c r="U842" s="128">
        <v>121.88842279771923</v>
      </c>
      <c r="V842" s="257">
        <f t="shared" ref="V842" si="230">U842-T842</f>
        <v>0</v>
      </c>
      <c r="W842" s="257">
        <f t="shared" ref="W842" si="231">X842+Y842+Z842+AA842+AB842+AD842+AF842+AH842+AJ842+AL842+AN842+AO842</f>
        <v>1195.4084418879204</v>
      </c>
      <c r="X842" s="257">
        <v>0</v>
      </c>
      <c r="Y842" s="258">
        <v>0</v>
      </c>
      <c r="Z842" s="258">
        <v>0</v>
      </c>
      <c r="AA842" s="258">
        <v>0</v>
      </c>
      <c r="AB842" s="258">
        <v>0</v>
      </c>
      <c r="AC842" s="258">
        <v>0</v>
      </c>
      <c r="AD842" s="258">
        <v>0</v>
      </c>
      <c r="AE842" s="258">
        <v>762.8</v>
      </c>
      <c r="AF842" s="257">
        <f>6238.91*AE842/I842</f>
        <v>1195.4084418879204</v>
      </c>
      <c r="AG842" s="258">
        <v>0</v>
      </c>
      <c r="AH842" s="257">
        <v>0</v>
      </c>
      <c r="AI842" s="258">
        <v>0</v>
      </c>
      <c r="AJ842" s="257">
        <v>0</v>
      </c>
      <c r="AK842" s="258">
        <v>0</v>
      </c>
      <c r="AL842" s="258">
        <v>0</v>
      </c>
      <c r="AM842" s="258">
        <v>0</v>
      </c>
      <c r="AN842" s="258"/>
      <c r="AO842" s="258">
        <v>0</v>
      </c>
    </row>
    <row r="843" spans="1:41" s="259" customFormat="1" ht="36" customHeight="1" x14ac:dyDescent="0.25">
      <c r="A843" s="259">
        <v>1</v>
      </c>
      <c r="B843" s="135">
        <f>SUBTOTAL(103,$A$552:A843)</f>
        <v>270</v>
      </c>
      <c r="C843" s="94" t="s">
        <v>1974</v>
      </c>
      <c r="D843" s="124">
        <v>1994</v>
      </c>
      <c r="E843" s="124"/>
      <c r="F843" s="129" t="s">
        <v>1585</v>
      </c>
      <c r="G843" s="124" t="s">
        <v>305</v>
      </c>
      <c r="H843" s="124" t="s">
        <v>310</v>
      </c>
      <c r="I843" s="125">
        <v>1922</v>
      </c>
      <c r="J843" s="125">
        <v>1573.4</v>
      </c>
      <c r="K843" s="125">
        <v>1573.4</v>
      </c>
      <c r="L843" s="126">
        <v>41</v>
      </c>
      <c r="M843" s="124" t="s">
        <v>267</v>
      </c>
      <c r="N843" s="124" t="s">
        <v>271</v>
      </c>
      <c r="O843" s="127" t="s">
        <v>2299</v>
      </c>
      <c r="P843" s="128">
        <v>769368.18</v>
      </c>
      <c r="Q843" s="128">
        <v>0</v>
      </c>
      <c r="R843" s="128">
        <v>0</v>
      </c>
      <c r="S843" s="128">
        <f>P843-R843-Q843</f>
        <v>769368.18</v>
      </c>
      <c r="T843" s="128">
        <f t="shared" si="200"/>
        <v>400.29561914672217</v>
      </c>
      <c r="U843" s="128">
        <v>4025.3194588969823</v>
      </c>
      <c r="V843" s="257">
        <f t="shared" si="213"/>
        <v>3625.0238397502599</v>
      </c>
      <c r="W843" s="257">
        <f t="shared" si="229"/>
        <v>2476.087694068678</v>
      </c>
      <c r="X843" s="257">
        <v>0</v>
      </c>
      <c r="Y843" s="258">
        <v>0</v>
      </c>
      <c r="Z843" s="258">
        <v>0</v>
      </c>
      <c r="AA843" s="258">
        <v>0</v>
      </c>
      <c r="AB843" s="258">
        <v>0</v>
      </c>
      <c r="AC843" s="258">
        <v>0</v>
      </c>
      <c r="AD843" s="258">
        <v>0</v>
      </c>
      <c r="AE843" s="258">
        <v>762.8</v>
      </c>
      <c r="AF843" s="257">
        <f>6238.91*AE843/I843</f>
        <v>2476.087694068678</v>
      </c>
      <c r="AG843" s="258">
        <v>0</v>
      </c>
      <c r="AH843" s="257">
        <v>0</v>
      </c>
      <c r="AI843" s="258">
        <v>0</v>
      </c>
      <c r="AJ843" s="257">
        <v>0</v>
      </c>
      <c r="AK843" s="258">
        <v>0</v>
      </c>
      <c r="AL843" s="258">
        <v>0</v>
      </c>
      <c r="AM843" s="258">
        <v>0</v>
      </c>
      <c r="AN843" s="258"/>
      <c r="AO843" s="258">
        <v>0</v>
      </c>
    </row>
    <row r="844" spans="1:41" s="259" customFormat="1" ht="36" customHeight="1" x14ac:dyDescent="0.25">
      <c r="B844" s="94" t="s">
        <v>836</v>
      </c>
      <c r="C844" s="94"/>
      <c r="D844" s="124" t="s">
        <v>896</v>
      </c>
      <c r="E844" s="124" t="s">
        <v>896</v>
      </c>
      <c r="F844" s="124" t="s">
        <v>896</v>
      </c>
      <c r="G844" s="124" t="s">
        <v>896</v>
      </c>
      <c r="H844" s="124" t="s">
        <v>896</v>
      </c>
      <c r="I844" s="125">
        <f>I845</f>
        <v>846.4</v>
      </c>
      <c r="J844" s="125">
        <f>J845</f>
        <v>794.7</v>
      </c>
      <c r="K844" s="125">
        <f>K845</f>
        <v>794.7</v>
      </c>
      <c r="L844" s="126">
        <f>L845</f>
        <v>26</v>
      </c>
      <c r="M844" s="124" t="s">
        <v>896</v>
      </c>
      <c r="N844" s="124" t="s">
        <v>896</v>
      </c>
      <c r="O844" s="127" t="s">
        <v>896</v>
      </c>
      <c r="P844" s="128">
        <v>4024889.9</v>
      </c>
      <c r="Q844" s="128">
        <f>Q845</f>
        <v>0</v>
      </c>
      <c r="R844" s="128">
        <f>R845</f>
        <v>0</v>
      </c>
      <c r="S844" s="128">
        <f>S845</f>
        <v>4024889.9</v>
      </c>
      <c r="T844" s="128">
        <f t="shared" ref="T844:T908" si="232">P844/I844</f>
        <v>4755.3047022684314</v>
      </c>
      <c r="U844" s="128">
        <f>U845</f>
        <v>6297.3071349243864</v>
      </c>
      <c r="V844" s="257">
        <f t="shared" ref="V844" si="233">U844-T844</f>
        <v>1542.0024326559551</v>
      </c>
      <c r="W844" s="257"/>
      <c r="X844" s="257"/>
      <c r="Y844" s="258"/>
      <c r="Z844" s="258"/>
      <c r="AA844" s="258"/>
      <c r="AB844" s="258"/>
      <c r="AC844" s="258"/>
      <c r="AD844" s="258"/>
      <c r="AE844" s="258"/>
      <c r="AF844" s="258"/>
      <c r="AG844" s="258"/>
      <c r="AH844" s="258"/>
      <c r="AI844" s="258"/>
      <c r="AJ844" s="258"/>
      <c r="AK844" s="258"/>
      <c r="AL844" s="258"/>
      <c r="AM844" s="258"/>
      <c r="AN844" s="258"/>
      <c r="AO844" s="258"/>
    </row>
    <row r="845" spans="1:41" s="259" customFormat="1" ht="36" customHeight="1" x14ac:dyDescent="0.25">
      <c r="A845" s="259">
        <v>1</v>
      </c>
      <c r="B845" s="135">
        <f>SUBTOTAL(103,$A$552:A845)</f>
        <v>271</v>
      </c>
      <c r="C845" s="94" t="s">
        <v>801</v>
      </c>
      <c r="D845" s="124">
        <v>1981</v>
      </c>
      <c r="E845" s="124"/>
      <c r="F845" s="129" t="s">
        <v>269</v>
      </c>
      <c r="G845" s="124">
        <v>2</v>
      </c>
      <c r="H845" s="124" t="s">
        <v>314</v>
      </c>
      <c r="I845" s="125">
        <v>846.4</v>
      </c>
      <c r="J845" s="125">
        <v>794.7</v>
      </c>
      <c r="K845" s="125">
        <v>794.7</v>
      </c>
      <c r="L845" s="126">
        <v>26</v>
      </c>
      <c r="M845" s="124" t="s">
        <v>267</v>
      </c>
      <c r="N845" s="124" t="s">
        <v>271</v>
      </c>
      <c r="O845" s="127" t="s">
        <v>731</v>
      </c>
      <c r="P845" s="128">
        <v>4024889.9</v>
      </c>
      <c r="Q845" s="128">
        <v>0</v>
      </c>
      <c r="R845" s="128">
        <v>0</v>
      </c>
      <c r="S845" s="128">
        <f>P845-Q845-R845</f>
        <v>4024889.9</v>
      </c>
      <c r="T845" s="128">
        <f t="shared" si="232"/>
        <v>4755.3047022684314</v>
      </c>
      <c r="U845" s="128">
        <v>6297.3071349243864</v>
      </c>
      <c r="V845" s="257">
        <f>U845-T845</f>
        <v>1542.0024326559551</v>
      </c>
      <c r="W845" s="257">
        <f>X845+Y845+Z845+AA845+AB845+AD845+AF845+AH845+AJ845+AL845+AN845+AO845</f>
        <v>4422.6677693761812</v>
      </c>
      <c r="X845" s="257">
        <v>0</v>
      </c>
      <c r="Y845" s="258">
        <v>0</v>
      </c>
      <c r="Z845" s="258">
        <v>0</v>
      </c>
      <c r="AA845" s="258">
        <v>0</v>
      </c>
      <c r="AB845" s="258">
        <v>0</v>
      </c>
      <c r="AC845" s="258">
        <v>0</v>
      </c>
      <c r="AD845" s="258">
        <v>0</v>
      </c>
      <c r="AE845" s="258">
        <v>600</v>
      </c>
      <c r="AF845" s="257">
        <f>6238.91*AE845/I845</f>
        <v>4422.6677693761812</v>
      </c>
      <c r="AG845" s="258">
        <v>0</v>
      </c>
      <c r="AH845" s="257">
        <v>0</v>
      </c>
      <c r="AI845" s="258">
        <v>0</v>
      </c>
      <c r="AJ845" s="257">
        <v>0</v>
      </c>
      <c r="AK845" s="258">
        <v>0</v>
      </c>
      <c r="AL845" s="258">
        <v>0</v>
      </c>
      <c r="AM845" s="258">
        <v>0</v>
      </c>
      <c r="AN845" s="258"/>
      <c r="AO845" s="258">
        <v>0</v>
      </c>
    </row>
    <row r="846" spans="1:41" s="259" customFormat="1" ht="36" customHeight="1" x14ac:dyDescent="0.25">
      <c r="B846" s="94" t="s">
        <v>837</v>
      </c>
      <c r="C846" s="261"/>
      <c r="D846" s="124" t="s">
        <v>896</v>
      </c>
      <c r="E846" s="124" t="s">
        <v>896</v>
      </c>
      <c r="F846" s="124" t="s">
        <v>896</v>
      </c>
      <c r="G846" s="124" t="s">
        <v>896</v>
      </c>
      <c r="H846" s="124" t="s">
        <v>896</v>
      </c>
      <c r="I846" s="125">
        <f>SUM(I847:I857)</f>
        <v>17568.899999999998</v>
      </c>
      <c r="J846" s="125">
        <f>SUM(J847:J857)</f>
        <v>14747.800000000001</v>
      </c>
      <c r="K846" s="125">
        <f>SUM(K847:K857)</f>
        <v>14357.32</v>
      </c>
      <c r="L846" s="126">
        <f>SUM(L847:L857)</f>
        <v>700</v>
      </c>
      <c r="M846" s="124" t="s">
        <v>896</v>
      </c>
      <c r="N846" s="124" t="s">
        <v>896</v>
      </c>
      <c r="O846" s="127" t="s">
        <v>896</v>
      </c>
      <c r="P846" s="128">
        <v>40418787.889999993</v>
      </c>
      <c r="Q846" s="128">
        <f>SUM(Q847:Q857)</f>
        <v>0</v>
      </c>
      <c r="R846" s="128">
        <f>SUM(R847:R857)</f>
        <v>0</v>
      </c>
      <c r="S846" s="128">
        <f>SUM(S847:S857)</f>
        <v>40418787.889999993</v>
      </c>
      <c r="T846" s="128">
        <f t="shared" si="232"/>
        <v>2300.5872815031107</v>
      </c>
      <c r="U846" s="128">
        <f>MAX(U847:U857)</f>
        <v>8661.6925974846745</v>
      </c>
      <c r="V846" s="257">
        <f t="shared" si="213"/>
        <v>6361.1053159815638</v>
      </c>
      <c r="W846" s="257"/>
      <c r="X846" s="257"/>
      <c r="Y846" s="258"/>
      <c r="Z846" s="258"/>
      <c r="AA846" s="258"/>
      <c r="AB846" s="258"/>
      <c r="AC846" s="258"/>
      <c r="AD846" s="258"/>
      <c r="AE846" s="258"/>
      <c r="AF846" s="258"/>
      <c r="AG846" s="258"/>
      <c r="AH846" s="258"/>
      <c r="AI846" s="258"/>
      <c r="AJ846" s="258"/>
      <c r="AK846" s="258"/>
      <c r="AL846" s="258"/>
      <c r="AM846" s="258"/>
      <c r="AN846" s="258"/>
      <c r="AO846" s="258"/>
    </row>
    <row r="847" spans="1:41" s="259" customFormat="1" ht="36" customHeight="1" x14ac:dyDescent="0.25">
      <c r="A847" s="259">
        <v>1</v>
      </c>
      <c r="B847" s="135">
        <f>SUBTOTAL(103,$A$552:A847)</f>
        <v>272</v>
      </c>
      <c r="C847" s="94" t="s">
        <v>123</v>
      </c>
      <c r="D847" s="124">
        <v>1992</v>
      </c>
      <c r="E847" s="124"/>
      <c r="F847" s="129" t="s">
        <v>269</v>
      </c>
      <c r="G847" s="124">
        <v>3</v>
      </c>
      <c r="H847" s="124" t="s">
        <v>305</v>
      </c>
      <c r="I847" s="125">
        <v>1555.9</v>
      </c>
      <c r="J847" s="125">
        <v>1062.8</v>
      </c>
      <c r="K847" s="125">
        <v>1019.8</v>
      </c>
      <c r="L847" s="126">
        <v>50</v>
      </c>
      <c r="M847" s="124" t="s">
        <v>267</v>
      </c>
      <c r="N847" s="124" t="s">
        <v>271</v>
      </c>
      <c r="O847" s="127" t="s">
        <v>286</v>
      </c>
      <c r="P847" s="128">
        <v>3282441.93</v>
      </c>
      <c r="Q847" s="128">
        <v>0</v>
      </c>
      <c r="R847" s="128">
        <v>0</v>
      </c>
      <c r="S847" s="128">
        <f t="shared" ref="S847:S857" si="234">P847-Q847-R847</f>
        <v>3282441.93</v>
      </c>
      <c r="T847" s="128">
        <f t="shared" si="232"/>
        <v>2109.6740985924544</v>
      </c>
      <c r="U847" s="128">
        <v>2665.5799697924026</v>
      </c>
      <c r="V847" s="257">
        <f t="shared" si="213"/>
        <v>555.90587119994825</v>
      </c>
      <c r="W847" s="257">
        <f t="shared" ref="W847:W857" si="235">X847+Y847+Z847+AA847+AB847+AD847+AF847+AH847+AJ847+AL847+AN847+AO847</f>
        <v>2656.5189761552797</v>
      </c>
      <c r="X847" s="257">
        <v>0</v>
      </c>
      <c r="Y847" s="258">
        <v>0</v>
      </c>
      <c r="Z847" s="258">
        <v>0</v>
      </c>
      <c r="AA847" s="258">
        <v>0</v>
      </c>
      <c r="AB847" s="258">
        <v>0</v>
      </c>
      <c r="AC847" s="258">
        <v>0</v>
      </c>
      <c r="AD847" s="258">
        <v>0</v>
      </c>
      <c r="AE847" s="258">
        <v>662.5</v>
      </c>
      <c r="AF847" s="257">
        <f>6238.91*AE847/I847</f>
        <v>2656.5189761552797</v>
      </c>
      <c r="AG847" s="258">
        <v>0</v>
      </c>
      <c r="AH847" s="257">
        <v>0</v>
      </c>
      <c r="AI847" s="258">
        <v>0</v>
      </c>
      <c r="AJ847" s="257">
        <v>0</v>
      </c>
      <c r="AK847" s="258">
        <v>0</v>
      </c>
      <c r="AL847" s="258">
        <v>0</v>
      </c>
      <c r="AM847" s="258">
        <v>0</v>
      </c>
      <c r="AN847" s="258"/>
      <c r="AO847" s="258">
        <v>0</v>
      </c>
    </row>
    <row r="848" spans="1:41" s="259" customFormat="1" ht="36" customHeight="1" x14ac:dyDescent="0.25">
      <c r="A848" s="259">
        <v>1</v>
      </c>
      <c r="B848" s="135">
        <f>SUBTOTAL(103,$A$552:A848)</f>
        <v>273</v>
      </c>
      <c r="C848" s="94" t="s">
        <v>128</v>
      </c>
      <c r="D848" s="124">
        <v>1983</v>
      </c>
      <c r="E848" s="124"/>
      <c r="F848" s="129" t="s">
        <v>269</v>
      </c>
      <c r="G848" s="124">
        <v>2</v>
      </c>
      <c r="H848" s="124" t="s">
        <v>314</v>
      </c>
      <c r="I848" s="125">
        <v>1039.7</v>
      </c>
      <c r="J848" s="125">
        <v>968.1</v>
      </c>
      <c r="K848" s="125">
        <v>908.6</v>
      </c>
      <c r="L848" s="126">
        <v>39</v>
      </c>
      <c r="M848" s="124" t="s">
        <v>267</v>
      </c>
      <c r="N848" s="124" t="s">
        <v>271</v>
      </c>
      <c r="O848" s="127" t="s">
        <v>286</v>
      </c>
      <c r="P848" s="128">
        <v>5113507.6399999997</v>
      </c>
      <c r="Q848" s="128">
        <v>0</v>
      </c>
      <c r="R848" s="128">
        <v>0</v>
      </c>
      <c r="S848" s="128">
        <f t="shared" si="234"/>
        <v>5113507.6399999997</v>
      </c>
      <c r="T848" s="128">
        <f t="shared" si="232"/>
        <v>4918.2529960565544</v>
      </c>
      <c r="U848" s="128">
        <v>5066.5816908723682</v>
      </c>
      <c r="V848" s="257">
        <f t="shared" si="213"/>
        <v>148.32869481581383</v>
      </c>
      <c r="W848" s="257">
        <f>T848</f>
        <v>4918.2529960565544</v>
      </c>
      <c r="X848" s="257">
        <v>0</v>
      </c>
      <c r="Y848" s="258">
        <v>0</v>
      </c>
      <c r="Z848" s="258">
        <v>0</v>
      </c>
      <c r="AA848" s="258">
        <v>0</v>
      </c>
      <c r="AB848" s="258">
        <v>0</v>
      </c>
      <c r="AC848" s="258">
        <v>0</v>
      </c>
      <c r="AD848" s="258">
        <v>0</v>
      </c>
      <c r="AE848" s="258">
        <v>0</v>
      </c>
      <c r="AF848" s="257">
        <v>0</v>
      </c>
      <c r="AG848" s="258">
        <v>0</v>
      </c>
      <c r="AH848" s="257">
        <v>0</v>
      </c>
      <c r="AI848" s="258">
        <v>0</v>
      </c>
      <c r="AJ848" s="257">
        <v>0</v>
      </c>
      <c r="AK848" s="258">
        <v>0</v>
      </c>
      <c r="AL848" s="258">
        <v>0</v>
      </c>
      <c r="AM848" s="258">
        <v>334.1</v>
      </c>
      <c r="AN848" s="258">
        <f>6984.52*AM848/I848</f>
        <v>2244.4244801385016</v>
      </c>
      <c r="AO848" s="258">
        <v>0</v>
      </c>
    </row>
    <row r="849" spans="1:41" s="259" customFormat="1" ht="36" customHeight="1" x14ac:dyDescent="0.25">
      <c r="A849" s="259">
        <v>1</v>
      </c>
      <c r="B849" s="135">
        <f>SUBTOTAL(103,$A$552:A849)</f>
        <v>274</v>
      </c>
      <c r="C849" s="94" t="s">
        <v>126</v>
      </c>
      <c r="D849" s="124">
        <v>1981</v>
      </c>
      <c r="E849" s="124"/>
      <c r="F849" s="129" t="s">
        <v>269</v>
      </c>
      <c r="G849" s="124">
        <v>2</v>
      </c>
      <c r="H849" s="124" t="s">
        <v>314</v>
      </c>
      <c r="I849" s="125">
        <v>1572.8</v>
      </c>
      <c r="J849" s="125">
        <v>986.3</v>
      </c>
      <c r="K849" s="125">
        <v>925.2</v>
      </c>
      <c r="L849" s="126">
        <v>49</v>
      </c>
      <c r="M849" s="124" t="s">
        <v>267</v>
      </c>
      <c r="N849" s="124" t="s">
        <v>271</v>
      </c>
      <c r="O849" s="127" t="s">
        <v>286</v>
      </c>
      <c r="P849" s="128">
        <v>4388130.57</v>
      </c>
      <c r="Q849" s="128">
        <v>0</v>
      </c>
      <c r="R849" s="128">
        <v>0</v>
      </c>
      <c r="S849" s="128">
        <f t="shared" si="234"/>
        <v>4388130.57</v>
      </c>
      <c r="T849" s="128">
        <f t="shared" si="232"/>
        <v>2790.011806968464</v>
      </c>
      <c r="U849" s="128">
        <v>3526.5312436419126</v>
      </c>
      <c r="V849" s="257">
        <f t="shared" si="213"/>
        <v>736.51943667344858</v>
      </c>
      <c r="W849" s="257">
        <f t="shared" si="235"/>
        <v>3514.5436546286878</v>
      </c>
      <c r="X849" s="257">
        <v>0</v>
      </c>
      <c r="Y849" s="258">
        <v>0</v>
      </c>
      <c r="Z849" s="258">
        <v>0</v>
      </c>
      <c r="AA849" s="258">
        <v>0</v>
      </c>
      <c r="AB849" s="258">
        <v>0</v>
      </c>
      <c r="AC849" s="258">
        <v>0</v>
      </c>
      <c r="AD849" s="258">
        <v>0</v>
      </c>
      <c r="AE849" s="258">
        <v>886</v>
      </c>
      <c r="AF849" s="257">
        <f t="shared" ref="AF849:AF857" si="236">6238.91*AE849/I849</f>
        <v>3514.5436546286878</v>
      </c>
      <c r="AG849" s="258">
        <v>0</v>
      </c>
      <c r="AH849" s="257">
        <v>0</v>
      </c>
      <c r="AI849" s="258">
        <v>0</v>
      </c>
      <c r="AJ849" s="257">
        <v>0</v>
      </c>
      <c r="AK849" s="258">
        <v>0</v>
      </c>
      <c r="AL849" s="258">
        <v>0</v>
      </c>
      <c r="AM849" s="258">
        <v>0</v>
      </c>
      <c r="AN849" s="258"/>
      <c r="AO849" s="258">
        <v>0</v>
      </c>
    </row>
    <row r="850" spans="1:41" s="259" customFormat="1" ht="36" customHeight="1" x14ac:dyDescent="0.25">
      <c r="A850" s="259">
        <v>1</v>
      </c>
      <c r="B850" s="135">
        <f>SUBTOTAL(103,$A$552:A850)</f>
        <v>275</v>
      </c>
      <c r="C850" s="94" t="s">
        <v>129</v>
      </c>
      <c r="D850" s="124">
        <v>1975</v>
      </c>
      <c r="E850" s="124"/>
      <c r="F850" s="129" t="s">
        <v>269</v>
      </c>
      <c r="G850" s="124">
        <v>2</v>
      </c>
      <c r="H850" s="124" t="s">
        <v>314</v>
      </c>
      <c r="I850" s="125">
        <v>786.44</v>
      </c>
      <c r="J850" s="125">
        <v>726.3</v>
      </c>
      <c r="K850" s="125">
        <v>726.3</v>
      </c>
      <c r="L850" s="126">
        <v>32</v>
      </c>
      <c r="M850" s="124" t="s">
        <v>267</v>
      </c>
      <c r="N850" s="124" t="s">
        <v>271</v>
      </c>
      <c r="O850" s="127" t="s">
        <v>286</v>
      </c>
      <c r="P850" s="128">
        <v>3583491.44</v>
      </c>
      <c r="Q850" s="128">
        <v>0</v>
      </c>
      <c r="R850" s="128">
        <v>0</v>
      </c>
      <c r="S850" s="128">
        <f t="shared" si="234"/>
        <v>3583491.44</v>
      </c>
      <c r="T850" s="128">
        <f t="shared" si="232"/>
        <v>4556.598647067799</v>
      </c>
      <c r="U850" s="128">
        <v>5333.3087075937128</v>
      </c>
      <c r="V850" s="257">
        <f t="shared" si="213"/>
        <v>776.71006052591383</v>
      </c>
      <c r="W850" s="257">
        <f t="shared" si="235"/>
        <v>5315.1794161029438</v>
      </c>
      <c r="X850" s="257">
        <v>0</v>
      </c>
      <c r="Y850" s="258">
        <v>0</v>
      </c>
      <c r="Z850" s="258">
        <v>0</v>
      </c>
      <c r="AA850" s="258">
        <v>0</v>
      </c>
      <c r="AB850" s="258">
        <v>0</v>
      </c>
      <c r="AC850" s="258">
        <v>0</v>
      </c>
      <c r="AD850" s="258">
        <v>0</v>
      </c>
      <c r="AE850" s="258">
        <v>670</v>
      </c>
      <c r="AF850" s="257">
        <f t="shared" si="236"/>
        <v>5315.1794161029438</v>
      </c>
      <c r="AG850" s="258">
        <v>0</v>
      </c>
      <c r="AH850" s="257">
        <v>0</v>
      </c>
      <c r="AI850" s="258">
        <v>0</v>
      </c>
      <c r="AJ850" s="257">
        <v>0</v>
      </c>
      <c r="AK850" s="258">
        <v>0</v>
      </c>
      <c r="AL850" s="258">
        <v>0</v>
      </c>
      <c r="AM850" s="258">
        <v>0</v>
      </c>
      <c r="AN850" s="258"/>
      <c r="AO850" s="258">
        <v>0</v>
      </c>
    </row>
    <row r="851" spans="1:41" s="259" customFormat="1" ht="36" customHeight="1" x14ac:dyDescent="0.25">
      <c r="A851" s="259">
        <v>1</v>
      </c>
      <c r="B851" s="135">
        <f>SUBTOTAL(103,$A$552:A851)</f>
        <v>276</v>
      </c>
      <c r="C851" s="94" t="s">
        <v>127</v>
      </c>
      <c r="D851" s="124">
        <v>1972</v>
      </c>
      <c r="E851" s="124"/>
      <c r="F851" s="129" t="s">
        <v>269</v>
      </c>
      <c r="G851" s="124">
        <v>2</v>
      </c>
      <c r="H851" s="124" t="s">
        <v>305</v>
      </c>
      <c r="I851" s="125">
        <v>669.61</v>
      </c>
      <c r="J851" s="125">
        <v>669.61</v>
      </c>
      <c r="K851" s="125">
        <v>621.29</v>
      </c>
      <c r="L851" s="126">
        <v>12</v>
      </c>
      <c r="M851" s="124" t="s">
        <v>267</v>
      </c>
      <c r="N851" s="124" t="s">
        <v>271</v>
      </c>
      <c r="O851" s="127" t="s">
        <v>287</v>
      </c>
      <c r="P851" s="128">
        <v>3011574.49</v>
      </c>
      <c r="Q851" s="128">
        <v>0</v>
      </c>
      <c r="R851" s="128">
        <v>0</v>
      </c>
      <c r="S851" s="128">
        <f t="shared" si="234"/>
        <v>3011574.49</v>
      </c>
      <c r="T851" s="128">
        <f t="shared" si="232"/>
        <v>4497.5052493242338</v>
      </c>
      <c r="U851" s="128">
        <v>5760.1115019190265</v>
      </c>
      <c r="V851" s="257">
        <f t="shared" si="213"/>
        <v>1262.6062525947927</v>
      </c>
      <c r="W851" s="257">
        <f t="shared" si="235"/>
        <v>5740.5313976792459</v>
      </c>
      <c r="X851" s="257">
        <v>0</v>
      </c>
      <c r="Y851" s="258">
        <v>0</v>
      </c>
      <c r="Z851" s="258">
        <v>0</v>
      </c>
      <c r="AA851" s="258">
        <v>0</v>
      </c>
      <c r="AB851" s="258">
        <v>0</v>
      </c>
      <c r="AC851" s="258">
        <v>0</v>
      </c>
      <c r="AD851" s="258">
        <v>0</v>
      </c>
      <c r="AE851" s="258">
        <v>616.12</v>
      </c>
      <c r="AF851" s="257">
        <f t="shared" si="236"/>
        <v>5740.5313976792459</v>
      </c>
      <c r="AG851" s="258">
        <v>0</v>
      </c>
      <c r="AH851" s="257">
        <v>0</v>
      </c>
      <c r="AI851" s="258">
        <v>0</v>
      </c>
      <c r="AJ851" s="257">
        <v>0</v>
      </c>
      <c r="AK851" s="258">
        <v>0</v>
      </c>
      <c r="AL851" s="258">
        <v>0</v>
      </c>
      <c r="AM851" s="258">
        <v>0</v>
      </c>
      <c r="AN851" s="258"/>
      <c r="AO851" s="258">
        <v>0</v>
      </c>
    </row>
    <row r="852" spans="1:41" s="259" customFormat="1" ht="36" customHeight="1" x14ac:dyDescent="0.25">
      <c r="A852" s="259">
        <v>1</v>
      </c>
      <c r="B852" s="135">
        <f>SUBTOTAL(103,$A$552:A852)</f>
        <v>277</v>
      </c>
      <c r="C852" s="94" t="s">
        <v>124</v>
      </c>
      <c r="D852" s="124">
        <v>1978</v>
      </c>
      <c r="E852" s="124"/>
      <c r="F852" s="129" t="s">
        <v>289</v>
      </c>
      <c r="G852" s="124">
        <v>5</v>
      </c>
      <c r="H852" s="124" t="s">
        <v>310</v>
      </c>
      <c r="I852" s="125">
        <v>4027.2</v>
      </c>
      <c r="J852" s="125">
        <v>3079.4</v>
      </c>
      <c r="K852" s="125">
        <v>3079.4</v>
      </c>
      <c r="L852" s="126">
        <v>157</v>
      </c>
      <c r="M852" s="124" t="s">
        <v>267</v>
      </c>
      <c r="N852" s="124" t="s">
        <v>271</v>
      </c>
      <c r="O852" s="127" t="s">
        <v>287</v>
      </c>
      <c r="P852" s="128">
        <v>3374348.08</v>
      </c>
      <c r="Q852" s="128">
        <v>0</v>
      </c>
      <c r="R852" s="128">
        <v>0</v>
      </c>
      <c r="S852" s="128">
        <f t="shared" si="234"/>
        <v>3374348.08</v>
      </c>
      <c r="T852" s="128">
        <f t="shared" si="232"/>
        <v>837.88937226857377</v>
      </c>
      <c r="U852" s="128">
        <v>1202.6988982419546</v>
      </c>
      <c r="V852" s="257">
        <f t="shared" si="213"/>
        <v>364.8095259733808</v>
      </c>
      <c r="W852" s="257">
        <f t="shared" si="235"/>
        <v>1198.610614570918</v>
      </c>
      <c r="X852" s="257">
        <v>0</v>
      </c>
      <c r="Y852" s="258">
        <v>0</v>
      </c>
      <c r="Z852" s="258">
        <v>0</v>
      </c>
      <c r="AA852" s="258">
        <v>0</v>
      </c>
      <c r="AB852" s="258">
        <v>0</v>
      </c>
      <c r="AC852" s="258">
        <v>0</v>
      </c>
      <c r="AD852" s="258">
        <v>0</v>
      </c>
      <c r="AE852" s="258">
        <v>773.7</v>
      </c>
      <c r="AF852" s="257">
        <f t="shared" si="236"/>
        <v>1198.610614570918</v>
      </c>
      <c r="AG852" s="258">
        <v>0</v>
      </c>
      <c r="AH852" s="257">
        <v>0</v>
      </c>
      <c r="AI852" s="258">
        <v>0</v>
      </c>
      <c r="AJ852" s="257">
        <v>0</v>
      </c>
      <c r="AK852" s="258">
        <v>0</v>
      </c>
      <c r="AL852" s="258">
        <v>0</v>
      </c>
      <c r="AM852" s="258">
        <v>0</v>
      </c>
      <c r="AN852" s="258"/>
      <c r="AO852" s="258">
        <v>0</v>
      </c>
    </row>
    <row r="853" spans="1:41" s="259" customFormat="1" ht="36" customHeight="1" x14ac:dyDescent="0.25">
      <c r="A853" s="259">
        <v>1</v>
      </c>
      <c r="B853" s="135">
        <f>SUBTOTAL(103,$A$552:A853)</f>
        <v>278</v>
      </c>
      <c r="C853" s="94" t="s">
        <v>125</v>
      </c>
      <c r="D853" s="124">
        <v>1986</v>
      </c>
      <c r="E853" s="124"/>
      <c r="F853" s="129" t="s">
        <v>269</v>
      </c>
      <c r="G853" s="124">
        <v>5</v>
      </c>
      <c r="H853" s="124" t="s">
        <v>306</v>
      </c>
      <c r="I853" s="125">
        <v>2851.99</v>
      </c>
      <c r="J853" s="125">
        <v>2360.59</v>
      </c>
      <c r="K853" s="125">
        <v>2342</v>
      </c>
      <c r="L853" s="126">
        <v>145</v>
      </c>
      <c r="M853" s="124" t="s">
        <v>267</v>
      </c>
      <c r="N853" s="124" t="s">
        <v>271</v>
      </c>
      <c r="O853" s="127" t="s">
        <v>287</v>
      </c>
      <c r="P853" s="128">
        <v>4644926.0999999996</v>
      </c>
      <c r="Q853" s="128">
        <v>0</v>
      </c>
      <c r="R853" s="128">
        <v>0</v>
      </c>
      <c r="S853" s="128">
        <f t="shared" ref="S853" si="237">P853-Q853-R853</f>
        <v>4644926.0999999996</v>
      </c>
      <c r="T853" s="128">
        <f t="shared" si="232"/>
        <v>1628.6614258815773</v>
      </c>
      <c r="U853" s="128">
        <v>2052.3485881787806</v>
      </c>
      <c r="V853" s="257">
        <f t="shared" ref="V853" si="238">U853-T853</f>
        <v>423.68716229720326</v>
      </c>
      <c r="W853" s="257">
        <f t="shared" ref="W853" si="239">X853+Y853+Z853+AA853+AB853+AD853+AF853+AH853+AJ853+AL853+AN853+AO853</f>
        <v>2045.3721261294745</v>
      </c>
      <c r="X853" s="257">
        <v>0</v>
      </c>
      <c r="Y853" s="258">
        <v>0</v>
      </c>
      <c r="Z853" s="258">
        <v>0</v>
      </c>
      <c r="AA853" s="258">
        <v>0</v>
      </c>
      <c r="AB853" s="258">
        <v>0</v>
      </c>
      <c r="AC853" s="258">
        <v>0</v>
      </c>
      <c r="AD853" s="258">
        <v>0</v>
      </c>
      <c r="AE853" s="258">
        <v>935</v>
      </c>
      <c r="AF853" s="257">
        <f t="shared" si="236"/>
        <v>2045.3721261294745</v>
      </c>
      <c r="AG853" s="258">
        <v>0</v>
      </c>
      <c r="AH853" s="257">
        <v>0</v>
      </c>
      <c r="AI853" s="258">
        <v>0</v>
      </c>
      <c r="AJ853" s="257">
        <v>0</v>
      </c>
      <c r="AK853" s="258">
        <v>0</v>
      </c>
      <c r="AL853" s="258">
        <v>0</v>
      </c>
      <c r="AM853" s="258">
        <v>0</v>
      </c>
      <c r="AN853" s="258"/>
      <c r="AO853" s="258">
        <v>0</v>
      </c>
    </row>
    <row r="854" spans="1:41" s="259" customFormat="1" ht="36" customHeight="1" x14ac:dyDescent="0.25">
      <c r="A854" s="259">
        <v>1</v>
      </c>
      <c r="B854" s="135">
        <f>SUBTOTAL(103,$A$552:A854)</f>
        <v>279</v>
      </c>
      <c r="C854" s="94" t="s">
        <v>130</v>
      </c>
      <c r="D854" s="124">
        <v>1978</v>
      </c>
      <c r="E854" s="124"/>
      <c r="F854" s="129" t="s">
        <v>269</v>
      </c>
      <c r="G854" s="124">
        <v>3</v>
      </c>
      <c r="H854" s="124" t="s">
        <v>314</v>
      </c>
      <c r="I854" s="125">
        <v>1582.3</v>
      </c>
      <c r="J854" s="125">
        <v>1471.8</v>
      </c>
      <c r="K854" s="125">
        <v>1471.8</v>
      </c>
      <c r="L854" s="126">
        <v>69</v>
      </c>
      <c r="M854" s="124" t="s">
        <v>267</v>
      </c>
      <c r="N854" s="124" t="s">
        <v>271</v>
      </c>
      <c r="O854" s="127" t="s">
        <v>287</v>
      </c>
      <c r="P854" s="128">
        <v>6425439.0500000007</v>
      </c>
      <c r="Q854" s="128">
        <v>0</v>
      </c>
      <c r="R854" s="128">
        <v>0</v>
      </c>
      <c r="S854" s="128">
        <f t="shared" si="234"/>
        <v>6425439.0500000007</v>
      </c>
      <c r="T854" s="128">
        <f t="shared" si="232"/>
        <v>4060.8222524173675</v>
      </c>
      <c r="U854" s="128">
        <v>8661.6925974846745</v>
      </c>
      <c r="V854" s="257">
        <f t="shared" si="213"/>
        <v>4600.8703450673074</v>
      </c>
      <c r="W854" s="257">
        <f t="shared" si="235"/>
        <v>3686.6465588067999</v>
      </c>
      <c r="X854" s="257">
        <v>0</v>
      </c>
      <c r="Y854" s="258">
        <v>0</v>
      </c>
      <c r="Z854" s="258">
        <v>0</v>
      </c>
      <c r="AA854" s="258">
        <v>0</v>
      </c>
      <c r="AB854" s="258">
        <v>0</v>
      </c>
      <c r="AC854" s="258">
        <v>0</v>
      </c>
      <c r="AD854" s="258">
        <v>0</v>
      </c>
      <c r="AE854" s="258">
        <v>935</v>
      </c>
      <c r="AF854" s="257">
        <f t="shared" si="236"/>
        <v>3686.6465588067999</v>
      </c>
      <c r="AG854" s="258">
        <v>0</v>
      </c>
      <c r="AH854" s="257">
        <v>0</v>
      </c>
      <c r="AI854" s="258">
        <v>0</v>
      </c>
      <c r="AJ854" s="257">
        <v>0</v>
      </c>
      <c r="AK854" s="258">
        <v>0</v>
      </c>
      <c r="AL854" s="258">
        <v>0</v>
      </c>
      <c r="AM854" s="258">
        <v>0</v>
      </c>
      <c r="AN854" s="258"/>
      <c r="AO854" s="258">
        <v>0</v>
      </c>
    </row>
    <row r="855" spans="1:41" s="259" customFormat="1" ht="36" customHeight="1" x14ac:dyDescent="0.25">
      <c r="A855" s="259">
        <v>1</v>
      </c>
      <c r="B855" s="135">
        <f>SUBTOTAL(103,$A$552:A855)</f>
        <v>280</v>
      </c>
      <c r="C855" s="94" t="s">
        <v>114</v>
      </c>
      <c r="D855" s="124">
        <v>1973</v>
      </c>
      <c r="E855" s="124"/>
      <c r="F855" s="129" t="s">
        <v>269</v>
      </c>
      <c r="G855" s="124">
        <v>2</v>
      </c>
      <c r="H855" s="124" t="s">
        <v>305</v>
      </c>
      <c r="I855" s="125">
        <v>781.06</v>
      </c>
      <c r="J855" s="125">
        <v>721</v>
      </c>
      <c r="K855" s="125">
        <v>681.23</v>
      </c>
      <c r="L855" s="126">
        <v>38</v>
      </c>
      <c r="M855" s="124" t="s">
        <v>267</v>
      </c>
      <c r="N855" s="124" t="s">
        <v>271</v>
      </c>
      <c r="O855" s="127" t="s">
        <v>286</v>
      </c>
      <c r="P855" s="128">
        <v>3175000</v>
      </c>
      <c r="Q855" s="128">
        <v>0</v>
      </c>
      <c r="R855" s="128">
        <v>0</v>
      </c>
      <c r="S855" s="128">
        <f t="shared" si="234"/>
        <v>3175000</v>
      </c>
      <c r="T855" s="128">
        <f t="shared" si="232"/>
        <v>4064.988605228792</v>
      </c>
      <c r="U855" s="128">
        <v>5097.5351957596085</v>
      </c>
      <c r="V855" s="257">
        <f t="shared" si="213"/>
        <v>1032.5465905308165</v>
      </c>
      <c r="W855" s="257">
        <f t="shared" si="235"/>
        <v>5918.1220636058688</v>
      </c>
      <c r="X855" s="257">
        <v>0</v>
      </c>
      <c r="Y855" s="258">
        <v>0</v>
      </c>
      <c r="Z855" s="258">
        <v>0</v>
      </c>
      <c r="AA855" s="258">
        <v>0</v>
      </c>
      <c r="AB855" s="258">
        <v>0</v>
      </c>
      <c r="AC855" s="258">
        <v>0</v>
      </c>
      <c r="AD855" s="258">
        <v>0</v>
      </c>
      <c r="AE855" s="258">
        <v>740.9</v>
      </c>
      <c r="AF855" s="257">
        <f t="shared" si="236"/>
        <v>5918.1220636058688</v>
      </c>
      <c r="AG855" s="258">
        <v>0</v>
      </c>
      <c r="AH855" s="257">
        <v>0</v>
      </c>
      <c r="AI855" s="258">
        <v>0</v>
      </c>
      <c r="AJ855" s="257">
        <v>0</v>
      </c>
      <c r="AK855" s="258">
        <v>0</v>
      </c>
      <c r="AL855" s="258">
        <v>0</v>
      </c>
      <c r="AM855" s="258">
        <v>0</v>
      </c>
      <c r="AN855" s="258"/>
      <c r="AO855" s="258">
        <v>0</v>
      </c>
    </row>
    <row r="856" spans="1:41" s="259" customFormat="1" ht="36" customHeight="1" x14ac:dyDescent="0.25">
      <c r="A856" s="259">
        <v>1</v>
      </c>
      <c r="B856" s="135">
        <f>SUBTOTAL(103,$A$552:A856)</f>
        <v>281</v>
      </c>
      <c r="C856" s="94" t="s">
        <v>1231</v>
      </c>
      <c r="D856" s="124">
        <v>1987</v>
      </c>
      <c r="E856" s="124"/>
      <c r="F856" s="129" t="s">
        <v>269</v>
      </c>
      <c r="G856" s="124">
        <v>2</v>
      </c>
      <c r="H856" s="124" t="s">
        <v>314</v>
      </c>
      <c r="I856" s="128">
        <v>1448.2</v>
      </c>
      <c r="J856" s="128">
        <v>1448.2</v>
      </c>
      <c r="K856" s="128">
        <v>1448.2</v>
      </c>
      <c r="L856" s="126">
        <v>53</v>
      </c>
      <c r="M856" s="124" t="s">
        <v>267</v>
      </c>
      <c r="N856" s="124" t="s">
        <v>271</v>
      </c>
      <c r="O856" s="127" t="s">
        <v>1336</v>
      </c>
      <c r="P856" s="128">
        <v>1221946.1500000001</v>
      </c>
      <c r="Q856" s="128">
        <v>0</v>
      </c>
      <c r="R856" s="128">
        <v>0</v>
      </c>
      <c r="S856" s="128">
        <f t="shared" si="234"/>
        <v>1221946.1500000001</v>
      </c>
      <c r="T856" s="128">
        <f t="shared" si="232"/>
        <v>843.76892003866874</v>
      </c>
      <c r="U856" s="128">
        <v>3345.83</v>
      </c>
      <c r="V856" s="257">
        <f t="shared" si="213"/>
        <v>2502.0610799613314</v>
      </c>
      <c r="W856" s="257">
        <f t="shared" si="235"/>
        <v>1967.0531045435712</v>
      </c>
      <c r="X856" s="257">
        <v>0</v>
      </c>
      <c r="Y856" s="258">
        <v>0</v>
      </c>
      <c r="Z856" s="258">
        <v>0</v>
      </c>
      <c r="AA856" s="258">
        <v>0</v>
      </c>
      <c r="AB856" s="258">
        <v>0</v>
      </c>
      <c r="AC856" s="258">
        <v>0</v>
      </c>
      <c r="AD856" s="258">
        <v>0</v>
      </c>
      <c r="AE856" s="258">
        <v>456.6</v>
      </c>
      <c r="AF856" s="257">
        <f>6238.91*AE856/I856</f>
        <v>1967.0531045435712</v>
      </c>
      <c r="AG856" s="258">
        <v>0</v>
      </c>
      <c r="AH856" s="257">
        <v>0</v>
      </c>
      <c r="AI856" s="258">
        <v>0</v>
      </c>
      <c r="AJ856" s="257">
        <v>0</v>
      </c>
      <c r="AK856" s="258">
        <v>0</v>
      </c>
      <c r="AL856" s="258">
        <v>0</v>
      </c>
      <c r="AM856" s="258">
        <v>0</v>
      </c>
      <c r="AN856" s="258"/>
      <c r="AO856" s="258">
        <v>0</v>
      </c>
    </row>
    <row r="857" spans="1:41" s="259" customFormat="1" ht="36" customHeight="1" x14ac:dyDescent="0.25">
      <c r="A857" s="259">
        <v>1</v>
      </c>
      <c r="B857" s="135">
        <f>SUBTOTAL(103,$A$552:A857)</f>
        <v>282</v>
      </c>
      <c r="C857" s="94" t="s">
        <v>119</v>
      </c>
      <c r="D857" s="124">
        <v>1979</v>
      </c>
      <c r="E857" s="124"/>
      <c r="F857" s="129" t="s">
        <v>269</v>
      </c>
      <c r="G857" s="124">
        <v>2</v>
      </c>
      <c r="H857" s="124" t="s">
        <v>314</v>
      </c>
      <c r="I857" s="128">
        <v>1253.7</v>
      </c>
      <c r="J857" s="128">
        <v>1253.7</v>
      </c>
      <c r="K857" s="128">
        <v>1133.5</v>
      </c>
      <c r="L857" s="126">
        <v>56</v>
      </c>
      <c r="M857" s="124" t="s">
        <v>267</v>
      </c>
      <c r="N857" s="124" t="s">
        <v>271</v>
      </c>
      <c r="O857" s="127" t="s">
        <v>287</v>
      </c>
      <c r="P857" s="128">
        <v>2197982.44</v>
      </c>
      <c r="Q857" s="128">
        <v>0</v>
      </c>
      <c r="R857" s="128">
        <v>0</v>
      </c>
      <c r="S857" s="128">
        <f t="shared" si="234"/>
        <v>2197982.44</v>
      </c>
      <c r="T857" s="128">
        <f t="shared" si="232"/>
        <v>1753.19649038845</v>
      </c>
      <c r="U857" s="128">
        <v>3458.92</v>
      </c>
      <c r="V857" s="257">
        <f t="shared" si="213"/>
        <v>1705.7235096115501</v>
      </c>
      <c r="W857" s="257">
        <f t="shared" si="235"/>
        <v>3164.9890404402963</v>
      </c>
      <c r="X857" s="257">
        <v>0</v>
      </c>
      <c r="Y857" s="258">
        <v>0</v>
      </c>
      <c r="Z857" s="258">
        <v>0</v>
      </c>
      <c r="AA857" s="258">
        <v>0</v>
      </c>
      <c r="AB857" s="258">
        <v>0</v>
      </c>
      <c r="AC857" s="258">
        <v>0</v>
      </c>
      <c r="AD857" s="258">
        <v>0</v>
      </c>
      <c r="AE857" s="258">
        <v>636</v>
      </c>
      <c r="AF857" s="257">
        <f t="shared" si="236"/>
        <v>3164.9890404402963</v>
      </c>
      <c r="AG857" s="258">
        <v>0</v>
      </c>
      <c r="AH857" s="257">
        <v>0</v>
      </c>
      <c r="AI857" s="258">
        <v>0</v>
      </c>
      <c r="AJ857" s="257">
        <v>0</v>
      </c>
      <c r="AK857" s="258">
        <v>0</v>
      </c>
      <c r="AL857" s="258">
        <v>0</v>
      </c>
      <c r="AM857" s="258">
        <v>0</v>
      </c>
      <c r="AN857" s="258"/>
      <c r="AO857" s="258">
        <v>0</v>
      </c>
    </row>
    <row r="858" spans="1:41" s="259" customFormat="1" ht="36" customHeight="1" x14ac:dyDescent="0.25">
      <c r="B858" s="94" t="s">
        <v>840</v>
      </c>
      <c r="C858" s="94"/>
      <c r="D858" s="124" t="s">
        <v>896</v>
      </c>
      <c r="E858" s="124" t="s">
        <v>896</v>
      </c>
      <c r="F858" s="124" t="s">
        <v>896</v>
      </c>
      <c r="G858" s="124" t="s">
        <v>896</v>
      </c>
      <c r="H858" s="124" t="s">
        <v>896</v>
      </c>
      <c r="I858" s="128">
        <f>SUM(I859:I860)</f>
        <v>1443.4</v>
      </c>
      <c r="J858" s="128">
        <f>SUM(J859:J860)</f>
        <v>1238.9000000000001</v>
      </c>
      <c r="K858" s="128">
        <f>SUM(K859:K860)</f>
        <v>1204.5999999999999</v>
      </c>
      <c r="L858" s="126">
        <f>SUM(L859:L860)</f>
        <v>68</v>
      </c>
      <c r="M858" s="124" t="s">
        <v>896</v>
      </c>
      <c r="N858" s="124" t="s">
        <v>896</v>
      </c>
      <c r="O858" s="127" t="s">
        <v>896</v>
      </c>
      <c r="P858" s="128">
        <v>6003691.8100000005</v>
      </c>
      <c r="Q858" s="128">
        <f t="shared" ref="Q858:R858" si="240">SUM(Q859:Q860)</f>
        <v>0</v>
      </c>
      <c r="R858" s="128">
        <f t="shared" si="240"/>
        <v>0</v>
      </c>
      <c r="S858" s="128">
        <f>SUM(S859:S860)</f>
        <v>6003691.8100000005</v>
      </c>
      <c r="T858" s="128">
        <f t="shared" si="232"/>
        <v>4159.4095953997503</v>
      </c>
      <c r="U858" s="128">
        <f>MAX(U859:U860)</f>
        <v>4614.4377633090771</v>
      </c>
      <c r="V858" s="257">
        <f t="shared" ref="V858:V860" si="241">U858-T858</f>
        <v>455.02816790932684</v>
      </c>
      <c r="W858" s="257"/>
      <c r="X858" s="257"/>
      <c r="Y858" s="258"/>
      <c r="Z858" s="258"/>
      <c r="AA858" s="258"/>
      <c r="AB858" s="258"/>
      <c r="AC858" s="258"/>
      <c r="AD858" s="258"/>
      <c r="AE858" s="258"/>
      <c r="AF858" s="258"/>
      <c r="AG858" s="258"/>
      <c r="AH858" s="258"/>
      <c r="AI858" s="258"/>
      <c r="AJ858" s="258"/>
      <c r="AK858" s="258"/>
      <c r="AL858" s="258"/>
      <c r="AM858" s="258"/>
      <c r="AN858" s="258"/>
      <c r="AO858" s="258"/>
    </row>
    <row r="859" spans="1:41" s="259" customFormat="1" ht="36" customHeight="1" x14ac:dyDescent="0.25">
      <c r="A859" s="259">
        <v>1</v>
      </c>
      <c r="B859" s="135">
        <f>SUBTOTAL(103,$A$552:A859)</f>
        <v>283</v>
      </c>
      <c r="C859" s="94" t="s">
        <v>170</v>
      </c>
      <c r="D859" s="124">
        <v>1983</v>
      </c>
      <c r="E859" s="124"/>
      <c r="F859" s="129" t="s">
        <v>269</v>
      </c>
      <c r="G859" s="124">
        <v>2</v>
      </c>
      <c r="H859" s="124" t="s">
        <v>314</v>
      </c>
      <c r="I859" s="125">
        <v>1044.4000000000001</v>
      </c>
      <c r="J859" s="125">
        <v>943.9</v>
      </c>
      <c r="K859" s="125">
        <v>943.9</v>
      </c>
      <c r="L859" s="126">
        <v>47</v>
      </c>
      <c r="M859" s="124" t="s">
        <v>267</v>
      </c>
      <c r="N859" s="124" t="s">
        <v>339</v>
      </c>
      <c r="O859" s="127" t="s">
        <v>816</v>
      </c>
      <c r="P859" s="128">
        <v>4763670.41</v>
      </c>
      <c r="Q859" s="128">
        <v>0</v>
      </c>
      <c r="R859" s="128">
        <v>0</v>
      </c>
      <c r="S859" s="128">
        <f>P859-Q859-R859</f>
        <v>4763670.41</v>
      </c>
      <c r="T859" s="128">
        <f t="shared" si="232"/>
        <v>4561.1551225584062</v>
      </c>
      <c r="U859" s="128">
        <v>4614.4377633090771</v>
      </c>
      <c r="V859" s="257">
        <f t="shared" si="241"/>
        <v>53.282640750670907</v>
      </c>
      <c r="W859" s="257">
        <f t="shared" ref="W859:W860" si="242">X859+Y859+Z859+AA859+AB859+AD859+AF859+AH859+AJ859+AL859+AN859+AO859</f>
        <v>3269.3861547299884</v>
      </c>
      <c r="X859" s="257">
        <v>0</v>
      </c>
      <c r="Y859" s="258">
        <v>0</v>
      </c>
      <c r="Z859" s="258">
        <v>0</v>
      </c>
      <c r="AA859" s="258">
        <v>0</v>
      </c>
      <c r="AB859" s="258">
        <v>0</v>
      </c>
      <c r="AC859" s="258">
        <v>0</v>
      </c>
      <c r="AD859" s="258">
        <v>0</v>
      </c>
      <c r="AE859" s="258">
        <v>0</v>
      </c>
      <c r="AF859" s="257">
        <v>0</v>
      </c>
      <c r="AG859" s="258">
        <v>0</v>
      </c>
      <c r="AH859" s="257">
        <v>0</v>
      </c>
      <c r="AI859" s="258">
        <v>459</v>
      </c>
      <c r="AJ859" s="257">
        <f>7439.1*AI859/I859</f>
        <v>3269.3861547299884</v>
      </c>
      <c r="AK859" s="258">
        <v>0</v>
      </c>
      <c r="AL859" s="258">
        <v>0</v>
      </c>
      <c r="AM859" s="258">
        <v>0</v>
      </c>
      <c r="AN859" s="258"/>
      <c r="AO859" s="258">
        <v>0</v>
      </c>
    </row>
    <row r="860" spans="1:41" s="259" customFormat="1" ht="36" customHeight="1" x14ac:dyDescent="0.25">
      <c r="A860" s="259">
        <v>1</v>
      </c>
      <c r="B860" s="135">
        <f>SUBTOTAL(103,$A$552:A860)</f>
        <v>284</v>
      </c>
      <c r="C860" s="94" t="s">
        <v>1583</v>
      </c>
      <c r="D860" s="124">
        <v>1967</v>
      </c>
      <c r="E860" s="124"/>
      <c r="F860" s="129" t="s">
        <v>1585</v>
      </c>
      <c r="G860" s="124">
        <v>2</v>
      </c>
      <c r="H860" s="124" t="s">
        <v>306</v>
      </c>
      <c r="I860" s="125">
        <v>399</v>
      </c>
      <c r="J860" s="125">
        <v>295</v>
      </c>
      <c r="K860" s="125">
        <v>260.7</v>
      </c>
      <c r="L860" s="126">
        <v>21</v>
      </c>
      <c r="M860" s="124" t="s">
        <v>267</v>
      </c>
      <c r="N860" s="124" t="s">
        <v>339</v>
      </c>
      <c r="O860" s="127" t="s">
        <v>816</v>
      </c>
      <c r="P860" s="128">
        <v>1240021.3999999999</v>
      </c>
      <c r="Q860" s="128">
        <v>0</v>
      </c>
      <c r="R860" s="128">
        <v>0</v>
      </c>
      <c r="S860" s="128">
        <f>P860-Q860-R860</f>
        <v>1240021.3999999999</v>
      </c>
      <c r="T860" s="128">
        <f t="shared" si="232"/>
        <v>3107.8230576441101</v>
      </c>
      <c r="U860" s="128">
        <v>3107.8230576441101</v>
      </c>
      <c r="V860" s="257">
        <f t="shared" si="241"/>
        <v>0</v>
      </c>
      <c r="W860" s="257">
        <f t="shared" si="242"/>
        <v>7933.1755639097755</v>
      </c>
      <c r="X860" s="257">
        <v>0</v>
      </c>
      <c r="Y860" s="258">
        <v>0</v>
      </c>
      <c r="Z860" s="258">
        <v>0</v>
      </c>
      <c r="AA860" s="258">
        <v>0</v>
      </c>
      <c r="AB860" s="258">
        <v>0</v>
      </c>
      <c r="AC860" s="258">
        <v>0</v>
      </c>
      <c r="AD860" s="258">
        <v>0</v>
      </c>
      <c r="AE860" s="258">
        <v>0</v>
      </c>
      <c r="AF860" s="257">
        <v>0</v>
      </c>
      <c r="AG860" s="258">
        <v>0</v>
      </c>
      <c r="AH860" s="257">
        <v>0</v>
      </c>
      <c r="AI860" s="258">
        <v>425.5</v>
      </c>
      <c r="AJ860" s="257">
        <f>7439.1*AI860/I860</f>
        <v>7933.1755639097755</v>
      </c>
      <c r="AK860" s="258">
        <v>0</v>
      </c>
      <c r="AL860" s="258">
        <v>0</v>
      </c>
      <c r="AM860" s="258">
        <v>0</v>
      </c>
      <c r="AN860" s="258"/>
      <c r="AO860" s="258">
        <v>0</v>
      </c>
    </row>
    <row r="861" spans="1:41" s="259" customFormat="1" ht="36" customHeight="1" x14ac:dyDescent="0.25">
      <c r="B861" s="94" t="s">
        <v>842</v>
      </c>
      <c r="C861" s="261"/>
      <c r="D861" s="124" t="s">
        <v>896</v>
      </c>
      <c r="E861" s="124" t="s">
        <v>896</v>
      </c>
      <c r="F861" s="124" t="s">
        <v>896</v>
      </c>
      <c r="G861" s="124" t="s">
        <v>896</v>
      </c>
      <c r="H861" s="124" t="s">
        <v>896</v>
      </c>
      <c r="I861" s="125">
        <f>SUM(I862:I864)</f>
        <v>1854.1999999999998</v>
      </c>
      <c r="J861" s="125">
        <f t="shared" ref="J861:L861" si="243">SUM(J862:J864)</f>
        <v>1598.8000000000002</v>
      </c>
      <c r="K861" s="125">
        <f t="shared" si="243"/>
        <v>1394.4</v>
      </c>
      <c r="L861" s="126">
        <f t="shared" si="243"/>
        <v>87</v>
      </c>
      <c r="M861" s="124" t="s">
        <v>896</v>
      </c>
      <c r="N861" s="124" t="s">
        <v>896</v>
      </c>
      <c r="O861" s="127" t="s">
        <v>896</v>
      </c>
      <c r="P861" s="128">
        <v>6409465.3600000003</v>
      </c>
      <c r="Q861" s="128">
        <f t="shared" ref="Q861:S861" si="244">SUM(Q862:Q864)</f>
        <v>0</v>
      </c>
      <c r="R861" s="128">
        <f t="shared" si="244"/>
        <v>0</v>
      </c>
      <c r="S861" s="128">
        <f t="shared" si="244"/>
        <v>6409465.3600000003</v>
      </c>
      <c r="T861" s="128">
        <f t="shared" si="232"/>
        <v>3456.7281630892035</v>
      </c>
      <c r="U861" s="128">
        <f>MAX(U862:U864)</f>
        <v>5497.5167155425215</v>
      </c>
      <c r="V861" s="257">
        <f t="shared" si="213"/>
        <v>2040.7885524533181</v>
      </c>
      <c r="W861" s="257"/>
      <c r="X861" s="257"/>
      <c r="Y861" s="258"/>
      <c r="Z861" s="258"/>
      <c r="AA861" s="258"/>
      <c r="AB861" s="258"/>
      <c r="AC861" s="258"/>
      <c r="AD861" s="258"/>
      <c r="AE861" s="258"/>
      <c r="AF861" s="258"/>
      <c r="AG861" s="258"/>
      <c r="AH861" s="258"/>
      <c r="AI861" s="258"/>
      <c r="AJ861" s="258"/>
      <c r="AK861" s="258"/>
      <c r="AL861" s="258"/>
      <c r="AM861" s="258"/>
      <c r="AN861" s="258"/>
      <c r="AO861" s="258"/>
    </row>
    <row r="862" spans="1:41" s="259" customFormat="1" ht="36" customHeight="1" x14ac:dyDescent="0.25">
      <c r="A862" s="259">
        <v>1</v>
      </c>
      <c r="B862" s="135">
        <f>SUBTOTAL(103,$A$552:A862)</f>
        <v>285</v>
      </c>
      <c r="C862" s="94" t="s">
        <v>177</v>
      </c>
      <c r="D862" s="124">
        <v>1968</v>
      </c>
      <c r="E862" s="124">
        <v>2009</v>
      </c>
      <c r="F862" s="129" t="s">
        <v>269</v>
      </c>
      <c r="G862" s="124">
        <v>2</v>
      </c>
      <c r="H862" s="124" t="s">
        <v>305</v>
      </c>
      <c r="I862" s="125">
        <v>791.5</v>
      </c>
      <c r="J862" s="125">
        <v>725.1</v>
      </c>
      <c r="K862" s="125">
        <v>725.1</v>
      </c>
      <c r="L862" s="126">
        <v>42</v>
      </c>
      <c r="M862" s="124" t="s">
        <v>267</v>
      </c>
      <c r="N862" s="124" t="s">
        <v>268</v>
      </c>
      <c r="O862" s="127" t="s">
        <v>270</v>
      </c>
      <c r="P862" s="128">
        <v>3328825.5</v>
      </c>
      <c r="Q862" s="128">
        <v>0</v>
      </c>
      <c r="R862" s="128">
        <v>0</v>
      </c>
      <c r="S862" s="128">
        <f>P862-Q862-R862</f>
        <v>3328825.5</v>
      </c>
      <c r="T862" s="128">
        <f t="shared" si="232"/>
        <v>4205.7176247631078</v>
      </c>
      <c r="U862" s="128">
        <v>5141.0277953253308</v>
      </c>
      <c r="V862" s="257">
        <f t="shared" ref="V862:V863" si="245">U862-T862</f>
        <v>935.31017056222299</v>
      </c>
      <c r="W862" s="257">
        <f t="shared" ref="W862:W863" si="246">X862+Y862+Z862+AA862+AB862+AD862+AF862+AH862+AJ862+AL862+AN862+AO862</f>
        <v>4314.0200884396718</v>
      </c>
      <c r="X862" s="257">
        <v>0</v>
      </c>
      <c r="Y862" s="258">
        <v>0</v>
      </c>
      <c r="Z862" s="258">
        <v>0</v>
      </c>
      <c r="AA862" s="258">
        <v>0</v>
      </c>
      <c r="AB862" s="258">
        <v>0</v>
      </c>
      <c r="AC862" s="258">
        <v>0</v>
      </c>
      <c r="AD862" s="258">
        <v>0</v>
      </c>
      <c r="AE862" s="258">
        <v>0</v>
      </c>
      <c r="AF862" s="257">
        <v>0</v>
      </c>
      <c r="AG862" s="258">
        <v>0</v>
      </c>
      <c r="AH862" s="257">
        <v>0</v>
      </c>
      <c r="AI862" s="258">
        <v>459</v>
      </c>
      <c r="AJ862" s="257">
        <f>7439.1*AI862/I862</f>
        <v>4314.0200884396718</v>
      </c>
      <c r="AK862" s="258">
        <v>0</v>
      </c>
      <c r="AL862" s="258">
        <v>0</v>
      </c>
      <c r="AM862" s="258">
        <v>0</v>
      </c>
      <c r="AN862" s="258"/>
      <c r="AO862" s="258">
        <v>0</v>
      </c>
    </row>
    <row r="863" spans="1:41" s="259" customFormat="1" ht="36" customHeight="1" x14ac:dyDescent="0.25">
      <c r="A863" s="259">
        <v>1</v>
      </c>
      <c r="B863" s="135">
        <f>SUBTOTAL(103,$A$552:A863)</f>
        <v>286</v>
      </c>
      <c r="C863" s="94" t="s">
        <v>182</v>
      </c>
      <c r="D863" s="124">
        <v>1955</v>
      </c>
      <c r="E863" s="124"/>
      <c r="F863" s="129" t="s">
        <v>269</v>
      </c>
      <c r="G863" s="124">
        <v>2</v>
      </c>
      <c r="H863" s="124" t="s">
        <v>306</v>
      </c>
      <c r="I863" s="125">
        <v>545.6</v>
      </c>
      <c r="J863" s="125">
        <v>501.6</v>
      </c>
      <c r="K863" s="125">
        <v>384.3</v>
      </c>
      <c r="L863" s="126">
        <v>27</v>
      </c>
      <c r="M863" s="124" t="s">
        <v>267</v>
      </c>
      <c r="N863" s="124" t="s">
        <v>268</v>
      </c>
      <c r="O863" s="127" t="s">
        <v>270</v>
      </c>
      <c r="P863" s="128">
        <v>1658743.58</v>
      </c>
      <c r="Q863" s="128">
        <v>0</v>
      </c>
      <c r="R863" s="128">
        <v>0</v>
      </c>
      <c r="S863" s="128">
        <f>P863-Q863-R863</f>
        <v>1658743.58</v>
      </c>
      <c r="T863" s="128">
        <f t="shared" si="232"/>
        <v>3040.2191715542522</v>
      </c>
      <c r="U863" s="128">
        <v>5497.5167155425215</v>
      </c>
      <c r="V863" s="257">
        <f t="shared" si="245"/>
        <v>2457.2975439882694</v>
      </c>
      <c r="W863" s="257">
        <f t="shared" si="246"/>
        <v>5801.5708394428157</v>
      </c>
      <c r="X863" s="257">
        <v>0</v>
      </c>
      <c r="Y863" s="258">
        <v>0</v>
      </c>
      <c r="Z863" s="258">
        <v>0</v>
      </c>
      <c r="AA863" s="258">
        <v>0</v>
      </c>
      <c r="AB863" s="258">
        <v>0</v>
      </c>
      <c r="AC863" s="258">
        <v>0</v>
      </c>
      <c r="AD863" s="258">
        <v>0</v>
      </c>
      <c r="AE863" s="258">
        <v>0</v>
      </c>
      <c r="AF863" s="257">
        <v>0</v>
      </c>
      <c r="AG863" s="258">
        <v>0</v>
      </c>
      <c r="AH863" s="257">
        <v>0</v>
      </c>
      <c r="AI863" s="258">
        <v>425.5</v>
      </c>
      <c r="AJ863" s="257">
        <f>7439.1*AI863/I863</f>
        <v>5801.5708394428157</v>
      </c>
      <c r="AK863" s="258">
        <v>0</v>
      </c>
      <c r="AL863" s="258">
        <v>0</v>
      </c>
      <c r="AM863" s="258">
        <v>0</v>
      </c>
      <c r="AN863" s="258"/>
      <c r="AO863" s="258">
        <v>0</v>
      </c>
    </row>
    <row r="864" spans="1:41" s="259" customFormat="1" ht="36" customHeight="1" x14ac:dyDescent="0.25">
      <c r="A864" s="259">
        <v>1</v>
      </c>
      <c r="B864" s="135">
        <f>SUBTOTAL(103,$A$552:A864)</f>
        <v>287</v>
      </c>
      <c r="C864" s="94" t="s">
        <v>1582</v>
      </c>
      <c r="D864" s="124">
        <v>1976</v>
      </c>
      <c r="E864" s="124"/>
      <c r="F864" s="129" t="s">
        <v>1585</v>
      </c>
      <c r="G864" s="124">
        <v>2</v>
      </c>
      <c r="H864" s="124" t="s">
        <v>306</v>
      </c>
      <c r="I864" s="125">
        <v>517.1</v>
      </c>
      <c r="J864" s="125">
        <v>372.1</v>
      </c>
      <c r="K864" s="125">
        <v>285</v>
      </c>
      <c r="L864" s="126">
        <v>18</v>
      </c>
      <c r="M864" s="124" t="s">
        <v>267</v>
      </c>
      <c r="N864" s="124" t="s">
        <v>268</v>
      </c>
      <c r="O864" s="127" t="s">
        <v>270</v>
      </c>
      <c r="P864" s="128">
        <v>1421896.28</v>
      </c>
      <c r="Q864" s="128">
        <v>0</v>
      </c>
      <c r="R864" s="128">
        <v>0</v>
      </c>
      <c r="S864" s="128">
        <f>P864-Q864-R864</f>
        <v>1421896.28</v>
      </c>
      <c r="T864" s="128">
        <f t="shared" si="232"/>
        <v>2749.751073293367</v>
      </c>
      <c r="U864" s="128">
        <v>2852.6989441113906</v>
      </c>
      <c r="V864" s="257">
        <f>U864-T864</f>
        <v>102.9478708180236</v>
      </c>
      <c r="W864" s="257">
        <f>X864+Y864+Z864+AA864+AB864+AD864+AF864+AH864+AJ864+AL864+AN864+AO864</f>
        <v>7842.3738155095725</v>
      </c>
      <c r="X864" s="257">
        <v>0</v>
      </c>
      <c r="Y864" s="258">
        <v>0</v>
      </c>
      <c r="Z864" s="258">
        <v>0</v>
      </c>
      <c r="AA864" s="258">
        <v>0</v>
      </c>
      <c r="AB864" s="258">
        <v>0</v>
      </c>
      <c r="AC864" s="258">
        <v>0</v>
      </c>
      <c r="AD864" s="258">
        <v>0</v>
      </c>
      <c r="AE864" s="258">
        <v>650</v>
      </c>
      <c r="AF864" s="257">
        <f>6238.91*AE864/I864</f>
        <v>7842.3738155095725</v>
      </c>
      <c r="AG864" s="258">
        <v>0</v>
      </c>
      <c r="AH864" s="257">
        <v>0</v>
      </c>
      <c r="AI864" s="258">
        <v>0</v>
      </c>
      <c r="AJ864" s="257">
        <v>0</v>
      </c>
      <c r="AK864" s="258">
        <v>0</v>
      </c>
      <c r="AL864" s="258">
        <v>0</v>
      </c>
      <c r="AM864" s="258">
        <v>0</v>
      </c>
      <c r="AN864" s="258"/>
      <c r="AO864" s="258">
        <v>0</v>
      </c>
    </row>
    <row r="865" spans="1:41" s="259" customFormat="1" ht="36" customHeight="1" x14ac:dyDescent="0.25">
      <c r="B865" s="94" t="s">
        <v>841</v>
      </c>
      <c r="C865" s="94"/>
      <c r="D865" s="124" t="s">
        <v>896</v>
      </c>
      <c r="E865" s="124" t="s">
        <v>896</v>
      </c>
      <c r="F865" s="124" t="s">
        <v>896</v>
      </c>
      <c r="G865" s="124" t="s">
        <v>896</v>
      </c>
      <c r="H865" s="124" t="s">
        <v>896</v>
      </c>
      <c r="I865" s="128">
        <f>SUM(I866:I867)</f>
        <v>889.09999999999991</v>
      </c>
      <c r="J865" s="128">
        <f>SUM(J866:J867)</f>
        <v>796.59999999999991</v>
      </c>
      <c r="K865" s="128">
        <f>SUM(K866:K867)</f>
        <v>753.7</v>
      </c>
      <c r="L865" s="126">
        <f>SUM(L866:L867)</f>
        <v>44</v>
      </c>
      <c r="M865" s="124" t="s">
        <v>896</v>
      </c>
      <c r="N865" s="124" t="s">
        <v>896</v>
      </c>
      <c r="O865" s="127" t="s">
        <v>896</v>
      </c>
      <c r="P865" s="128">
        <v>5279138.41</v>
      </c>
      <c r="Q865" s="128">
        <f t="shared" ref="Q865:R865" si="247">SUM(Q866:Q867)</f>
        <v>0</v>
      </c>
      <c r="R865" s="128">
        <f t="shared" si="247"/>
        <v>0</v>
      </c>
      <c r="S865" s="128">
        <f>SUM(S866:S867)</f>
        <v>5279138.41</v>
      </c>
      <c r="T865" s="128">
        <f t="shared" si="232"/>
        <v>5937.6205263749871</v>
      </c>
      <c r="U865" s="128">
        <f>MAX(U866:U867)</f>
        <v>7744.4928555227953</v>
      </c>
      <c r="V865" s="257">
        <f t="shared" si="213"/>
        <v>1806.8723291478082</v>
      </c>
      <c r="W865" s="257"/>
      <c r="X865" s="257"/>
      <c r="Y865" s="258"/>
      <c r="Z865" s="258"/>
      <c r="AA865" s="258"/>
      <c r="AB865" s="258"/>
      <c r="AC865" s="258"/>
      <c r="AD865" s="258"/>
      <c r="AE865" s="258"/>
      <c r="AF865" s="258"/>
      <c r="AG865" s="258"/>
      <c r="AH865" s="258"/>
      <c r="AI865" s="258"/>
      <c r="AJ865" s="258"/>
      <c r="AK865" s="258"/>
      <c r="AL865" s="258"/>
      <c r="AM865" s="258"/>
      <c r="AN865" s="258"/>
      <c r="AO865" s="258"/>
    </row>
    <row r="866" spans="1:41" s="259" customFormat="1" ht="36" customHeight="1" x14ac:dyDescent="0.25">
      <c r="A866" s="259">
        <v>1</v>
      </c>
      <c r="B866" s="135">
        <f>SUBTOTAL(103,$A$552:A866)</f>
        <v>288</v>
      </c>
      <c r="C866" s="94" t="s">
        <v>175</v>
      </c>
      <c r="D866" s="124">
        <v>1955</v>
      </c>
      <c r="E866" s="124"/>
      <c r="F866" s="129" t="s">
        <v>269</v>
      </c>
      <c r="G866" s="124">
        <v>2</v>
      </c>
      <c r="H866" s="124" t="s">
        <v>305</v>
      </c>
      <c r="I866" s="125">
        <v>440.9</v>
      </c>
      <c r="J866" s="125">
        <v>395.2</v>
      </c>
      <c r="K866" s="125">
        <v>395.2</v>
      </c>
      <c r="L866" s="126">
        <v>23</v>
      </c>
      <c r="M866" s="124" t="s">
        <v>267</v>
      </c>
      <c r="N866" s="124" t="s">
        <v>339</v>
      </c>
      <c r="O866" s="127" t="s">
        <v>341</v>
      </c>
      <c r="P866" s="128">
        <v>2721526.66</v>
      </c>
      <c r="Q866" s="128">
        <v>0</v>
      </c>
      <c r="R866" s="128">
        <v>0</v>
      </c>
      <c r="S866" s="128">
        <f>P866-Q866-R866</f>
        <v>2721526.66</v>
      </c>
      <c r="T866" s="128">
        <f t="shared" si="232"/>
        <v>6172.6619641642101</v>
      </c>
      <c r="U866" s="128">
        <v>7744.4928555227953</v>
      </c>
      <c r="V866" s="257">
        <f t="shared" si="213"/>
        <v>1571.8308913585852</v>
      </c>
      <c r="W866" s="257">
        <f t="shared" ref="W866:W867" si="248">X866+Y866+Z866+AA866+AB866+AD866+AF866+AH866+AJ866+AL866+AN866+AO866</f>
        <v>7744.4928555227953</v>
      </c>
      <c r="X866" s="257">
        <v>0</v>
      </c>
      <c r="Y866" s="258">
        <v>0</v>
      </c>
      <c r="Z866" s="258">
        <v>0</v>
      </c>
      <c r="AA866" s="258">
        <v>0</v>
      </c>
      <c r="AB866" s="258">
        <v>0</v>
      </c>
      <c r="AC866" s="258">
        <v>0</v>
      </c>
      <c r="AD866" s="258">
        <v>0</v>
      </c>
      <c r="AE866" s="258">
        <v>0</v>
      </c>
      <c r="AF866" s="257">
        <v>0</v>
      </c>
      <c r="AG866" s="258">
        <v>0</v>
      </c>
      <c r="AH866" s="257">
        <v>0</v>
      </c>
      <c r="AI866" s="258">
        <v>459</v>
      </c>
      <c r="AJ866" s="257">
        <f>7439.1*AI866/I866</f>
        <v>7744.4928555227953</v>
      </c>
      <c r="AK866" s="258">
        <v>0</v>
      </c>
      <c r="AL866" s="258">
        <v>0</v>
      </c>
      <c r="AM866" s="258">
        <v>0</v>
      </c>
      <c r="AN866" s="258"/>
      <c r="AO866" s="258">
        <v>0</v>
      </c>
    </row>
    <row r="867" spans="1:41" s="259" customFormat="1" ht="36" customHeight="1" x14ac:dyDescent="0.25">
      <c r="A867" s="259">
        <v>1</v>
      </c>
      <c r="B867" s="135">
        <f>SUBTOTAL(103,$A$552:A867)</f>
        <v>289</v>
      </c>
      <c r="C867" s="94" t="s">
        <v>176</v>
      </c>
      <c r="D867" s="124">
        <v>1955</v>
      </c>
      <c r="E867" s="124">
        <v>2010</v>
      </c>
      <c r="F867" s="129" t="s">
        <v>269</v>
      </c>
      <c r="G867" s="124">
        <v>2</v>
      </c>
      <c r="H867" s="124" t="s">
        <v>305</v>
      </c>
      <c r="I867" s="125">
        <v>448.2</v>
      </c>
      <c r="J867" s="125">
        <v>401.4</v>
      </c>
      <c r="K867" s="125">
        <v>358.5</v>
      </c>
      <c r="L867" s="126">
        <v>21</v>
      </c>
      <c r="M867" s="124" t="s">
        <v>267</v>
      </c>
      <c r="N867" s="124" t="s">
        <v>339</v>
      </c>
      <c r="O867" s="127" t="s">
        <v>341</v>
      </c>
      <c r="P867" s="128">
        <v>2557611.75</v>
      </c>
      <c r="Q867" s="128">
        <v>0</v>
      </c>
      <c r="R867" s="128">
        <v>0</v>
      </c>
      <c r="S867" s="128">
        <f>P867-Q867-R867</f>
        <v>2557611.75</v>
      </c>
      <c r="T867" s="128">
        <f t="shared" si="232"/>
        <v>5706.4072958500674</v>
      </c>
      <c r="U867" s="128">
        <v>7062.331659973227</v>
      </c>
      <c r="V867" s="257">
        <f t="shared" si="213"/>
        <v>1355.9243641231596</v>
      </c>
      <c r="W867" s="257">
        <f t="shared" si="248"/>
        <v>7062.331659973227</v>
      </c>
      <c r="X867" s="257">
        <v>0</v>
      </c>
      <c r="Y867" s="258">
        <v>0</v>
      </c>
      <c r="Z867" s="258">
        <v>0</v>
      </c>
      <c r="AA867" s="258">
        <v>0</v>
      </c>
      <c r="AB867" s="258">
        <v>0</v>
      </c>
      <c r="AC867" s="258">
        <v>0</v>
      </c>
      <c r="AD867" s="258">
        <v>0</v>
      </c>
      <c r="AE867" s="258">
        <v>0</v>
      </c>
      <c r="AF867" s="257">
        <v>0</v>
      </c>
      <c r="AG867" s="258">
        <v>0</v>
      </c>
      <c r="AH867" s="257">
        <v>0</v>
      </c>
      <c r="AI867" s="258">
        <v>425.5</v>
      </c>
      <c r="AJ867" s="257">
        <f>7439.1*AI867/I867</f>
        <v>7062.331659973227</v>
      </c>
      <c r="AK867" s="258">
        <v>0</v>
      </c>
      <c r="AL867" s="258">
        <v>0</v>
      </c>
      <c r="AM867" s="258">
        <v>0</v>
      </c>
      <c r="AN867" s="258"/>
      <c r="AO867" s="258">
        <v>0</v>
      </c>
    </row>
    <row r="868" spans="1:41" s="259" customFormat="1" ht="36" customHeight="1" x14ac:dyDescent="0.25">
      <c r="B868" s="94" t="s">
        <v>877</v>
      </c>
      <c r="C868" s="94"/>
      <c r="D868" s="124" t="s">
        <v>896</v>
      </c>
      <c r="E868" s="124" t="s">
        <v>896</v>
      </c>
      <c r="F868" s="124" t="s">
        <v>896</v>
      </c>
      <c r="G868" s="124" t="s">
        <v>896</v>
      </c>
      <c r="H868" s="124" t="s">
        <v>896</v>
      </c>
      <c r="I868" s="128">
        <f>SUM(I869:I870)</f>
        <v>1323.09</v>
      </c>
      <c r="J868" s="128">
        <f>SUM(J869:J870)</f>
        <v>1207.72</v>
      </c>
      <c r="K868" s="128">
        <f>SUM(K869:K870)</f>
        <v>1207.72</v>
      </c>
      <c r="L868" s="126">
        <f>SUM(L869:L870)</f>
        <v>68</v>
      </c>
      <c r="M868" s="124" t="s">
        <v>896</v>
      </c>
      <c r="N868" s="124" t="s">
        <v>896</v>
      </c>
      <c r="O868" s="127" t="s">
        <v>896</v>
      </c>
      <c r="P868" s="128">
        <v>6703670.5</v>
      </c>
      <c r="Q868" s="128">
        <f t="shared" ref="Q868:R868" si="249">SUM(Q869:Q870)</f>
        <v>0</v>
      </c>
      <c r="R868" s="128">
        <f t="shared" si="249"/>
        <v>0</v>
      </c>
      <c r="S868" s="128">
        <f>SUM(S869:S870)</f>
        <v>6703670.5</v>
      </c>
      <c r="T868" s="128">
        <f t="shared" si="232"/>
        <v>5066.6776258606751</v>
      </c>
      <c r="U868" s="128">
        <f>MAX(U869:U870)</f>
        <v>8614.3424317617864</v>
      </c>
      <c r="V868" s="257">
        <f t="shared" si="213"/>
        <v>3547.6648059011113</v>
      </c>
      <c r="W868" s="257"/>
      <c r="X868" s="257"/>
      <c r="Y868" s="258"/>
      <c r="Z868" s="258"/>
      <c r="AA868" s="258"/>
      <c r="AB868" s="258"/>
      <c r="AC868" s="258"/>
      <c r="AD868" s="258"/>
      <c r="AE868" s="258"/>
      <c r="AF868" s="258"/>
      <c r="AG868" s="258"/>
      <c r="AH868" s="258"/>
      <c r="AI868" s="258"/>
      <c r="AJ868" s="258"/>
      <c r="AK868" s="258"/>
      <c r="AL868" s="258"/>
      <c r="AM868" s="258"/>
      <c r="AN868" s="258"/>
      <c r="AO868" s="258"/>
    </row>
    <row r="869" spans="1:41" s="259" customFormat="1" ht="36" customHeight="1" x14ac:dyDescent="0.25">
      <c r="A869" s="259">
        <v>1</v>
      </c>
      <c r="B869" s="135">
        <f>SUBTOTAL(103,$A$552:A869)</f>
        <v>290</v>
      </c>
      <c r="C869" s="94" t="s">
        <v>174</v>
      </c>
      <c r="D869" s="124">
        <v>1969</v>
      </c>
      <c r="E869" s="124"/>
      <c r="F869" s="129" t="s">
        <v>269</v>
      </c>
      <c r="G869" s="124">
        <v>2</v>
      </c>
      <c r="H869" s="124" t="s">
        <v>314</v>
      </c>
      <c r="I869" s="125">
        <v>960.39</v>
      </c>
      <c r="J869" s="125">
        <v>880.42</v>
      </c>
      <c r="K869" s="125">
        <v>880.42</v>
      </c>
      <c r="L869" s="126">
        <v>47</v>
      </c>
      <c r="M869" s="124" t="s">
        <v>267</v>
      </c>
      <c r="N869" s="124" t="s">
        <v>339</v>
      </c>
      <c r="O869" s="127" t="s">
        <v>340</v>
      </c>
      <c r="P869" s="128">
        <v>4178956.32</v>
      </c>
      <c r="Q869" s="128">
        <v>0</v>
      </c>
      <c r="R869" s="128">
        <v>0</v>
      </c>
      <c r="S869" s="128">
        <f>P869-Q869-R869</f>
        <v>4178956.32</v>
      </c>
      <c r="T869" s="128">
        <f t="shared" si="232"/>
        <v>4351.3117795895414</v>
      </c>
      <c r="U869" s="128">
        <v>5319.0006559835065</v>
      </c>
      <c r="V869" s="257">
        <f>U869-T869</f>
        <v>967.68887639396507</v>
      </c>
      <c r="W869" s="257">
        <f>X869+Y869+Z869+AA869+AB869+AD869+AF869+AH869+AJ869+AL869+AN869+AO869</f>
        <v>5300.9200012494921</v>
      </c>
      <c r="X869" s="257">
        <v>0</v>
      </c>
      <c r="Y869" s="258">
        <v>0</v>
      </c>
      <c r="Z869" s="258">
        <v>0</v>
      </c>
      <c r="AA869" s="258">
        <v>0</v>
      </c>
      <c r="AB869" s="258">
        <v>0</v>
      </c>
      <c r="AC869" s="258">
        <v>0</v>
      </c>
      <c r="AD869" s="258">
        <v>0</v>
      </c>
      <c r="AE869" s="258">
        <v>816</v>
      </c>
      <c r="AF869" s="257">
        <f>6238.91*AE869/I869</f>
        <v>5300.9200012494921</v>
      </c>
      <c r="AG869" s="258">
        <v>0</v>
      </c>
      <c r="AH869" s="257">
        <v>0</v>
      </c>
      <c r="AI869" s="258">
        <v>0</v>
      </c>
      <c r="AJ869" s="257">
        <v>0</v>
      </c>
      <c r="AK869" s="258">
        <v>0</v>
      </c>
      <c r="AL869" s="258">
        <v>0</v>
      </c>
      <c r="AM869" s="258">
        <v>0</v>
      </c>
      <c r="AN869" s="258"/>
      <c r="AO869" s="258">
        <v>0</v>
      </c>
    </row>
    <row r="870" spans="1:41" s="259" customFormat="1" ht="36" customHeight="1" x14ac:dyDescent="0.25">
      <c r="A870" s="259">
        <v>1</v>
      </c>
      <c r="B870" s="135">
        <f>SUBTOTAL(103,$A$552:A870)</f>
        <v>291</v>
      </c>
      <c r="C870" s="94" t="s">
        <v>1976</v>
      </c>
      <c r="D870" s="124">
        <v>1966</v>
      </c>
      <c r="E870" s="124"/>
      <c r="F870" s="129" t="s">
        <v>1585</v>
      </c>
      <c r="G870" s="124" t="s">
        <v>305</v>
      </c>
      <c r="H870" s="124" t="s">
        <v>306</v>
      </c>
      <c r="I870" s="125">
        <v>362.7</v>
      </c>
      <c r="J870" s="125">
        <v>327.3</v>
      </c>
      <c r="K870" s="125">
        <v>327.3</v>
      </c>
      <c r="L870" s="126">
        <v>21</v>
      </c>
      <c r="M870" s="124" t="s">
        <v>267</v>
      </c>
      <c r="N870" s="124" t="s">
        <v>271</v>
      </c>
      <c r="O870" s="127" t="s">
        <v>2300</v>
      </c>
      <c r="P870" s="128">
        <v>2524714.1799999997</v>
      </c>
      <c r="Q870" s="128">
        <v>0</v>
      </c>
      <c r="R870" s="128">
        <v>0</v>
      </c>
      <c r="S870" s="128">
        <f>P870-Q870-R870</f>
        <v>2524714.1799999997</v>
      </c>
      <c r="T870" s="128">
        <f t="shared" si="232"/>
        <v>6960.8882823269914</v>
      </c>
      <c r="U870" s="128">
        <v>8614.3424317617864</v>
      </c>
      <c r="V870" s="257">
        <f>U870-T870</f>
        <v>1653.454149434795</v>
      </c>
      <c r="W870" s="257">
        <f>X870+Y870+Z870+AA870+AB870+AD870+AF870+AH870+AJ870+AL870+AN870+AO870</f>
        <v>14036.257402812242</v>
      </c>
      <c r="X870" s="257">
        <v>0</v>
      </c>
      <c r="Y870" s="258">
        <v>0</v>
      </c>
      <c r="Z870" s="258">
        <v>0</v>
      </c>
      <c r="AA870" s="258">
        <v>0</v>
      </c>
      <c r="AB870" s="258">
        <v>0</v>
      </c>
      <c r="AC870" s="258">
        <v>0</v>
      </c>
      <c r="AD870" s="258">
        <v>0</v>
      </c>
      <c r="AE870" s="258">
        <v>816</v>
      </c>
      <c r="AF870" s="257">
        <f>6238.91*AE870/I870</f>
        <v>14036.257402812242</v>
      </c>
      <c r="AG870" s="258">
        <v>0</v>
      </c>
      <c r="AH870" s="257">
        <v>0</v>
      </c>
      <c r="AI870" s="258">
        <v>0</v>
      </c>
      <c r="AJ870" s="257">
        <v>0</v>
      </c>
      <c r="AK870" s="258">
        <v>0</v>
      </c>
      <c r="AL870" s="258">
        <v>0</v>
      </c>
      <c r="AM870" s="258">
        <v>0</v>
      </c>
      <c r="AN870" s="258"/>
      <c r="AO870" s="258">
        <v>0</v>
      </c>
    </row>
    <row r="871" spans="1:41" s="259" customFormat="1" ht="36" customHeight="1" x14ac:dyDescent="0.25">
      <c r="B871" s="94" t="s">
        <v>843</v>
      </c>
      <c r="C871" s="94"/>
      <c r="D871" s="124" t="s">
        <v>896</v>
      </c>
      <c r="E871" s="124" t="s">
        <v>896</v>
      </c>
      <c r="F871" s="124" t="s">
        <v>896</v>
      </c>
      <c r="G871" s="124" t="s">
        <v>896</v>
      </c>
      <c r="H871" s="124" t="s">
        <v>896</v>
      </c>
      <c r="I871" s="128">
        <f>SUM(I872:I873)</f>
        <v>804.7</v>
      </c>
      <c r="J871" s="128">
        <f>SUM(J872:J873)</f>
        <v>706.5</v>
      </c>
      <c r="K871" s="128">
        <f>SUM(K872:K873)</f>
        <v>662.5</v>
      </c>
      <c r="L871" s="126">
        <f>SUM(L872:L873)</f>
        <v>36</v>
      </c>
      <c r="M871" s="124" t="s">
        <v>896</v>
      </c>
      <c r="N871" s="124" t="s">
        <v>896</v>
      </c>
      <c r="O871" s="127" t="s">
        <v>896</v>
      </c>
      <c r="P871" s="128">
        <v>3337479.74</v>
      </c>
      <c r="Q871" s="128">
        <f t="shared" ref="Q871:R871" si="250">SUM(Q872:Q873)</f>
        <v>0</v>
      </c>
      <c r="R871" s="128">
        <f t="shared" si="250"/>
        <v>0</v>
      </c>
      <c r="S871" s="128">
        <f>SUM(S872:S873)</f>
        <v>3337479.74</v>
      </c>
      <c r="T871" s="128">
        <f t="shared" si="232"/>
        <v>4147.4832111345841</v>
      </c>
      <c r="U871" s="128">
        <f>MAX(U872:U873)</f>
        <v>5820.020390624999</v>
      </c>
      <c r="V871" s="257">
        <f t="shared" si="213"/>
        <v>1672.5371794904149</v>
      </c>
      <c r="W871" s="257"/>
      <c r="X871" s="257"/>
      <c r="Y871" s="258"/>
      <c r="Z871" s="258"/>
      <c r="AA871" s="258"/>
      <c r="AB871" s="258"/>
      <c r="AC871" s="258"/>
      <c r="AD871" s="258"/>
      <c r="AE871" s="258"/>
      <c r="AF871" s="258"/>
      <c r="AG871" s="258"/>
      <c r="AH871" s="258"/>
      <c r="AI871" s="258"/>
      <c r="AJ871" s="258"/>
      <c r="AK871" s="258"/>
      <c r="AL871" s="258"/>
      <c r="AM871" s="258"/>
      <c r="AN871" s="258"/>
      <c r="AO871" s="258"/>
    </row>
    <row r="872" spans="1:41" s="259" customFormat="1" ht="36" customHeight="1" x14ac:dyDescent="0.25">
      <c r="A872" s="259">
        <v>1</v>
      </c>
      <c r="B872" s="135">
        <f>SUBTOTAL(103,$A$552:A872)</f>
        <v>292</v>
      </c>
      <c r="C872" s="94" t="s">
        <v>173</v>
      </c>
      <c r="D872" s="124">
        <v>1969</v>
      </c>
      <c r="E872" s="124"/>
      <c r="F872" s="129" t="s">
        <v>269</v>
      </c>
      <c r="G872" s="124">
        <v>2</v>
      </c>
      <c r="H872" s="124" t="s">
        <v>306</v>
      </c>
      <c r="I872" s="125">
        <v>396.8</v>
      </c>
      <c r="J872" s="125">
        <v>354.2</v>
      </c>
      <c r="K872" s="125">
        <v>354.2</v>
      </c>
      <c r="L872" s="126">
        <v>15</v>
      </c>
      <c r="M872" s="124" t="s">
        <v>267</v>
      </c>
      <c r="N872" s="124" t="s">
        <v>339</v>
      </c>
      <c r="O872" s="127" t="s">
        <v>340</v>
      </c>
      <c r="P872" s="128">
        <v>1889236.5</v>
      </c>
      <c r="Q872" s="128">
        <v>0</v>
      </c>
      <c r="R872" s="128">
        <v>0</v>
      </c>
      <c r="S872" s="128">
        <f>P872-Q872-R872</f>
        <v>1889236.5</v>
      </c>
      <c r="T872" s="128">
        <f t="shared" si="232"/>
        <v>4761.1806955645161</v>
      </c>
      <c r="U872" s="128">
        <v>5820.020390624999</v>
      </c>
      <c r="V872" s="257">
        <f>U872-T872</f>
        <v>1058.8396950604829</v>
      </c>
      <c r="W872" s="257">
        <f>X872+Y872+Z872+AA872+AB872+AD872+AF872+AH872+AJ872+AL872+AN872+AO872</f>
        <v>5800.2366406249994</v>
      </c>
      <c r="X872" s="257">
        <v>0</v>
      </c>
      <c r="Y872" s="258">
        <v>0</v>
      </c>
      <c r="Z872" s="258">
        <v>0</v>
      </c>
      <c r="AA872" s="258">
        <v>0</v>
      </c>
      <c r="AB872" s="258">
        <v>0</v>
      </c>
      <c r="AC872" s="258">
        <v>0</v>
      </c>
      <c r="AD872" s="258">
        <v>0</v>
      </c>
      <c r="AE872" s="258">
        <v>368.9</v>
      </c>
      <c r="AF872" s="257">
        <f>6238.91*AE872/I872</f>
        <v>5800.2366406249994</v>
      </c>
      <c r="AG872" s="258">
        <v>0</v>
      </c>
      <c r="AH872" s="257">
        <v>0</v>
      </c>
      <c r="AI872" s="258">
        <v>0</v>
      </c>
      <c r="AJ872" s="257">
        <v>0</v>
      </c>
      <c r="AK872" s="258">
        <v>0</v>
      </c>
      <c r="AL872" s="258">
        <v>0</v>
      </c>
      <c r="AM872" s="258">
        <v>0</v>
      </c>
      <c r="AN872" s="258"/>
      <c r="AO872" s="258">
        <v>0</v>
      </c>
    </row>
    <row r="873" spans="1:41" s="259" customFormat="1" ht="36" customHeight="1" x14ac:dyDescent="0.25">
      <c r="A873" s="259">
        <v>1</v>
      </c>
      <c r="B873" s="135">
        <f>SUBTOTAL(103,$A$552:A873)</f>
        <v>293</v>
      </c>
      <c r="C873" s="94" t="s">
        <v>168</v>
      </c>
      <c r="D873" s="124">
        <v>1954</v>
      </c>
      <c r="E873" s="124"/>
      <c r="F873" s="129" t="s">
        <v>269</v>
      </c>
      <c r="G873" s="124">
        <v>2</v>
      </c>
      <c r="H873" s="124" t="s">
        <v>306</v>
      </c>
      <c r="I873" s="125">
        <v>407.9</v>
      </c>
      <c r="J873" s="125">
        <v>352.3</v>
      </c>
      <c r="K873" s="125">
        <v>308.3</v>
      </c>
      <c r="L873" s="126">
        <v>21</v>
      </c>
      <c r="M873" s="124" t="s">
        <v>267</v>
      </c>
      <c r="N873" s="124" t="s">
        <v>268</v>
      </c>
      <c r="O873" s="127" t="s">
        <v>270</v>
      </c>
      <c r="P873" s="128">
        <v>1448243.2400000002</v>
      </c>
      <c r="Q873" s="128">
        <v>0</v>
      </c>
      <c r="R873" s="128">
        <v>0</v>
      </c>
      <c r="S873" s="128">
        <f>P873-Q873-R873</f>
        <v>1448243.2400000002</v>
      </c>
      <c r="T873" s="128">
        <f t="shared" si="232"/>
        <v>3550.4860014709493</v>
      </c>
      <c r="U873" s="128">
        <v>5158.8631198823241</v>
      </c>
      <c r="V873" s="257">
        <f>U873-T873</f>
        <v>1608.3771184113748</v>
      </c>
      <c r="W873" s="257">
        <f>X873+Y873+Z873+AA873+AB873+AD873+AF873+AH873+AJ873+AL873+AN873+AO873</f>
        <v>5642.3973988722719</v>
      </c>
      <c r="X873" s="257">
        <v>0</v>
      </c>
      <c r="Y873" s="258">
        <v>0</v>
      </c>
      <c r="Z873" s="258">
        <v>0</v>
      </c>
      <c r="AA873" s="258">
        <v>0</v>
      </c>
      <c r="AB873" s="258">
        <v>0</v>
      </c>
      <c r="AC873" s="258">
        <v>0</v>
      </c>
      <c r="AD873" s="258">
        <v>0</v>
      </c>
      <c r="AE873" s="258">
        <v>368.9</v>
      </c>
      <c r="AF873" s="257">
        <f>6238.91*AE873/I873</f>
        <v>5642.3973988722719</v>
      </c>
      <c r="AG873" s="258">
        <v>0</v>
      </c>
      <c r="AH873" s="257">
        <v>0</v>
      </c>
      <c r="AI873" s="258">
        <v>0</v>
      </c>
      <c r="AJ873" s="257">
        <v>0</v>
      </c>
      <c r="AK873" s="258">
        <v>0</v>
      </c>
      <c r="AL873" s="258">
        <v>0</v>
      </c>
      <c r="AM873" s="258">
        <v>0</v>
      </c>
      <c r="AN873" s="258"/>
      <c r="AO873" s="258">
        <v>0</v>
      </c>
    </row>
    <row r="874" spans="1:41" s="259" customFormat="1" ht="36" customHeight="1" x14ac:dyDescent="0.25">
      <c r="B874" s="94" t="s">
        <v>844</v>
      </c>
      <c r="C874" s="261"/>
      <c r="D874" s="124" t="s">
        <v>896</v>
      </c>
      <c r="E874" s="124" t="s">
        <v>896</v>
      </c>
      <c r="F874" s="124" t="s">
        <v>896</v>
      </c>
      <c r="G874" s="124" t="s">
        <v>896</v>
      </c>
      <c r="H874" s="124" t="s">
        <v>896</v>
      </c>
      <c r="I874" s="125">
        <f>SUM(I875:I882)</f>
        <v>6122.7</v>
      </c>
      <c r="J874" s="125">
        <f>SUM(J875:J882)</f>
        <v>5641.0999999999995</v>
      </c>
      <c r="K874" s="125">
        <f>SUM(K875:K882)</f>
        <v>4582.5999999999995</v>
      </c>
      <c r="L874" s="126">
        <f>SUM(L875:L882)</f>
        <v>226</v>
      </c>
      <c r="M874" s="124" t="s">
        <v>896</v>
      </c>
      <c r="N874" s="124" t="s">
        <v>896</v>
      </c>
      <c r="O874" s="127" t="s">
        <v>896</v>
      </c>
      <c r="P874" s="128">
        <v>26148725.280000001</v>
      </c>
      <c r="Q874" s="128">
        <f>SUM(Q875:Q882)</f>
        <v>0</v>
      </c>
      <c r="R874" s="128">
        <f>SUM(R875:R882)</f>
        <v>0</v>
      </c>
      <c r="S874" s="128">
        <f>SUM(S875:S882)</f>
        <v>26148725.280000001</v>
      </c>
      <c r="T874" s="128">
        <f t="shared" si="232"/>
        <v>4270.7833602822284</v>
      </c>
      <c r="U874" s="128">
        <f>MAX(U875:U882)</f>
        <v>8559.8877628159698</v>
      </c>
      <c r="V874" s="257">
        <f t="shared" si="213"/>
        <v>4289.1044025337414</v>
      </c>
      <c r="W874" s="257"/>
      <c r="X874" s="257"/>
      <c r="Y874" s="258"/>
      <c r="Z874" s="258"/>
      <c r="AA874" s="258"/>
      <c r="AB874" s="258"/>
      <c r="AC874" s="258"/>
      <c r="AD874" s="258"/>
      <c r="AE874" s="258"/>
      <c r="AF874" s="258"/>
      <c r="AG874" s="258"/>
      <c r="AH874" s="258"/>
      <c r="AI874" s="258"/>
      <c r="AJ874" s="258"/>
      <c r="AK874" s="258"/>
      <c r="AL874" s="258"/>
      <c r="AM874" s="258"/>
      <c r="AN874" s="258"/>
      <c r="AO874" s="258"/>
    </row>
    <row r="875" spans="1:41" s="259" customFormat="1" ht="36" customHeight="1" x14ac:dyDescent="0.25">
      <c r="A875" s="259">
        <v>1</v>
      </c>
      <c r="B875" s="135">
        <f>SUBTOTAL(103,$A$552:A875)</f>
        <v>294</v>
      </c>
      <c r="C875" s="94" t="s">
        <v>1691</v>
      </c>
      <c r="D875" s="124">
        <v>1982</v>
      </c>
      <c r="E875" s="124"/>
      <c r="F875" s="129" t="s">
        <v>320</v>
      </c>
      <c r="G875" s="124">
        <v>2</v>
      </c>
      <c r="H875" s="124" t="s">
        <v>305</v>
      </c>
      <c r="I875" s="125">
        <v>626.1</v>
      </c>
      <c r="J875" s="125">
        <v>566.6</v>
      </c>
      <c r="K875" s="125">
        <v>566.6</v>
      </c>
      <c r="L875" s="126">
        <v>21</v>
      </c>
      <c r="M875" s="124" t="s">
        <v>267</v>
      </c>
      <c r="N875" s="124" t="s">
        <v>268</v>
      </c>
      <c r="O875" s="127" t="s">
        <v>270</v>
      </c>
      <c r="P875" s="128">
        <v>2958681.4299999997</v>
      </c>
      <c r="Q875" s="128">
        <v>0</v>
      </c>
      <c r="R875" s="128">
        <v>0</v>
      </c>
      <c r="S875" s="128">
        <f t="shared" ref="S875:S881" si="251">P875-Q875-R875</f>
        <v>2958681.4299999997</v>
      </c>
      <c r="T875" s="128">
        <f t="shared" si="232"/>
        <v>4725.5732790289085</v>
      </c>
      <c r="U875" s="128">
        <v>4725.5732790289085</v>
      </c>
      <c r="V875" s="257">
        <f t="shared" si="213"/>
        <v>0</v>
      </c>
      <c r="W875" s="257">
        <f>T875</f>
        <v>4725.5732790289085</v>
      </c>
      <c r="X875" s="257">
        <v>0</v>
      </c>
      <c r="Y875" s="258">
        <v>0</v>
      </c>
      <c r="Z875" s="258">
        <v>0</v>
      </c>
      <c r="AA875" s="258">
        <v>0</v>
      </c>
      <c r="AB875" s="258">
        <v>0</v>
      </c>
      <c r="AC875" s="258">
        <v>0</v>
      </c>
      <c r="AD875" s="258">
        <v>0</v>
      </c>
      <c r="AE875" s="258">
        <v>368.29</v>
      </c>
      <c r="AF875" s="257">
        <f>6436.53*AE875/I875</f>
        <v>3786.1517867752755</v>
      </c>
      <c r="AG875" s="258">
        <v>0</v>
      </c>
      <c r="AH875" s="257">
        <v>0</v>
      </c>
      <c r="AI875" s="258">
        <v>0</v>
      </c>
      <c r="AJ875" s="257">
        <v>0</v>
      </c>
      <c r="AK875" s="258">
        <v>0</v>
      </c>
      <c r="AL875" s="258">
        <v>0</v>
      </c>
      <c r="AM875" s="258">
        <v>0</v>
      </c>
      <c r="AN875" s="258"/>
      <c r="AO875" s="258">
        <v>0</v>
      </c>
    </row>
    <row r="876" spans="1:41" s="259" customFormat="1" ht="36" customHeight="1" x14ac:dyDescent="0.25">
      <c r="A876" s="259">
        <v>1</v>
      </c>
      <c r="B876" s="135">
        <f>SUBTOTAL(103,$A$552:A876)</f>
        <v>295</v>
      </c>
      <c r="C876" s="94" t="s">
        <v>79</v>
      </c>
      <c r="D876" s="124">
        <v>1962</v>
      </c>
      <c r="E876" s="124"/>
      <c r="F876" s="129" t="s">
        <v>269</v>
      </c>
      <c r="G876" s="124">
        <v>2</v>
      </c>
      <c r="H876" s="124" t="s">
        <v>305</v>
      </c>
      <c r="I876" s="125">
        <v>355.8</v>
      </c>
      <c r="J876" s="125">
        <v>326.10000000000002</v>
      </c>
      <c r="K876" s="125">
        <v>212</v>
      </c>
      <c r="L876" s="126">
        <v>21</v>
      </c>
      <c r="M876" s="124" t="s">
        <v>267</v>
      </c>
      <c r="N876" s="124" t="s">
        <v>268</v>
      </c>
      <c r="O876" s="127" t="s">
        <v>270</v>
      </c>
      <c r="P876" s="128">
        <v>2355901.4699999997</v>
      </c>
      <c r="Q876" s="128">
        <v>0</v>
      </c>
      <c r="R876" s="128">
        <v>0</v>
      </c>
      <c r="S876" s="128">
        <f t="shared" si="251"/>
        <v>2355901.4699999997</v>
      </c>
      <c r="T876" s="128">
        <f t="shared" si="232"/>
        <v>6621.4206576728493</v>
      </c>
      <c r="U876" s="128">
        <v>7565.7158516020227</v>
      </c>
      <c r="V876" s="257">
        <f t="shared" si="213"/>
        <v>944.29519392917337</v>
      </c>
      <c r="W876" s="257">
        <f t="shared" ref="W876:W882" si="252">X876+Y876+Z876+AA876+AB876+AD876+AF876+AH876+AJ876+AL876+AN876+AO876</f>
        <v>7539.9980326025852</v>
      </c>
      <c r="X876" s="257">
        <v>0</v>
      </c>
      <c r="Y876" s="258">
        <v>0</v>
      </c>
      <c r="Z876" s="258">
        <v>0</v>
      </c>
      <c r="AA876" s="258">
        <v>0</v>
      </c>
      <c r="AB876" s="258">
        <v>0</v>
      </c>
      <c r="AC876" s="258">
        <v>0</v>
      </c>
      <c r="AD876" s="258">
        <v>0</v>
      </c>
      <c r="AE876" s="258">
        <v>430</v>
      </c>
      <c r="AF876" s="257">
        <f t="shared" ref="AF876:AF882" si="253">6238.91*AE876/I876</f>
        <v>7539.9980326025852</v>
      </c>
      <c r="AG876" s="258">
        <v>0</v>
      </c>
      <c r="AH876" s="257">
        <v>0</v>
      </c>
      <c r="AI876" s="258">
        <v>0</v>
      </c>
      <c r="AJ876" s="257">
        <v>0</v>
      </c>
      <c r="AK876" s="258">
        <v>0</v>
      </c>
      <c r="AL876" s="258">
        <v>0</v>
      </c>
      <c r="AM876" s="258">
        <v>0</v>
      </c>
      <c r="AN876" s="258"/>
      <c r="AO876" s="258">
        <v>0</v>
      </c>
    </row>
    <row r="877" spans="1:41" s="259" customFormat="1" ht="36" customHeight="1" x14ac:dyDescent="0.25">
      <c r="A877" s="259">
        <v>1</v>
      </c>
      <c r="B877" s="135">
        <f>SUBTOTAL(103,$A$552:A877)</f>
        <v>296</v>
      </c>
      <c r="C877" s="94" t="s">
        <v>80</v>
      </c>
      <c r="D877" s="124">
        <v>1964</v>
      </c>
      <c r="E877" s="124"/>
      <c r="F877" s="129" t="s">
        <v>269</v>
      </c>
      <c r="G877" s="124">
        <v>2</v>
      </c>
      <c r="H877" s="124" t="s">
        <v>305</v>
      </c>
      <c r="I877" s="125">
        <v>651.6</v>
      </c>
      <c r="J877" s="125">
        <v>628.9</v>
      </c>
      <c r="K877" s="125">
        <v>385</v>
      </c>
      <c r="L877" s="126">
        <v>42</v>
      </c>
      <c r="M877" s="124" t="s">
        <v>267</v>
      </c>
      <c r="N877" s="124" t="s">
        <v>268</v>
      </c>
      <c r="O877" s="127" t="s">
        <v>270</v>
      </c>
      <c r="P877" s="128">
        <v>2355901.4699999997</v>
      </c>
      <c r="Q877" s="128">
        <v>0</v>
      </c>
      <c r="R877" s="128">
        <v>0</v>
      </c>
      <c r="S877" s="128">
        <f t="shared" si="251"/>
        <v>2355901.4699999997</v>
      </c>
      <c r="T877" s="128">
        <f t="shared" si="232"/>
        <v>3615.5639502762424</v>
      </c>
      <c r="U877" s="128">
        <v>4131.1873848987107</v>
      </c>
      <c r="V877" s="257">
        <f t="shared" ref="V877:V879" si="254">U877-T877</f>
        <v>515.62343462246827</v>
      </c>
      <c r="W877" s="257">
        <f t="shared" ref="W877:W879" si="255">X877+Y877+Z877+AA877+AB877+AD877+AF877+AH877+AJ877+AL877+AN877+AO877</f>
        <v>4117.1444137507669</v>
      </c>
      <c r="X877" s="257">
        <v>0</v>
      </c>
      <c r="Y877" s="258">
        <v>0</v>
      </c>
      <c r="Z877" s="258">
        <v>0</v>
      </c>
      <c r="AA877" s="258">
        <v>0</v>
      </c>
      <c r="AB877" s="258">
        <v>0</v>
      </c>
      <c r="AC877" s="258">
        <v>0</v>
      </c>
      <c r="AD877" s="258">
        <v>0</v>
      </c>
      <c r="AE877" s="258">
        <v>430</v>
      </c>
      <c r="AF877" s="257">
        <f t="shared" si="253"/>
        <v>4117.1444137507669</v>
      </c>
      <c r="AG877" s="258">
        <v>0</v>
      </c>
      <c r="AH877" s="257">
        <v>0</v>
      </c>
      <c r="AI877" s="258">
        <v>0</v>
      </c>
      <c r="AJ877" s="257">
        <v>0</v>
      </c>
      <c r="AK877" s="258">
        <v>0</v>
      </c>
      <c r="AL877" s="258">
        <v>0</v>
      </c>
      <c r="AM877" s="258">
        <v>0</v>
      </c>
      <c r="AN877" s="258"/>
      <c r="AO877" s="258">
        <v>0</v>
      </c>
    </row>
    <row r="878" spans="1:41" s="259" customFormat="1" ht="36" customHeight="1" x14ac:dyDescent="0.25">
      <c r="A878" s="259">
        <v>1</v>
      </c>
      <c r="B878" s="135">
        <f>SUBTOTAL(103,$A$552:A878)</f>
        <v>297</v>
      </c>
      <c r="C878" s="94" t="s">
        <v>78</v>
      </c>
      <c r="D878" s="124">
        <v>1929</v>
      </c>
      <c r="E878" s="124"/>
      <c r="F878" s="129" t="s">
        <v>269</v>
      </c>
      <c r="G878" s="124" t="s">
        <v>305</v>
      </c>
      <c r="H878" s="124" t="s">
        <v>306</v>
      </c>
      <c r="I878" s="125">
        <v>475.3</v>
      </c>
      <c r="J878" s="125">
        <v>435.5</v>
      </c>
      <c r="K878" s="125">
        <v>253</v>
      </c>
      <c r="L878" s="126">
        <v>5</v>
      </c>
      <c r="M878" s="124" t="s">
        <v>267</v>
      </c>
      <c r="N878" s="124" t="s">
        <v>268</v>
      </c>
      <c r="O878" s="127" t="s">
        <v>270</v>
      </c>
      <c r="P878" s="128">
        <v>2170941.85</v>
      </c>
      <c r="Q878" s="128">
        <v>0</v>
      </c>
      <c r="R878" s="128">
        <v>0</v>
      </c>
      <c r="S878" s="128">
        <f t="shared" si="251"/>
        <v>2170941.85</v>
      </c>
      <c r="T878" s="128">
        <f t="shared" si="232"/>
        <v>4567.5191458026511</v>
      </c>
      <c r="U878" s="128">
        <v>5070.8460972017674</v>
      </c>
      <c r="V878" s="257">
        <f t="shared" si="254"/>
        <v>503.3269513991163</v>
      </c>
      <c r="W878" s="257">
        <f t="shared" si="255"/>
        <v>5053.6089837997051</v>
      </c>
      <c r="X878" s="257">
        <v>0</v>
      </c>
      <c r="Y878" s="258">
        <v>0</v>
      </c>
      <c r="Z878" s="258">
        <v>0</v>
      </c>
      <c r="AA878" s="258">
        <v>0</v>
      </c>
      <c r="AB878" s="258">
        <v>0</v>
      </c>
      <c r="AC878" s="258">
        <v>0</v>
      </c>
      <c r="AD878" s="258">
        <v>0</v>
      </c>
      <c r="AE878" s="258">
        <v>385</v>
      </c>
      <c r="AF878" s="257">
        <f t="shared" si="253"/>
        <v>5053.6089837997051</v>
      </c>
      <c r="AG878" s="258">
        <v>0</v>
      </c>
      <c r="AH878" s="257">
        <v>0</v>
      </c>
      <c r="AI878" s="258">
        <v>0</v>
      </c>
      <c r="AJ878" s="257">
        <v>0</v>
      </c>
      <c r="AK878" s="258">
        <v>0</v>
      </c>
      <c r="AL878" s="258">
        <v>0</v>
      </c>
      <c r="AM878" s="258">
        <v>0</v>
      </c>
      <c r="AN878" s="258"/>
      <c r="AO878" s="258">
        <v>0</v>
      </c>
    </row>
    <row r="879" spans="1:41" s="259" customFormat="1" ht="36" customHeight="1" x14ac:dyDescent="0.25">
      <c r="A879" s="259">
        <v>1</v>
      </c>
      <c r="B879" s="135">
        <f>SUBTOTAL(103,$A$552:A879)</f>
        <v>298</v>
      </c>
      <c r="C879" s="94" t="s">
        <v>1690</v>
      </c>
      <c r="D879" s="124">
        <v>1953</v>
      </c>
      <c r="E879" s="124"/>
      <c r="F879" s="129" t="s">
        <v>269</v>
      </c>
      <c r="G879" s="124">
        <v>2</v>
      </c>
      <c r="H879" s="124" t="s">
        <v>314</v>
      </c>
      <c r="I879" s="125">
        <v>996.1</v>
      </c>
      <c r="J879" s="125">
        <v>882.6</v>
      </c>
      <c r="K879" s="125">
        <v>782.6</v>
      </c>
      <c r="L879" s="126">
        <v>30</v>
      </c>
      <c r="M879" s="124" t="s">
        <v>267</v>
      </c>
      <c r="N879" s="124" t="s">
        <v>268</v>
      </c>
      <c r="O879" s="127" t="s">
        <v>270</v>
      </c>
      <c r="P879" s="128">
        <v>4867830.6499999994</v>
      </c>
      <c r="Q879" s="128">
        <v>0</v>
      </c>
      <c r="R879" s="128">
        <v>0</v>
      </c>
      <c r="S879" s="128">
        <f t="shared" si="251"/>
        <v>4867830.6499999994</v>
      </c>
      <c r="T879" s="128">
        <f t="shared" si="232"/>
        <v>4886.8895191245856</v>
      </c>
      <c r="U879" s="128">
        <v>5970.4653147274366</v>
      </c>
      <c r="V879" s="257">
        <f t="shared" si="254"/>
        <v>1083.575795602851</v>
      </c>
      <c r="W879" s="257">
        <f t="shared" si="255"/>
        <v>5950.1701636381886</v>
      </c>
      <c r="X879" s="257">
        <v>0</v>
      </c>
      <c r="Y879" s="258">
        <v>0</v>
      </c>
      <c r="Z879" s="258">
        <v>0</v>
      </c>
      <c r="AA879" s="258">
        <v>0</v>
      </c>
      <c r="AB879" s="258">
        <v>0</v>
      </c>
      <c r="AC879" s="258">
        <v>0</v>
      </c>
      <c r="AD879" s="258">
        <v>0</v>
      </c>
      <c r="AE879" s="258">
        <v>950</v>
      </c>
      <c r="AF879" s="257">
        <f t="shared" si="253"/>
        <v>5950.1701636381886</v>
      </c>
      <c r="AG879" s="258">
        <v>0</v>
      </c>
      <c r="AH879" s="257">
        <v>0</v>
      </c>
      <c r="AI879" s="258">
        <v>0</v>
      </c>
      <c r="AJ879" s="257">
        <v>0</v>
      </c>
      <c r="AK879" s="258">
        <v>0</v>
      </c>
      <c r="AL879" s="258">
        <v>0</v>
      </c>
      <c r="AM879" s="258">
        <v>0</v>
      </c>
      <c r="AN879" s="258"/>
      <c r="AO879" s="258">
        <v>0</v>
      </c>
    </row>
    <row r="880" spans="1:41" s="259" customFormat="1" ht="36" customHeight="1" x14ac:dyDescent="0.25">
      <c r="A880" s="259">
        <v>1</v>
      </c>
      <c r="B880" s="135">
        <f>SUBTOTAL(103,$A$552:A880)</f>
        <v>299</v>
      </c>
      <c r="C880" s="94" t="s">
        <v>76</v>
      </c>
      <c r="D880" s="124">
        <v>1948</v>
      </c>
      <c r="E880" s="124"/>
      <c r="F880" s="129" t="s">
        <v>269</v>
      </c>
      <c r="G880" s="124">
        <v>4</v>
      </c>
      <c r="H880" s="124" t="s">
        <v>314</v>
      </c>
      <c r="I880" s="125">
        <v>1954.5</v>
      </c>
      <c r="J880" s="125">
        <v>1781</v>
      </c>
      <c r="K880" s="125">
        <v>1540</v>
      </c>
      <c r="L880" s="126">
        <v>58</v>
      </c>
      <c r="M880" s="124" t="s">
        <v>267</v>
      </c>
      <c r="N880" s="124" t="s">
        <v>271</v>
      </c>
      <c r="O880" s="127" t="s">
        <v>280</v>
      </c>
      <c r="P880" s="128">
        <v>5421953.8200000003</v>
      </c>
      <c r="Q880" s="128">
        <v>0</v>
      </c>
      <c r="R880" s="128">
        <v>0</v>
      </c>
      <c r="S880" s="128">
        <f t="shared" si="251"/>
        <v>5421953.8200000003</v>
      </c>
      <c r="T880" s="128">
        <f t="shared" si="232"/>
        <v>2774.0873983115889</v>
      </c>
      <c r="U880" s="128">
        <v>3055.6261243284725</v>
      </c>
      <c r="V880" s="257">
        <f t="shared" si="213"/>
        <v>281.53872601688363</v>
      </c>
      <c r="W880" s="257">
        <f t="shared" si="252"/>
        <v>1372.5921207469939</v>
      </c>
      <c r="X880" s="257">
        <v>0</v>
      </c>
      <c r="Y880" s="258">
        <v>0</v>
      </c>
      <c r="Z880" s="258">
        <v>0</v>
      </c>
      <c r="AA880" s="258">
        <v>0</v>
      </c>
      <c r="AB880" s="258">
        <v>0</v>
      </c>
      <c r="AC880" s="258">
        <v>0</v>
      </c>
      <c r="AD880" s="258">
        <v>0</v>
      </c>
      <c r="AE880" s="258">
        <v>430</v>
      </c>
      <c r="AF880" s="257">
        <f t="shared" si="253"/>
        <v>1372.5921207469939</v>
      </c>
      <c r="AG880" s="258">
        <v>0</v>
      </c>
      <c r="AH880" s="257">
        <v>0</v>
      </c>
      <c r="AI880" s="258">
        <v>0</v>
      </c>
      <c r="AJ880" s="257">
        <v>0</v>
      </c>
      <c r="AK880" s="258">
        <v>0</v>
      </c>
      <c r="AL880" s="258">
        <v>0</v>
      </c>
      <c r="AM880" s="258">
        <v>0</v>
      </c>
      <c r="AN880" s="258"/>
      <c r="AO880" s="258">
        <v>0</v>
      </c>
    </row>
    <row r="881" spans="1:41" s="259" customFormat="1" ht="36" customHeight="1" x14ac:dyDescent="0.25">
      <c r="A881" s="259">
        <v>1</v>
      </c>
      <c r="B881" s="135">
        <f>SUBTOTAL(103,$A$552:A881)</f>
        <v>300</v>
      </c>
      <c r="C881" s="94" t="s">
        <v>1239</v>
      </c>
      <c r="D881" s="124">
        <v>1955</v>
      </c>
      <c r="E881" s="124"/>
      <c r="F881" s="129" t="s">
        <v>269</v>
      </c>
      <c r="G881" s="124">
        <v>2</v>
      </c>
      <c r="H881" s="124" t="s">
        <v>305</v>
      </c>
      <c r="I881" s="125">
        <v>640</v>
      </c>
      <c r="J881" s="125">
        <v>629</v>
      </c>
      <c r="K881" s="125">
        <v>452</v>
      </c>
      <c r="L881" s="126">
        <v>27</v>
      </c>
      <c r="M881" s="124" t="s">
        <v>267</v>
      </c>
      <c r="N881" s="124" t="s">
        <v>271</v>
      </c>
      <c r="O881" s="127" t="s">
        <v>1310</v>
      </c>
      <c r="P881" s="128">
        <v>2394114.0999999996</v>
      </c>
      <c r="Q881" s="128">
        <v>0</v>
      </c>
      <c r="R881" s="128">
        <v>0</v>
      </c>
      <c r="S881" s="128">
        <f t="shared" si="251"/>
        <v>2394114.0999999996</v>
      </c>
      <c r="T881" s="128">
        <f t="shared" si="232"/>
        <v>3740.8032812499996</v>
      </c>
      <c r="U881" s="128">
        <v>5868.9281249999995</v>
      </c>
      <c r="V881" s="257">
        <f t="shared" si="213"/>
        <v>2128.1248437499999</v>
      </c>
      <c r="W881" s="257">
        <f t="shared" si="252"/>
        <v>3753.0942968750001</v>
      </c>
      <c r="X881" s="257">
        <v>0</v>
      </c>
      <c r="Y881" s="258">
        <v>0</v>
      </c>
      <c r="Z881" s="258">
        <v>0</v>
      </c>
      <c r="AA881" s="258">
        <v>0</v>
      </c>
      <c r="AB881" s="258">
        <v>0</v>
      </c>
      <c r="AC881" s="258">
        <v>0</v>
      </c>
      <c r="AD881" s="258">
        <v>0</v>
      </c>
      <c r="AE881" s="258">
        <v>385</v>
      </c>
      <c r="AF881" s="257">
        <f t="shared" si="253"/>
        <v>3753.0942968750001</v>
      </c>
      <c r="AG881" s="258">
        <v>0</v>
      </c>
      <c r="AH881" s="257">
        <v>0</v>
      </c>
      <c r="AI881" s="258">
        <v>0</v>
      </c>
      <c r="AJ881" s="257">
        <v>0</v>
      </c>
      <c r="AK881" s="258">
        <v>0</v>
      </c>
      <c r="AL881" s="258">
        <v>0</v>
      </c>
      <c r="AM881" s="258">
        <v>0</v>
      </c>
      <c r="AN881" s="258"/>
      <c r="AO881" s="258">
        <v>0</v>
      </c>
    </row>
    <row r="882" spans="1:41" s="259" customFormat="1" ht="36" customHeight="1" x14ac:dyDescent="0.25">
      <c r="A882" s="259">
        <v>1</v>
      </c>
      <c r="B882" s="135">
        <f>SUBTOTAL(103,$A$552:A882)</f>
        <v>301</v>
      </c>
      <c r="C882" s="94" t="s">
        <v>2303</v>
      </c>
      <c r="D882" s="124">
        <v>1958</v>
      </c>
      <c r="E882" s="124"/>
      <c r="F882" s="129" t="s">
        <v>269</v>
      </c>
      <c r="G882" s="124">
        <v>2</v>
      </c>
      <c r="H882" s="124">
        <v>1</v>
      </c>
      <c r="I882" s="125">
        <v>423.3</v>
      </c>
      <c r="J882" s="125">
        <v>391.4</v>
      </c>
      <c r="K882" s="125">
        <f>J882</f>
        <v>391.4</v>
      </c>
      <c r="L882" s="126">
        <v>22</v>
      </c>
      <c r="M882" s="124" t="s">
        <v>267</v>
      </c>
      <c r="N882" s="124" t="s">
        <v>271</v>
      </c>
      <c r="O882" s="127" t="s">
        <v>2304</v>
      </c>
      <c r="P882" s="128">
        <v>3623400.49</v>
      </c>
      <c r="Q882" s="128">
        <v>0</v>
      </c>
      <c r="R882" s="128">
        <v>0</v>
      </c>
      <c r="S882" s="128">
        <f>P882-Q882-R882</f>
        <v>3623400.49</v>
      </c>
      <c r="T882" s="128">
        <f t="shared" ref="T882" si="256">P882/I882</f>
        <v>8559.8877628159698</v>
      </c>
      <c r="U882" s="128">
        <f>T882</f>
        <v>8559.8877628159698</v>
      </c>
      <c r="V882" s="257">
        <f t="shared" si="213"/>
        <v>0</v>
      </c>
      <c r="W882" s="257">
        <f t="shared" si="252"/>
        <v>14001.806047720293</v>
      </c>
      <c r="X882" s="257">
        <v>0</v>
      </c>
      <c r="Y882" s="258">
        <v>0</v>
      </c>
      <c r="Z882" s="258">
        <v>0</v>
      </c>
      <c r="AA882" s="258">
        <v>0</v>
      </c>
      <c r="AB882" s="258">
        <v>0</v>
      </c>
      <c r="AC882" s="258">
        <v>0</v>
      </c>
      <c r="AD882" s="258">
        <v>0</v>
      </c>
      <c r="AE882" s="258">
        <v>950</v>
      </c>
      <c r="AF882" s="257">
        <f t="shared" si="253"/>
        <v>14001.806047720293</v>
      </c>
      <c r="AG882" s="258">
        <v>0</v>
      </c>
      <c r="AH882" s="257">
        <v>0</v>
      </c>
      <c r="AI882" s="258">
        <v>0</v>
      </c>
      <c r="AJ882" s="257">
        <v>0</v>
      </c>
      <c r="AK882" s="258">
        <v>0</v>
      </c>
      <c r="AL882" s="258">
        <v>0</v>
      </c>
      <c r="AM882" s="258">
        <v>0</v>
      </c>
      <c r="AN882" s="258"/>
      <c r="AO882" s="258">
        <v>0</v>
      </c>
    </row>
    <row r="883" spans="1:41" s="259" customFormat="1" ht="36" customHeight="1" x14ac:dyDescent="0.25">
      <c r="B883" s="94" t="s">
        <v>878</v>
      </c>
      <c r="C883" s="94"/>
      <c r="D883" s="124" t="s">
        <v>896</v>
      </c>
      <c r="E883" s="124" t="s">
        <v>896</v>
      </c>
      <c r="F883" s="124" t="s">
        <v>896</v>
      </c>
      <c r="G883" s="124" t="s">
        <v>896</v>
      </c>
      <c r="H883" s="124" t="s">
        <v>896</v>
      </c>
      <c r="I883" s="128">
        <f>SUM(I884:I886)</f>
        <v>1222.5999999999999</v>
      </c>
      <c r="J883" s="128">
        <f>SUM(J884:J886)</f>
        <v>1134.8</v>
      </c>
      <c r="K883" s="128">
        <f>SUM(K884:K886)</f>
        <v>1109.2</v>
      </c>
      <c r="L883" s="126">
        <f>SUM(L884:L886)</f>
        <v>66</v>
      </c>
      <c r="M883" s="124" t="s">
        <v>896</v>
      </c>
      <c r="N883" s="124" t="s">
        <v>896</v>
      </c>
      <c r="O883" s="127" t="s">
        <v>896</v>
      </c>
      <c r="P883" s="128">
        <v>2987522.79</v>
      </c>
      <c r="Q883" s="128">
        <f t="shared" ref="Q883:S883" si="257">SUM(Q884:Q886)</f>
        <v>0</v>
      </c>
      <c r="R883" s="128">
        <f t="shared" si="257"/>
        <v>0</v>
      </c>
      <c r="S883" s="128">
        <f t="shared" si="257"/>
        <v>2987522.79</v>
      </c>
      <c r="T883" s="128">
        <f t="shared" si="232"/>
        <v>2443.5815393423854</v>
      </c>
      <c r="U883" s="128">
        <f>MAX(U884:U886)</f>
        <v>5569.0476093885818</v>
      </c>
      <c r="V883" s="257">
        <f t="shared" si="213"/>
        <v>3125.4660700461964</v>
      </c>
      <c r="W883" s="257"/>
      <c r="X883" s="257"/>
      <c r="Y883" s="258"/>
      <c r="Z883" s="258"/>
      <c r="AA883" s="258"/>
      <c r="AB883" s="258"/>
      <c r="AC883" s="258"/>
      <c r="AD883" s="258"/>
      <c r="AE883" s="258"/>
      <c r="AF883" s="258"/>
      <c r="AG883" s="258"/>
      <c r="AH883" s="258"/>
      <c r="AI883" s="258"/>
      <c r="AJ883" s="258"/>
      <c r="AK883" s="258"/>
      <c r="AL883" s="258"/>
      <c r="AM883" s="258"/>
      <c r="AN883" s="258"/>
      <c r="AO883" s="258"/>
    </row>
    <row r="884" spans="1:41" s="259" customFormat="1" ht="36" customHeight="1" x14ac:dyDescent="0.25">
      <c r="A884" s="259">
        <v>1</v>
      </c>
      <c r="B884" s="135">
        <f>SUBTOTAL(103,$A$552:A884)</f>
        <v>302</v>
      </c>
      <c r="C884" s="94" t="s">
        <v>81</v>
      </c>
      <c r="D884" s="124">
        <v>1931</v>
      </c>
      <c r="E884" s="124"/>
      <c r="F884" s="129" t="s">
        <v>269</v>
      </c>
      <c r="G884" s="124">
        <v>2</v>
      </c>
      <c r="H884" s="124" t="s">
        <v>306</v>
      </c>
      <c r="I884" s="125">
        <v>345.1</v>
      </c>
      <c r="J884" s="125">
        <v>319.60000000000002</v>
      </c>
      <c r="K884" s="125">
        <v>297</v>
      </c>
      <c r="L884" s="126">
        <v>9</v>
      </c>
      <c r="M884" s="124" t="s">
        <v>267</v>
      </c>
      <c r="N884" s="124" t="s">
        <v>268</v>
      </c>
      <c r="O884" s="127" t="s">
        <v>270</v>
      </c>
      <c r="P884" s="128">
        <v>1762259.81</v>
      </c>
      <c r="Q884" s="128">
        <v>0</v>
      </c>
      <c r="R884" s="128">
        <v>0</v>
      </c>
      <c r="S884" s="128">
        <f>P884-Q884-R884</f>
        <v>1762259.81</v>
      </c>
      <c r="T884" s="128">
        <f t="shared" si="232"/>
        <v>5106.519298753984</v>
      </c>
      <c r="U884" s="128">
        <v>5569.0476093885818</v>
      </c>
      <c r="V884" s="257">
        <f t="shared" si="213"/>
        <v>462.5283106345978</v>
      </c>
      <c r="W884" s="257">
        <f t="shared" ref="W884:W886" si="258">X884+Y884+Z884+AA884+AB884+AD884+AF884+AH884+AJ884+AL884+AN884+AO884</f>
        <v>5550.1169805853369</v>
      </c>
      <c r="X884" s="257">
        <v>0</v>
      </c>
      <c r="Y884" s="258">
        <v>0</v>
      </c>
      <c r="Z884" s="258">
        <v>0</v>
      </c>
      <c r="AA884" s="258">
        <v>0</v>
      </c>
      <c r="AB884" s="258">
        <v>0</v>
      </c>
      <c r="AC884" s="258">
        <v>0</v>
      </c>
      <c r="AD884" s="258">
        <v>0</v>
      </c>
      <c r="AE884" s="258">
        <v>307</v>
      </c>
      <c r="AF884" s="257">
        <f>6238.91*AE884/I884</f>
        <v>5550.1169805853369</v>
      </c>
      <c r="AG884" s="258">
        <v>0</v>
      </c>
      <c r="AH884" s="257">
        <v>0</v>
      </c>
      <c r="AI884" s="258">
        <v>0</v>
      </c>
      <c r="AJ884" s="257">
        <v>0</v>
      </c>
      <c r="AK884" s="258">
        <v>0</v>
      </c>
      <c r="AL884" s="258">
        <v>0</v>
      </c>
      <c r="AM884" s="258">
        <v>0</v>
      </c>
      <c r="AN884" s="258"/>
      <c r="AO884" s="258">
        <v>0</v>
      </c>
    </row>
    <row r="885" spans="1:41" s="259" customFormat="1" ht="36" customHeight="1" x14ac:dyDescent="0.25">
      <c r="A885" s="259">
        <v>1</v>
      </c>
      <c r="B885" s="135">
        <f>SUBTOTAL(103,$A$552:A885)</f>
        <v>303</v>
      </c>
      <c r="C885" s="94" t="s">
        <v>82</v>
      </c>
      <c r="D885" s="124">
        <v>1965</v>
      </c>
      <c r="E885" s="124"/>
      <c r="F885" s="129" t="s">
        <v>269</v>
      </c>
      <c r="G885" s="124">
        <v>2</v>
      </c>
      <c r="H885" s="124" t="s">
        <v>306</v>
      </c>
      <c r="I885" s="125">
        <v>210.5</v>
      </c>
      <c r="J885" s="125">
        <v>187.3</v>
      </c>
      <c r="K885" s="125">
        <v>184.3</v>
      </c>
      <c r="L885" s="126">
        <v>15</v>
      </c>
      <c r="M885" s="124" t="s">
        <v>267</v>
      </c>
      <c r="N885" s="124" t="s">
        <v>271</v>
      </c>
      <c r="O885" s="127" t="s">
        <v>281</v>
      </c>
      <c r="P885" s="128">
        <v>901962.98</v>
      </c>
      <c r="Q885" s="128">
        <v>0</v>
      </c>
      <c r="R885" s="128">
        <v>0</v>
      </c>
      <c r="S885" s="128">
        <f>P885-Q885-R885</f>
        <v>901962.98</v>
      </c>
      <c r="T885" s="128">
        <f t="shared" si="232"/>
        <v>4284.8597624703089</v>
      </c>
      <c r="U885" s="128">
        <v>4758.3391923990494</v>
      </c>
      <c r="V885" s="257">
        <f t="shared" ref="V885" si="259">U885-T885</f>
        <v>473.4794299287405</v>
      </c>
      <c r="W885" s="257">
        <f t="shared" ref="W885" si="260">X885+Y885+Z885+AA885+AB885+AD885+AF885+AH885+AJ885+AL885+AN885+AO885</f>
        <v>4742.1643705463184</v>
      </c>
      <c r="X885" s="257">
        <v>0</v>
      </c>
      <c r="Y885" s="258">
        <v>0</v>
      </c>
      <c r="Z885" s="258">
        <v>0</v>
      </c>
      <c r="AA885" s="258">
        <v>0</v>
      </c>
      <c r="AB885" s="258">
        <v>0</v>
      </c>
      <c r="AC885" s="258">
        <v>0</v>
      </c>
      <c r="AD885" s="258">
        <v>0</v>
      </c>
      <c r="AE885" s="258">
        <v>160</v>
      </c>
      <c r="AF885" s="257">
        <f>6238.91*AE885/I885</f>
        <v>4742.1643705463184</v>
      </c>
      <c r="AG885" s="258">
        <v>0</v>
      </c>
      <c r="AH885" s="257">
        <v>0</v>
      </c>
      <c r="AI885" s="258">
        <v>0</v>
      </c>
      <c r="AJ885" s="257">
        <v>0</v>
      </c>
      <c r="AK885" s="258">
        <v>0</v>
      </c>
      <c r="AL885" s="258">
        <v>0</v>
      </c>
      <c r="AM885" s="258">
        <v>0</v>
      </c>
      <c r="AN885" s="258"/>
      <c r="AO885" s="258">
        <v>0</v>
      </c>
    </row>
    <row r="886" spans="1:41" s="259" customFormat="1" ht="36" customHeight="1" x14ac:dyDescent="0.25">
      <c r="A886" s="259">
        <v>1</v>
      </c>
      <c r="B886" s="135">
        <f>SUBTOTAL(103,$A$552:A886)</f>
        <v>304</v>
      </c>
      <c r="C886" s="94" t="s">
        <v>2305</v>
      </c>
      <c r="D886" s="124">
        <v>1966</v>
      </c>
      <c r="E886" s="124"/>
      <c r="F886" s="129" t="s">
        <v>269</v>
      </c>
      <c r="G886" s="124">
        <v>2</v>
      </c>
      <c r="H886" s="124">
        <v>2</v>
      </c>
      <c r="I886" s="125">
        <v>667</v>
      </c>
      <c r="J886" s="125">
        <v>627.9</v>
      </c>
      <c r="K886" s="125">
        <f>J886</f>
        <v>627.9</v>
      </c>
      <c r="L886" s="126">
        <v>42</v>
      </c>
      <c r="M886" s="124" t="s">
        <v>267</v>
      </c>
      <c r="N886" s="124" t="s">
        <v>268</v>
      </c>
      <c r="O886" s="127" t="s">
        <v>270</v>
      </c>
      <c r="P886" s="128">
        <v>323300</v>
      </c>
      <c r="Q886" s="128">
        <v>0</v>
      </c>
      <c r="R886" s="128">
        <v>0</v>
      </c>
      <c r="S886" s="128">
        <f>P886-Q886-R886</f>
        <v>323300</v>
      </c>
      <c r="T886" s="128">
        <f t="shared" si="232"/>
        <v>484.70764617691157</v>
      </c>
      <c r="U886" s="128">
        <f>T886</f>
        <v>484.70764617691157</v>
      </c>
      <c r="V886" s="257">
        <f t="shared" si="213"/>
        <v>0</v>
      </c>
      <c r="W886" s="257">
        <f t="shared" si="258"/>
        <v>1496.5901049475262</v>
      </c>
      <c r="X886" s="257">
        <v>0</v>
      </c>
      <c r="Y886" s="258">
        <v>0</v>
      </c>
      <c r="Z886" s="258">
        <v>0</v>
      </c>
      <c r="AA886" s="258">
        <v>0</v>
      </c>
      <c r="AB886" s="258">
        <v>0</v>
      </c>
      <c r="AC886" s="258">
        <v>0</v>
      </c>
      <c r="AD886" s="258">
        <v>0</v>
      </c>
      <c r="AE886" s="258">
        <v>160</v>
      </c>
      <c r="AF886" s="257">
        <f>6238.91*AE886/I886</f>
        <v>1496.5901049475262</v>
      </c>
      <c r="AG886" s="258">
        <v>0</v>
      </c>
      <c r="AH886" s="257">
        <v>0</v>
      </c>
      <c r="AI886" s="258">
        <v>0</v>
      </c>
      <c r="AJ886" s="257">
        <v>0</v>
      </c>
      <c r="AK886" s="258">
        <v>0</v>
      </c>
      <c r="AL886" s="258">
        <v>0</v>
      </c>
      <c r="AM886" s="258">
        <v>0</v>
      </c>
      <c r="AN886" s="258"/>
      <c r="AO886" s="258">
        <v>0</v>
      </c>
    </row>
    <row r="887" spans="1:41" s="259" customFormat="1" ht="36" customHeight="1" x14ac:dyDescent="0.25">
      <c r="B887" s="94" t="s">
        <v>879</v>
      </c>
      <c r="C887" s="94"/>
      <c r="D887" s="124" t="s">
        <v>896</v>
      </c>
      <c r="E887" s="124" t="s">
        <v>896</v>
      </c>
      <c r="F887" s="124" t="s">
        <v>896</v>
      </c>
      <c r="G887" s="124" t="s">
        <v>896</v>
      </c>
      <c r="H887" s="124" t="s">
        <v>896</v>
      </c>
      <c r="I887" s="125">
        <f>I888</f>
        <v>654.5</v>
      </c>
      <c r="J887" s="125">
        <f>J888</f>
        <v>614.5</v>
      </c>
      <c r="K887" s="125">
        <f>K888</f>
        <v>614.5</v>
      </c>
      <c r="L887" s="126">
        <f>L888</f>
        <v>32</v>
      </c>
      <c r="M887" s="124" t="s">
        <v>896</v>
      </c>
      <c r="N887" s="124" t="s">
        <v>896</v>
      </c>
      <c r="O887" s="127" t="s">
        <v>896</v>
      </c>
      <c r="P887" s="128">
        <v>2568179.12</v>
      </c>
      <c r="Q887" s="128">
        <f>Q888</f>
        <v>0</v>
      </c>
      <c r="R887" s="128">
        <f>R888</f>
        <v>0</v>
      </c>
      <c r="S887" s="128">
        <f>S888</f>
        <v>2568179.12</v>
      </c>
      <c r="T887" s="128">
        <f t="shared" si="232"/>
        <v>3923.8794805194807</v>
      </c>
      <c r="U887" s="128">
        <f>U888</f>
        <v>3923.8794805194807</v>
      </c>
      <c r="V887" s="257">
        <f t="shared" si="213"/>
        <v>0</v>
      </c>
      <c r="W887" s="257"/>
      <c r="X887" s="257"/>
      <c r="Y887" s="258"/>
      <c r="Z887" s="258"/>
      <c r="AA887" s="258"/>
      <c r="AB887" s="258"/>
      <c r="AC887" s="258"/>
      <c r="AD887" s="258"/>
      <c r="AE887" s="258"/>
      <c r="AF887" s="258"/>
      <c r="AG887" s="258"/>
      <c r="AH887" s="258"/>
      <c r="AI887" s="258"/>
      <c r="AJ887" s="258"/>
      <c r="AK887" s="258"/>
      <c r="AL887" s="258"/>
      <c r="AM887" s="258"/>
      <c r="AN887" s="258"/>
      <c r="AO887" s="258"/>
    </row>
    <row r="888" spans="1:41" s="259" customFormat="1" ht="36" customHeight="1" x14ac:dyDescent="0.25">
      <c r="A888" s="259">
        <v>1</v>
      </c>
      <c r="B888" s="135">
        <f>SUBTOTAL(103,$A$552:A888)</f>
        <v>305</v>
      </c>
      <c r="C888" s="94" t="s">
        <v>83</v>
      </c>
      <c r="D888" s="124">
        <v>1964</v>
      </c>
      <c r="E888" s="124"/>
      <c r="F888" s="129" t="s">
        <v>269</v>
      </c>
      <c r="G888" s="124">
        <v>2</v>
      </c>
      <c r="H888" s="124" t="s">
        <v>305</v>
      </c>
      <c r="I888" s="125">
        <v>654.5</v>
      </c>
      <c r="J888" s="125">
        <v>614.5</v>
      </c>
      <c r="K888" s="125">
        <v>614.5</v>
      </c>
      <c r="L888" s="126">
        <v>32</v>
      </c>
      <c r="M888" s="124" t="s">
        <v>267</v>
      </c>
      <c r="N888" s="124" t="s">
        <v>268</v>
      </c>
      <c r="O888" s="127" t="s">
        <v>270</v>
      </c>
      <c r="P888" s="128">
        <v>2568179.12</v>
      </c>
      <c r="Q888" s="128">
        <v>0</v>
      </c>
      <c r="R888" s="128">
        <v>0</v>
      </c>
      <c r="S888" s="128">
        <f>P888-Q888-R888</f>
        <v>2568179.12</v>
      </c>
      <c r="T888" s="128">
        <f t="shared" si="232"/>
        <v>3923.8794805194807</v>
      </c>
      <c r="U888" s="128">
        <v>3923.8794805194807</v>
      </c>
      <c r="V888" s="257">
        <f>U888-T888</f>
        <v>0</v>
      </c>
      <c r="W888" s="257">
        <f>X888+Y888+Z888+AA888+AB888+AD888+AF888+AH888+AJ888+AL888+AN888+AO888</f>
        <v>3928.1026400305577</v>
      </c>
      <c r="X888" s="257">
        <v>0</v>
      </c>
      <c r="Y888" s="258">
        <v>0</v>
      </c>
      <c r="Z888" s="258">
        <v>0</v>
      </c>
      <c r="AA888" s="258">
        <v>0</v>
      </c>
      <c r="AB888" s="258">
        <v>0</v>
      </c>
      <c r="AC888" s="258">
        <v>0</v>
      </c>
      <c r="AD888" s="258">
        <v>0</v>
      </c>
      <c r="AE888" s="258">
        <v>399.43</v>
      </c>
      <c r="AF888" s="257">
        <f>6436.53*AE888/I888</f>
        <v>3928.1026400305577</v>
      </c>
      <c r="AG888" s="258">
        <v>0</v>
      </c>
      <c r="AH888" s="257">
        <v>0</v>
      </c>
      <c r="AI888" s="258">
        <v>0</v>
      </c>
      <c r="AJ888" s="257">
        <v>0</v>
      </c>
      <c r="AK888" s="258">
        <v>0</v>
      </c>
      <c r="AL888" s="258">
        <v>0</v>
      </c>
      <c r="AM888" s="258">
        <v>0</v>
      </c>
      <c r="AN888" s="258"/>
      <c r="AO888" s="258">
        <v>0</v>
      </c>
    </row>
    <row r="889" spans="1:41" s="259" customFormat="1" ht="36" customHeight="1" x14ac:dyDescent="0.25">
      <c r="B889" s="94" t="s">
        <v>846</v>
      </c>
      <c r="C889" s="261"/>
      <c r="D889" s="124" t="s">
        <v>896</v>
      </c>
      <c r="E889" s="124" t="s">
        <v>896</v>
      </c>
      <c r="F889" s="124" t="s">
        <v>896</v>
      </c>
      <c r="G889" s="124" t="s">
        <v>896</v>
      </c>
      <c r="H889" s="124" t="s">
        <v>896</v>
      </c>
      <c r="I889" s="125">
        <f>SUM(I890:I892)</f>
        <v>5956.82</v>
      </c>
      <c r="J889" s="125">
        <f t="shared" ref="J889:L889" si="261">SUM(J890:J892)</f>
        <v>3738</v>
      </c>
      <c r="K889" s="125">
        <f t="shared" si="261"/>
        <v>3250.6</v>
      </c>
      <c r="L889" s="126">
        <f t="shared" si="261"/>
        <v>174</v>
      </c>
      <c r="M889" s="124" t="s">
        <v>896</v>
      </c>
      <c r="N889" s="124" t="s">
        <v>896</v>
      </c>
      <c r="O889" s="127" t="s">
        <v>896</v>
      </c>
      <c r="P889" s="128">
        <v>13632425.770000001</v>
      </c>
      <c r="Q889" s="128">
        <f t="shared" ref="Q889:S889" si="262">SUM(Q890:Q892)</f>
        <v>0</v>
      </c>
      <c r="R889" s="128">
        <f t="shared" si="262"/>
        <v>0</v>
      </c>
      <c r="S889" s="128">
        <f t="shared" si="262"/>
        <v>13632425.770000001</v>
      </c>
      <c r="T889" s="128">
        <f t="shared" si="232"/>
        <v>2288.5408271527431</v>
      </c>
      <c r="U889" s="128">
        <f>MAX(U890:U892)</f>
        <v>3379.6874395668151</v>
      </c>
      <c r="V889" s="257">
        <f t="shared" si="213"/>
        <v>1091.146612414072</v>
      </c>
      <c r="W889" s="257"/>
      <c r="X889" s="257"/>
      <c r="Y889" s="258"/>
      <c r="Z889" s="258"/>
      <c r="AA889" s="258"/>
      <c r="AB889" s="258"/>
      <c r="AC889" s="258"/>
      <c r="AD889" s="258"/>
      <c r="AE889" s="258"/>
      <c r="AF889" s="258"/>
      <c r="AG889" s="258"/>
      <c r="AH889" s="258"/>
      <c r="AI889" s="258"/>
      <c r="AJ889" s="258"/>
      <c r="AK889" s="258"/>
      <c r="AL889" s="258"/>
      <c r="AM889" s="258"/>
      <c r="AN889" s="258"/>
      <c r="AO889" s="258"/>
    </row>
    <row r="890" spans="1:41" s="259" customFormat="1" ht="36" customHeight="1" x14ac:dyDescent="0.25">
      <c r="A890" s="259">
        <v>1</v>
      </c>
      <c r="B890" s="135">
        <f>SUBTOTAL(103,$A$552:A890)</f>
        <v>306</v>
      </c>
      <c r="C890" s="94" t="s">
        <v>106</v>
      </c>
      <c r="D890" s="124">
        <v>1975</v>
      </c>
      <c r="E890" s="124"/>
      <c r="F890" s="129" t="s">
        <v>269</v>
      </c>
      <c r="G890" s="124">
        <v>2</v>
      </c>
      <c r="H890" s="124" t="s">
        <v>305</v>
      </c>
      <c r="I890" s="125">
        <v>1244.4000000000001</v>
      </c>
      <c r="J890" s="125">
        <v>727.8</v>
      </c>
      <c r="K890" s="125">
        <v>584.79999999999995</v>
      </c>
      <c r="L890" s="126">
        <v>34</v>
      </c>
      <c r="M890" s="124" t="s">
        <v>267</v>
      </c>
      <c r="N890" s="124" t="s">
        <v>268</v>
      </c>
      <c r="O890" s="127" t="s">
        <v>270</v>
      </c>
      <c r="P890" s="128">
        <v>3017167.1700000004</v>
      </c>
      <c r="Q890" s="128">
        <v>0</v>
      </c>
      <c r="R890" s="128">
        <v>0</v>
      </c>
      <c r="S890" s="128">
        <f>P890-Q890-R890</f>
        <v>3017167.1700000004</v>
      </c>
      <c r="T890" s="128">
        <f t="shared" si="232"/>
        <v>2424.5959257473482</v>
      </c>
      <c r="U890" s="128">
        <v>2872.5236981677913</v>
      </c>
      <c r="V890" s="257">
        <f t="shared" si="213"/>
        <v>447.92777242044303</v>
      </c>
      <c r="W890" s="257">
        <f t="shared" ref="W890:W892" si="263">X890+Y890+Z890+AA890+AB890+AD890+AF890+AH890+AJ890+AL890+AN890+AO890</f>
        <v>2862.7592494374794</v>
      </c>
      <c r="X890" s="257">
        <v>0</v>
      </c>
      <c r="Y890" s="258">
        <v>0</v>
      </c>
      <c r="Z890" s="258">
        <v>0</v>
      </c>
      <c r="AA890" s="258">
        <v>0</v>
      </c>
      <c r="AB890" s="258">
        <v>0</v>
      </c>
      <c r="AC890" s="258">
        <v>0</v>
      </c>
      <c r="AD890" s="258">
        <v>0</v>
      </c>
      <c r="AE890" s="258">
        <v>571</v>
      </c>
      <c r="AF890" s="257">
        <f>6238.91*AE890/I890</f>
        <v>2862.7592494374794</v>
      </c>
      <c r="AG890" s="258">
        <v>0</v>
      </c>
      <c r="AH890" s="257">
        <v>0</v>
      </c>
      <c r="AI890" s="258">
        <v>0</v>
      </c>
      <c r="AJ890" s="257">
        <v>0</v>
      </c>
      <c r="AK890" s="258">
        <v>0</v>
      </c>
      <c r="AL890" s="258">
        <v>0</v>
      </c>
      <c r="AM890" s="258">
        <v>0</v>
      </c>
      <c r="AN890" s="258"/>
      <c r="AO890" s="258">
        <v>0</v>
      </c>
    </row>
    <row r="891" spans="1:41" s="259" customFormat="1" ht="36" customHeight="1" x14ac:dyDescent="0.25">
      <c r="A891" s="259">
        <v>1</v>
      </c>
      <c r="B891" s="135">
        <f>SUBTOTAL(103,$A$552:A891)</f>
        <v>307</v>
      </c>
      <c r="C891" s="94" t="s">
        <v>1243</v>
      </c>
      <c r="D891" s="124">
        <v>1962</v>
      </c>
      <c r="E891" s="124"/>
      <c r="F891" s="129" t="s">
        <v>332</v>
      </c>
      <c r="G891" s="124">
        <v>2</v>
      </c>
      <c r="H891" s="124" t="s">
        <v>306</v>
      </c>
      <c r="I891" s="128">
        <v>620.52</v>
      </c>
      <c r="J891" s="128">
        <v>390.8</v>
      </c>
      <c r="K891" s="128">
        <v>355.2</v>
      </c>
      <c r="L891" s="126">
        <v>21</v>
      </c>
      <c r="M891" s="124" t="s">
        <v>267</v>
      </c>
      <c r="N891" s="124" t="s">
        <v>268</v>
      </c>
      <c r="O891" s="127" t="s">
        <v>270</v>
      </c>
      <c r="P891" s="128">
        <v>1183452.6399999999</v>
      </c>
      <c r="Q891" s="128">
        <v>0</v>
      </c>
      <c r="R891" s="128">
        <v>0</v>
      </c>
      <c r="S891" s="128">
        <f>P891-Q891-R891</f>
        <v>1183452.6399999999</v>
      </c>
      <c r="T891" s="128">
        <f t="shared" si="232"/>
        <v>1907.1949977438276</v>
      </c>
      <c r="U891" s="128">
        <v>3379.6874395668151</v>
      </c>
      <c r="V891" s="257">
        <f t="shared" ref="V891" si="264">U891-T891</f>
        <v>1472.4924418229875</v>
      </c>
      <c r="W891" s="257">
        <f t="shared" ref="W891" si="265">X891+Y891+Z891+AA891+AB891+AD891+AF891+AH891+AJ891+AL891+AN891+AO891</f>
        <v>3368.1990105073164</v>
      </c>
      <c r="X891" s="257">
        <v>0</v>
      </c>
      <c r="Y891" s="258">
        <v>0</v>
      </c>
      <c r="Z891" s="258">
        <v>0</v>
      </c>
      <c r="AA891" s="258">
        <v>0</v>
      </c>
      <c r="AB891" s="258">
        <v>0</v>
      </c>
      <c r="AC891" s="258">
        <v>0</v>
      </c>
      <c r="AD891" s="258">
        <v>0</v>
      </c>
      <c r="AE891" s="258">
        <v>335</v>
      </c>
      <c r="AF891" s="257">
        <f>6238.91*AE891/I891</f>
        <v>3368.1990105073164</v>
      </c>
      <c r="AG891" s="258">
        <v>0</v>
      </c>
      <c r="AH891" s="257">
        <v>0</v>
      </c>
      <c r="AI891" s="258">
        <v>0</v>
      </c>
      <c r="AJ891" s="257">
        <v>0</v>
      </c>
      <c r="AK891" s="258">
        <v>0</v>
      </c>
      <c r="AL891" s="258">
        <v>0</v>
      </c>
      <c r="AM891" s="258">
        <v>0</v>
      </c>
      <c r="AN891" s="258"/>
      <c r="AO891" s="258">
        <v>0</v>
      </c>
    </row>
    <row r="892" spans="1:41" s="259" customFormat="1" ht="36" customHeight="1" x14ac:dyDescent="0.25">
      <c r="A892" s="259">
        <v>1</v>
      </c>
      <c r="B892" s="135">
        <f>SUBTOTAL(103,$A$552:A892)</f>
        <v>308</v>
      </c>
      <c r="C892" s="94" t="s">
        <v>1242</v>
      </c>
      <c r="D892" s="124">
        <v>1985</v>
      </c>
      <c r="E892" s="124"/>
      <c r="F892" s="129" t="s">
        <v>269</v>
      </c>
      <c r="G892" s="124">
        <v>5</v>
      </c>
      <c r="H892" s="124" t="s">
        <v>310</v>
      </c>
      <c r="I892" s="128">
        <v>4091.9</v>
      </c>
      <c r="J892" s="128">
        <v>2619.4</v>
      </c>
      <c r="K892" s="128">
        <v>2310.6</v>
      </c>
      <c r="L892" s="126">
        <v>119</v>
      </c>
      <c r="M892" s="124" t="s">
        <v>267</v>
      </c>
      <c r="N892" s="124" t="s">
        <v>271</v>
      </c>
      <c r="O892" s="127" t="s">
        <v>1344</v>
      </c>
      <c r="P892" s="128">
        <v>9431805.9600000009</v>
      </c>
      <c r="Q892" s="128">
        <v>0</v>
      </c>
      <c r="R892" s="128">
        <v>0</v>
      </c>
      <c r="S892" s="128">
        <f>P892-Q892-R892</f>
        <v>9431805.9600000009</v>
      </c>
      <c r="T892" s="128">
        <f t="shared" si="232"/>
        <v>2304.9942471712411</v>
      </c>
      <c r="U892" s="128">
        <v>2304.9942471712411</v>
      </c>
      <c r="V892" s="257">
        <f t="shared" si="213"/>
        <v>0</v>
      </c>
      <c r="W892" s="257">
        <f t="shared" si="263"/>
        <v>510.77368704025019</v>
      </c>
      <c r="X892" s="257">
        <v>0</v>
      </c>
      <c r="Y892" s="258">
        <v>0</v>
      </c>
      <c r="Z892" s="258">
        <v>0</v>
      </c>
      <c r="AA892" s="258">
        <v>0</v>
      </c>
      <c r="AB892" s="258">
        <v>0</v>
      </c>
      <c r="AC892" s="258">
        <v>0</v>
      </c>
      <c r="AD892" s="258">
        <v>0</v>
      </c>
      <c r="AE892" s="258">
        <v>335</v>
      </c>
      <c r="AF892" s="257">
        <f>6238.91*AE892/I892</f>
        <v>510.77368704025019</v>
      </c>
      <c r="AG892" s="258">
        <v>0</v>
      </c>
      <c r="AH892" s="257">
        <v>0</v>
      </c>
      <c r="AI892" s="258">
        <v>0</v>
      </c>
      <c r="AJ892" s="257">
        <v>0</v>
      </c>
      <c r="AK892" s="258">
        <v>0</v>
      </c>
      <c r="AL892" s="258">
        <v>0</v>
      </c>
      <c r="AM892" s="258">
        <v>0</v>
      </c>
      <c r="AN892" s="258"/>
      <c r="AO892" s="258">
        <v>0</v>
      </c>
    </row>
    <row r="893" spans="1:41" s="259" customFormat="1" ht="36" customHeight="1" x14ac:dyDescent="0.25">
      <c r="B893" s="94" t="s">
        <v>880</v>
      </c>
      <c r="C893" s="94"/>
      <c r="D893" s="124" t="s">
        <v>896</v>
      </c>
      <c r="E893" s="124" t="s">
        <v>896</v>
      </c>
      <c r="F893" s="124" t="s">
        <v>896</v>
      </c>
      <c r="G893" s="124" t="s">
        <v>896</v>
      </c>
      <c r="H893" s="124" t="s">
        <v>896</v>
      </c>
      <c r="I893" s="125">
        <f>I894</f>
        <v>948.3</v>
      </c>
      <c r="J893" s="125">
        <f>J894</f>
        <v>848.3</v>
      </c>
      <c r="K893" s="125">
        <f>K894</f>
        <v>803.9</v>
      </c>
      <c r="L893" s="126">
        <f>L894</f>
        <v>64</v>
      </c>
      <c r="M893" s="124" t="s">
        <v>896</v>
      </c>
      <c r="N893" s="124" t="s">
        <v>896</v>
      </c>
      <c r="O893" s="127" t="s">
        <v>896</v>
      </c>
      <c r="P893" s="128">
        <v>4290230.8800000008</v>
      </c>
      <c r="Q893" s="128">
        <f>Q894</f>
        <v>0</v>
      </c>
      <c r="R893" s="128">
        <f>R894</f>
        <v>0</v>
      </c>
      <c r="S893" s="128">
        <f>S894</f>
        <v>4290230.8800000008</v>
      </c>
      <c r="T893" s="128">
        <f t="shared" si="232"/>
        <v>4524.12831382474</v>
      </c>
      <c r="U893" s="128">
        <f>U894</f>
        <v>5423.7816134134764</v>
      </c>
      <c r="V893" s="257">
        <f t="shared" si="213"/>
        <v>899.65329958873645</v>
      </c>
      <c r="W893" s="257"/>
      <c r="X893" s="257"/>
      <c r="Y893" s="258"/>
      <c r="Z893" s="258"/>
      <c r="AA893" s="258"/>
      <c r="AB893" s="258"/>
      <c r="AC893" s="258"/>
      <c r="AD893" s="258"/>
      <c r="AE893" s="258"/>
      <c r="AF893" s="258"/>
      <c r="AG893" s="258"/>
      <c r="AH893" s="258"/>
      <c r="AI893" s="258"/>
      <c r="AJ893" s="258"/>
      <c r="AK893" s="258"/>
      <c r="AL893" s="258"/>
      <c r="AM893" s="258"/>
      <c r="AN893" s="258"/>
      <c r="AO893" s="258"/>
    </row>
    <row r="894" spans="1:41" s="259" customFormat="1" ht="36" customHeight="1" x14ac:dyDescent="0.25">
      <c r="A894" s="259">
        <v>1</v>
      </c>
      <c r="B894" s="135">
        <f>SUBTOTAL(103,$A$552:A894)</f>
        <v>309</v>
      </c>
      <c r="C894" s="94" t="s">
        <v>112</v>
      </c>
      <c r="D894" s="124">
        <v>1978</v>
      </c>
      <c r="E894" s="124"/>
      <c r="F894" s="129" t="s">
        <v>269</v>
      </c>
      <c r="G894" s="124">
        <v>2</v>
      </c>
      <c r="H894" s="124" t="s">
        <v>314</v>
      </c>
      <c r="I894" s="125">
        <v>948.3</v>
      </c>
      <c r="J894" s="125">
        <v>848.3</v>
      </c>
      <c r="K894" s="125">
        <v>803.9</v>
      </c>
      <c r="L894" s="126">
        <v>64</v>
      </c>
      <c r="M894" s="124" t="s">
        <v>267</v>
      </c>
      <c r="N894" s="124" t="s">
        <v>268</v>
      </c>
      <c r="O894" s="127" t="s">
        <v>270</v>
      </c>
      <c r="P894" s="128">
        <v>4290230.8800000008</v>
      </c>
      <c r="Q894" s="128">
        <v>0</v>
      </c>
      <c r="R894" s="128">
        <v>0</v>
      </c>
      <c r="S894" s="128">
        <f>P894-Q894-R894</f>
        <v>4290230.8800000008</v>
      </c>
      <c r="T894" s="128">
        <f t="shared" si="232"/>
        <v>4524.12831382474</v>
      </c>
      <c r="U894" s="128">
        <v>5423.7816134134764</v>
      </c>
      <c r="V894" s="257">
        <f>U894-T894</f>
        <v>899.65329958873645</v>
      </c>
      <c r="W894" s="257">
        <f>X894+Y894+Z894+AA894+AB894+AD894+AF894+AH894+AJ894+AL894+AN894+AO894</f>
        <v>5405.3447811873884</v>
      </c>
      <c r="X894" s="257">
        <v>0</v>
      </c>
      <c r="Y894" s="258">
        <v>0</v>
      </c>
      <c r="Z894" s="258">
        <v>0</v>
      </c>
      <c r="AA894" s="258">
        <v>0</v>
      </c>
      <c r="AB894" s="258">
        <v>0</v>
      </c>
      <c r="AC894" s="258">
        <v>0</v>
      </c>
      <c r="AD894" s="258">
        <v>0</v>
      </c>
      <c r="AE894" s="258">
        <v>821.6</v>
      </c>
      <c r="AF894" s="257">
        <f>6238.91*AE894/I894</f>
        <v>5405.3447811873884</v>
      </c>
      <c r="AG894" s="258">
        <v>0</v>
      </c>
      <c r="AH894" s="257">
        <v>0</v>
      </c>
      <c r="AI894" s="258">
        <v>0</v>
      </c>
      <c r="AJ894" s="257">
        <v>0</v>
      </c>
      <c r="AK894" s="258">
        <v>0</v>
      </c>
      <c r="AL894" s="258">
        <v>0</v>
      </c>
      <c r="AM894" s="258">
        <v>0</v>
      </c>
      <c r="AN894" s="258"/>
      <c r="AO894" s="258">
        <v>0</v>
      </c>
    </row>
    <row r="895" spans="1:41" s="259" customFormat="1" ht="36" customHeight="1" x14ac:dyDescent="0.25">
      <c r="B895" s="94" t="s">
        <v>881</v>
      </c>
      <c r="C895" s="94"/>
      <c r="D895" s="124" t="s">
        <v>896</v>
      </c>
      <c r="E895" s="124" t="s">
        <v>896</v>
      </c>
      <c r="F895" s="124" t="s">
        <v>896</v>
      </c>
      <c r="G895" s="124" t="s">
        <v>896</v>
      </c>
      <c r="H895" s="124" t="s">
        <v>896</v>
      </c>
      <c r="I895" s="125">
        <f>I896</f>
        <v>779.2</v>
      </c>
      <c r="J895" s="125">
        <f>J896</f>
        <v>778.9</v>
      </c>
      <c r="K895" s="125">
        <f>K896</f>
        <v>720.2</v>
      </c>
      <c r="L895" s="126">
        <f>L896</f>
        <v>33</v>
      </c>
      <c r="M895" s="124" t="s">
        <v>896</v>
      </c>
      <c r="N895" s="124" t="s">
        <v>896</v>
      </c>
      <c r="O895" s="127" t="s">
        <v>896</v>
      </c>
      <c r="P895" s="128">
        <v>2903320.8000000003</v>
      </c>
      <c r="Q895" s="128">
        <f>Q896</f>
        <v>0</v>
      </c>
      <c r="R895" s="128">
        <f>R896</f>
        <v>0</v>
      </c>
      <c r="S895" s="128">
        <f>S896</f>
        <v>2903320.8000000003</v>
      </c>
      <c r="T895" s="128">
        <f t="shared" si="232"/>
        <v>3726.0277207392201</v>
      </c>
      <c r="U895" s="128">
        <f>U896</f>
        <v>4466.9733572895275</v>
      </c>
      <c r="V895" s="257">
        <f t="shared" si="213"/>
        <v>740.94563655030743</v>
      </c>
      <c r="W895" s="257"/>
      <c r="X895" s="257"/>
      <c r="Y895" s="258"/>
      <c r="Z895" s="258"/>
      <c r="AA895" s="258"/>
      <c r="AB895" s="258"/>
      <c r="AC895" s="258"/>
      <c r="AD895" s="258"/>
      <c r="AE895" s="258"/>
      <c r="AF895" s="258"/>
      <c r="AG895" s="258"/>
      <c r="AH895" s="258"/>
      <c r="AI895" s="258"/>
      <c r="AJ895" s="258"/>
      <c r="AK895" s="258"/>
      <c r="AL895" s="258"/>
      <c r="AM895" s="258"/>
      <c r="AN895" s="258"/>
      <c r="AO895" s="258"/>
    </row>
    <row r="896" spans="1:41" s="259" customFormat="1" ht="36" customHeight="1" x14ac:dyDescent="0.25">
      <c r="A896" s="259">
        <v>1</v>
      </c>
      <c r="B896" s="135">
        <f>SUBTOTAL(103,$A$552:A896)</f>
        <v>310</v>
      </c>
      <c r="C896" s="94" t="s">
        <v>111</v>
      </c>
      <c r="D896" s="124">
        <v>1974</v>
      </c>
      <c r="E896" s="124"/>
      <c r="F896" s="129" t="s">
        <v>269</v>
      </c>
      <c r="G896" s="124">
        <v>2</v>
      </c>
      <c r="H896" s="124" t="s">
        <v>305</v>
      </c>
      <c r="I896" s="125">
        <v>779.2</v>
      </c>
      <c r="J896" s="125">
        <v>778.9</v>
      </c>
      <c r="K896" s="125">
        <v>720.2</v>
      </c>
      <c r="L896" s="126">
        <v>33</v>
      </c>
      <c r="M896" s="124" t="s">
        <v>267</v>
      </c>
      <c r="N896" s="124" t="s">
        <v>268</v>
      </c>
      <c r="O896" s="127" t="s">
        <v>270</v>
      </c>
      <c r="P896" s="128">
        <v>2903320.8000000003</v>
      </c>
      <c r="Q896" s="128">
        <v>0</v>
      </c>
      <c r="R896" s="128">
        <v>0</v>
      </c>
      <c r="S896" s="128">
        <f>P896-Q896-R896</f>
        <v>2903320.8000000003</v>
      </c>
      <c r="T896" s="128">
        <f t="shared" si="232"/>
        <v>3726.0277207392201</v>
      </c>
      <c r="U896" s="128">
        <v>4466.9733572895275</v>
      </c>
      <c r="V896" s="257">
        <f>U896-T896</f>
        <v>740.94563655030743</v>
      </c>
      <c r="W896" s="257">
        <f>X896+Y896+Z896+AA896+AB896+AD896+AF896+AH896+AJ896+AL896+AN896+AO896</f>
        <v>4451.7889630390137</v>
      </c>
      <c r="X896" s="257">
        <v>0</v>
      </c>
      <c r="Y896" s="258">
        <v>0</v>
      </c>
      <c r="Z896" s="258">
        <v>0</v>
      </c>
      <c r="AA896" s="258">
        <v>0</v>
      </c>
      <c r="AB896" s="258">
        <v>0</v>
      </c>
      <c r="AC896" s="258">
        <v>0</v>
      </c>
      <c r="AD896" s="258">
        <v>0</v>
      </c>
      <c r="AE896" s="258">
        <v>556</v>
      </c>
      <c r="AF896" s="257">
        <f>6238.91*AE896/I896</f>
        <v>4451.7889630390137</v>
      </c>
      <c r="AG896" s="258">
        <v>0</v>
      </c>
      <c r="AH896" s="257">
        <v>0</v>
      </c>
      <c r="AI896" s="258">
        <v>0</v>
      </c>
      <c r="AJ896" s="257">
        <v>0</v>
      </c>
      <c r="AK896" s="258">
        <v>0</v>
      </c>
      <c r="AL896" s="258">
        <v>0</v>
      </c>
      <c r="AM896" s="258">
        <v>0</v>
      </c>
      <c r="AN896" s="258"/>
      <c r="AO896" s="258">
        <v>0</v>
      </c>
    </row>
    <row r="897" spans="1:41" s="259" customFormat="1" ht="36" customHeight="1" x14ac:dyDescent="0.25">
      <c r="B897" s="94" t="s">
        <v>847</v>
      </c>
      <c r="C897" s="261"/>
      <c r="D897" s="124" t="s">
        <v>896</v>
      </c>
      <c r="E897" s="124" t="s">
        <v>896</v>
      </c>
      <c r="F897" s="124" t="s">
        <v>896</v>
      </c>
      <c r="G897" s="124" t="s">
        <v>896</v>
      </c>
      <c r="H897" s="124" t="s">
        <v>896</v>
      </c>
      <c r="I897" s="125">
        <f>I898</f>
        <v>1015.6</v>
      </c>
      <c r="J897" s="125">
        <f>J898</f>
        <v>497.5</v>
      </c>
      <c r="K897" s="125">
        <f>K898</f>
        <v>497.5</v>
      </c>
      <c r="L897" s="126">
        <f>L898</f>
        <v>45</v>
      </c>
      <c r="M897" s="124" t="s">
        <v>896</v>
      </c>
      <c r="N897" s="124" t="s">
        <v>896</v>
      </c>
      <c r="O897" s="127" t="s">
        <v>896</v>
      </c>
      <c r="P897" s="128">
        <v>3826397.3000000003</v>
      </c>
      <c r="Q897" s="128">
        <f>Q898</f>
        <v>0</v>
      </c>
      <c r="R897" s="128">
        <f>R898</f>
        <v>2523423.19</v>
      </c>
      <c r="S897" s="128">
        <f>S898</f>
        <v>1302974.1100000003</v>
      </c>
      <c r="T897" s="128">
        <f t="shared" si="232"/>
        <v>3767.6223907050021</v>
      </c>
      <c r="U897" s="128">
        <f>U898</f>
        <v>4896.0899143363522</v>
      </c>
      <c r="V897" s="257">
        <f t="shared" si="213"/>
        <v>1128.4675236313501</v>
      </c>
      <c r="W897" s="257"/>
      <c r="X897" s="257"/>
      <c r="Y897" s="258"/>
      <c r="Z897" s="258"/>
      <c r="AA897" s="258"/>
      <c r="AB897" s="258"/>
      <c r="AC897" s="258"/>
      <c r="AD897" s="258"/>
      <c r="AE897" s="258"/>
      <c r="AF897" s="258"/>
      <c r="AG897" s="258"/>
      <c r="AH897" s="258"/>
      <c r="AI897" s="258"/>
      <c r="AJ897" s="258"/>
      <c r="AK897" s="258"/>
      <c r="AL897" s="258"/>
      <c r="AM897" s="258"/>
      <c r="AN897" s="258"/>
      <c r="AO897" s="258"/>
    </row>
    <row r="898" spans="1:41" s="259" customFormat="1" ht="36" customHeight="1" x14ac:dyDescent="0.25">
      <c r="A898" s="259">
        <v>1</v>
      </c>
      <c r="B898" s="135">
        <f>SUBTOTAL(103,$A$552:A898)</f>
        <v>311</v>
      </c>
      <c r="C898" s="94" t="s">
        <v>57</v>
      </c>
      <c r="D898" s="124">
        <v>1972</v>
      </c>
      <c r="E898" s="124"/>
      <c r="F898" s="129" t="s">
        <v>269</v>
      </c>
      <c r="G898" s="124">
        <v>2</v>
      </c>
      <c r="H898" s="124" t="s">
        <v>314</v>
      </c>
      <c r="I898" s="125">
        <v>1015.6</v>
      </c>
      <c r="J898" s="125">
        <v>497.5</v>
      </c>
      <c r="K898" s="125">
        <v>497.5</v>
      </c>
      <c r="L898" s="126">
        <v>45</v>
      </c>
      <c r="M898" s="124" t="s">
        <v>267</v>
      </c>
      <c r="N898" s="124" t="s">
        <v>268</v>
      </c>
      <c r="O898" s="127" t="s">
        <v>270</v>
      </c>
      <c r="P898" s="128">
        <v>3826397.3000000003</v>
      </c>
      <c r="Q898" s="128">
        <v>0</v>
      </c>
      <c r="R898" s="128">
        <v>2523423.19</v>
      </c>
      <c r="S898" s="128">
        <f>P898-Q898-R898</f>
        <v>1302974.1100000003</v>
      </c>
      <c r="T898" s="128">
        <f t="shared" si="232"/>
        <v>3767.6223907050021</v>
      </c>
      <c r="U898" s="128">
        <v>4896.0899143363522</v>
      </c>
      <c r="V898" s="257">
        <f>U898-T898</f>
        <v>1128.4675236313501</v>
      </c>
      <c r="W898" s="257">
        <f>X898+Y898+Z898+AA898+AB898+AD898+AF898+AH898+AJ898+AL898+AN898+AO898</f>
        <v>4879.4468422607324</v>
      </c>
      <c r="X898" s="257">
        <v>0</v>
      </c>
      <c r="Y898" s="258">
        <v>0</v>
      </c>
      <c r="Z898" s="258">
        <v>0</v>
      </c>
      <c r="AA898" s="258">
        <v>0</v>
      </c>
      <c r="AB898" s="258">
        <v>0</v>
      </c>
      <c r="AC898" s="258">
        <v>0</v>
      </c>
      <c r="AD898" s="258">
        <v>0</v>
      </c>
      <c r="AE898" s="258">
        <v>794.3</v>
      </c>
      <c r="AF898" s="257">
        <f>6238.91*AE898/I898</f>
        <v>4879.4468422607324</v>
      </c>
      <c r="AG898" s="258">
        <v>0</v>
      </c>
      <c r="AH898" s="257">
        <v>0</v>
      </c>
      <c r="AI898" s="258">
        <v>0</v>
      </c>
      <c r="AJ898" s="257">
        <v>0</v>
      </c>
      <c r="AK898" s="258">
        <v>0</v>
      </c>
      <c r="AL898" s="258">
        <v>0</v>
      </c>
      <c r="AM898" s="258">
        <v>0</v>
      </c>
      <c r="AN898" s="258"/>
      <c r="AO898" s="258">
        <v>0</v>
      </c>
    </row>
    <row r="899" spans="1:41" s="259" customFormat="1" ht="36" customHeight="1" x14ac:dyDescent="0.25">
      <c r="B899" s="94" t="s">
        <v>848</v>
      </c>
      <c r="C899" s="94"/>
      <c r="D899" s="124" t="s">
        <v>896</v>
      </c>
      <c r="E899" s="124" t="s">
        <v>896</v>
      </c>
      <c r="F899" s="124" t="s">
        <v>896</v>
      </c>
      <c r="G899" s="124" t="s">
        <v>896</v>
      </c>
      <c r="H899" s="124" t="s">
        <v>896</v>
      </c>
      <c r="I899" s="125">
        <f>SUM(I900:I903)</f>
        <v>23824.84</v>
      </c>
      <c r="J899" s="125">
        <f t="shared" ref="J899:L899" si="266">SUM(J900:J903)</f>
        <v>19966.379999999997</v>
      </c>
      <c r="K899" s="125">
        <f t="shared" si="266"/>
        <v>14766.89</v>
      </c>
      <c r="L899" s="126">
        <f t="shared" si="266"/>
        <v>837</v>
      </c>
      <c r="M899" s="124" t="s">
        <v>896</v>
      </c>
      <c r="N899" s="124" t="s">
        <v>896</v>
      </c>
      <c r="O899" s="127" t="s">
        <v>896</v>
      </c>
      <c r="P899" s="128">
        <v>25033618.25</v>
      </c>
      <c r="Q899" s="128">
        <f t="shared" ref="Q899:S899" si="267">SUM(Q900:Q903)</f>
        <v>0</v>
      </c>
      <c r="R899" s="128">
        <f t="shared" si="267"/>
        <v>0</v>
      </c>
      <c r="S899" s="128">
        <f t="shared" si="267"/>
        <v>25033618.25</v>
      </c>
      <c r="T899" s="128">
        <f t="shared" si="232"/>
        <v>1050.7360490143901</v>
      </c>
      <c r="U899" s="128">
        <f>MAX(U900:U903)</f>
        <v>1858.4969737516071</v>
      </c>
      <c r="V899" s="257">
        <f t="shared" si="213"/>
        <v>807.76092473721701</v>
      </c>
      <c r="W899" s="257"/>
      <c r="X899" s="257"/>
      <c r="Y899" s="258"/>
      <c r="Z899" s="258"/>
      <c r="AA899" s="258"/>
      <c r="AB899" s="258"/>
      <c r="AC899" s="258"/>
      <c r="AD899" s="258"/>
      <c r="AE899" s="258"/>
      <c r="AF899" s="258"/>
      <c r="AG899" s="258"/>
      <c r="AH899" s="258"/>
      <c r="AI899" s="258"/>
      <c r="AJ899" s="258"/>
      <c r="AK899" s="258"/>
      <c r="AL899" s="258"/>
      <c r="AM899" s="258"/>
      <c r="AN899" s="258"/>
      <c r="AO899" s="258"/>
    </row>
    <row r="900" spans="1:41" s="259" customFormat="1" ht="36" customHeight="1" x14ac:dyDescent="0.25">
      <c r="A900" s="259">
        <v>1</v>
      </c>
      <c r="B900" s="135">
        <f>SUBTOTAL(103,$A$552:A900)</f>
        <v>312</v>
      </c>
      <c r="C900" s="94" t="s">
        <v>41</v>
      </c>
      <c r="D900" s="124">
        <v>1974</v>
      </c>
      <c r="E900" s="124"/>
      <c r="F900" s="129" t="s">
        <v>269</v>
      </c>
      <c r="G900" s="124">
        <v>5</v>
      </c>
      <c r="H900" s="124" t="s">
        <v>373</v>
      </c>
      <c r="I900" s="125">
        <v>5979.1</v>
      </c>
      <c r="J900" s="125">
        <v>4563.9399999999996</v>
      </c>
      <c r="K900" s="125">
        <v>4563.9399999999996</v>
      </c>
      <c r="L900" s="126">
        <v>217</v>
      </c>
      <c r="M900" s="124" t="s">
        <v>267</v>
      </c>
      <c r="N900" s="124" t="s">
        <v>271</v>
      </c>
      <c r="O900" s="127" t="s">
        <v>272</v>
      </c>
      <c r="P900" s="128">
        <v>7459219.5300000003</v>
      </c>
      <c r="Q900" s="128">
        <v>0</v>
      </c>
      <c r="R900" s="128">
        <v>0</v>
      </c>
      <c r="S900" s="128">
        <f>P900-Q900-R900</f>
        <v>7459219.5300000003</v>
      </c>
      <c r="T900" s="128">
        <f t="shared" si="232"/>
        <v>1247.5488836112459</v>
      </c>
      <c r="U900" s="128">
        <v>1650.0910571825189</v>
      </c>
      <c r="V900" s="257">
        <f t="shared" si="213"/>
        <v>402.542173571273</v>
      </c>
      <c r="W900" s="257">
        <f t="shared" ref="W900:W903" si="268">X900+Y900+Z900+AA900+AB900+AD900+AF900+AH900+AJ900+AL900+AN900+AO900</f>
        <v>1644.4819722031743</v>
      </c>
      <c r="X900" s="257">
        <v>0</v>
      </c>
      <c r="Y900" s="258">
        <v>0</v>
      </c>
      <c r="Z900" s="258">
        <v>0</v>
      </c>
      <c r="AA900" s="258">
        <v>0</v>
      </c>
      <c r="AB900" s="258">
        <v>0</v>
      </c>
      <c r="AC900" s="258">
        <v>0</v>
      </c>
      <c r="AD900" s="258">
        <v>0</v>
      </c>
      <c r="AE900" s="258">
        <v>1576</v>
      </c>
      <c r="AF900" s="257">
        <f>6238.91*AE900/I900</f>
        <v>1644.4819722031743</v>
      </c>
      <c r="AG900" s="258">
        <v>0</v>
      </c>
      <c r="AH900" s="257">
        <v>0</v>
      </c>
      <c r="AI900" s="258">
        <v>0</v>
      </c>
      <c r="AJ900" s="257">
        <v>0</v>
      </c>
      <c r="AK900" s="258">
        <v>0</v>
      </c>
      <c r="AL900" s="258">
        <v>0</v>
      </c>
      <c r="AM900" s="258">
        <v>0</v>
      </c>
      <c r="AN900" s="258"/>
      <c r="AO900" s="258">
        <v>0</v>
      </c>
    </row>
    <row r="901" spans="1:41" s="259" customFormat="1" ht="36" customHeight="1" x14ac:dyDescent="0.25">
      <c r="A901" s="259">
        <v>1</v>
      </c>
      <c r="B901" s="135">
        <f>SUBTOTAL(103,$A$552:A901)</f>
        <v>313</v>
      </c>
      <c r="C901" s="94" t="s">
        <v>1561</v>
      </c>
      <c r="D901" s="124">
        <v>1971</v>
      </c>
      <c r="E901" s="124"/>
      <c r="F901" s="129" t="s">
        <v>269</v>
      </c>
      <c r="G901" s="124">
        <v>5</v>
      </c>
      <c r="H901" s="124" t="s">
        <v>373</v>
      </c>
      <c r="I901" s="128">
        <v>5891.84</v>
      </c>
      <c r="J901" s="128">
        <v>5891.84</v>
      </c>
      <c r="K901" s="128">
        <v>4081.34</v>
      </c>
      <c r="L901" s="126">
        <v>212</v>
      </c>
      <c r="M901" s="124" t="s">
        <v>267</v>
      </c>
      <c r="N901" s="124" t="s">
        <v>271</v>
      </c>
      <c r="O901" s="127" t="s">
        <v>1307</v>
      </c>
      <c r="P901" s="128">
        <v>5709104.1399999997</v>
      </c>
      <c r="Q901" s="128">
        <v>0</v>
      </c>
      <c r="R901" s="128">
        <v>0</v>
      </c>
      <c r="S901" s="128">
        <f>P901-R901-Q901</f>
        <v>5709104.1399999997</v>
      </c>
      <c r="T901" s="128">
        <f t="shared" si="232"/>
        <v>968.98492491310003</v>
      </c>
      <c r="U901" s="128">
        <v>1414.2123496225288</v>
      </c>
      <c r="V901" s="257">
        <f t="shared" ref="V901" si="269">U901-T901</f>
        <v>445.22742470942876</v>
      </c>
      <c r="W901" s="257">
        <f t="shared" si="268"/>
        <v>1409.4050771915056</v>
      </c>
      <c r="X901" s="257">
        <v>0</v>
      </c>
      <c r="Y901" s="258">
        <v>0</v>
      </c>
      <c r="Z901" s="258">
        <v>0</v>
      </c>
      <c r="AA901" s="258">
        <v>0</v>
      </c>
      <c r="AB901" s="258">
        <v>0</v>
      </c>
      <c r="AC901" s="258">
        <v>0</v>
      </c>
      <c r="AD901" s="258">
        <v>0</v>
      </c>
      <c r="AE901" s="258">
        <v>1331</v>
      </c>
      <c r="AF901" s="257">
        <f>6238.91*AE901/I901</f>
        <v>1409.4050771915056</v>
      </c>
      <c r="AG901" s="258">
        <v>0</v>
      </c>
      <c r="AH901" s="257">
        <v>0</v>
      </c>
      <c r="AI901" s="258">
        <v>0</v>
      </c>
      <c r="AJ901" s="257">
        <v>0</v>
      </c>
      <c r="AK901" s="258">
        <v>0</v>
      </c>
      <c r="AL901" s="258">
        <v>0</v>
      </c>
      <c r="AM901" s="258">
        <v>0</v>
      </c>
      <c r="AN901" s="258"/>
      <c r="AO901" s="258">
        <v>0</v>
      </c>
    </row>
    <row r="902" spans="1:41" s="259" customFormat="1" ht="36" customHeight="1" x14ac:dyDescent="0.25">
      <c r="A902" s="259">
        <v>1</v>
      </c>
      <c r="B902" s="135">
        <f>SUBTOTAL(103,$A$552:A902)</f>
        <v>314</v>
      </c>
      <c r="C902" s="94" t="s">
        <v>63</v>
      </c>
      <c r="D902" s="124">
        <v>1976</v>
      </c>
      <c r="E902" s="124"/>
      <c r="F902" s="129" t="s">
        <v>269</v>
      </c>
      <c r="G902" s="124">
        <v>5</v>
      </c>
      <c r="H902" s="124" t="s">
        <v>373</v>
      </c>
      <c r="I902" s="128">
        <v>4783.1499999999996</v>
      </c>
      <c r="J902" s="128">
        <v>4417.7</v>
      </c>
      <c r="K902" s="128">
        <v>3106.56</v>
      </c>
      <c r="L902" s="126">
        <v>190</v>
      </c>
      <c r="M902" s="124" t="s">
        <v>267</v>
      </c>
      <c r="N902" s="124" t="s">
        <v>271</v>
      </c>
      <c r="O902" s="127" t="s">
        <v>272</v>
      </c>
      <c r="P902" s="128">
        <v>6173366.919999999</v>
      </c>
      <c r="Q902" s="128">
        <v>0</v>
      </c>
      <c r="R902" s="128">
        <v>0</v>
      </c>
      <c r="S902" s="128">
        <f>P902-R902-Q902</f>
        <v>6173366.919999999</v>
      </c>
      <c r="T902" s="128">
        <f t="shared" si="232"/>
        <v>1290.6488234740702</v>
      </c>
      <c r="U902" s="128">
        <v>1858.4969737516071</v>
      </c>
      <c r="V902" s="257">
        <f t="shared" ref="V902" si="270">U902-T902</f>
        <v>567.84815027753689</v>
      </c>
      <c r="W902" s="257">
        <f t="shared" ref="W902" si="271">X902+Y902+Z902+AA902+AB902+AD902+AF902+AH902+AJ902+AL902+AN902+AO902</f>
        <v>1736.0921589329209</v>
      </c>
      <c r="X902" s="257">
        <v>0</v>
      </c>
      <c r="Y902" s="258">
        <v>0</v>
      </c>
      <c r="Z902" s="258">
        <v>0</v>
      </c>
      <c r="AA902" s="258">
        <v>0</v>
      </c>
      <c r="AB902" s="258">
        <v>0</v>
      </c>
      <c r="AC902" s="258">
        <v>0</v>
      </c>
      <c r="AD902" s="258">
        <v>0</v>
      </c>
      <c r="AE902" s="258">
        <v>1331</v>
      </c>
      <c r="AF902" s="257">
        <f>6238.91*AE902/I902</f>
        <v>1736.0921589329209</v>
      </c>
      <c r="AG902" s="258">
        <v>0</v>
      </c>
      <c r="AH902" s="257">
        <v>0</v>
      </c>
      <c r="AI902" s="258">
        <v>0</v>
      </c>
      <c r="AJ902" s="257">
        <v>0</v>
      </c>
      <c r="AK902" s="258">
        <v>0</v>
      </c>
      <c r="AL902" s="258">
        <v>0</v>
      </c>
      <c r="AM902" s="258">
        <v>0</v>
      </c>
      <c r="AN902" s="258"/>
      <c r="AO902" s="258">
        <v>0</v>
      </c>
    </row>
    <row r="903" spans="1:41" s="259" customFormat="1" ht="36" customHeight="1" x14ac:dyDescent="0.25">
      <c r="A903" s="259">
        <v>1</v>
      </c>
      <c r="B903" s="135">
        <f>SUBTOTAL(103,$A$552:A903)</f>
        <v>315</v>
      </c>
      <c r="C903" s="94" t="s">
        <v>52</v>
      </c>
      <c r="D903" s="124">
        <v>1981</v>
      </c>
      <c r="E903" s="124"/>
      <c r="F903" s="129" t="s">
        <v>269</v>
      </c>
      <c r="G903" s="124">
        <v>5</v>
      </c>
      <c r="H903" s="124" t="s">
        <v>2293</v>
      </c>
      <c r="I903" s="128">
        <v>7170.75</v>
      </c>
      <c r="J903" s="128">
        <v>5092.8999999999996</v>
      </c>
      <c r="K903" s="128">
        <v>3015.05</v>
      </c>
      <c r="L903" s="126">
        <v>218</v>
      </c>
      <c r="M903" s="124" t="s">
        <v>267</v>
      </c>
      <c r="N903" s="124" t="s">
        <v>271</v>
      </c>
      <c r="O903" s="127" t="s">
        <v>272</v>
      </c>
      <c r="P903" s="128">
        <v>5691927.6600000001</v>
      </c>
      <c r="Q903" s="128">
        <v>0</v>
      </c>
      <c r="R903" s="128">
        <v>0</v>
      </c>
      <c r="S903" s="128">
        <f>P903-R903-Q903</f>
        <v>5691927.6600000001</v>
      </c>
      <c r="T903" s="128">
        <f t="shared" si="232"/>
        <v>793.77019976989857</v>
      </c>
      <c r="U903" s="128">
        <v>1188.1767723041523</v>
      </c>
      <c r="V903" s="257">
        <f t="shared" ref="V903" si="272">U903-T903</f>
        <v>394.40657253425377</v>
      </c>
      <c r="W903" s="257">
        <f t="shared" si="268"/>
        <v>1158.0363574242583</v>
      </c>
      <c r="X903" s="257">
        <v>0</v>
      </c>
      <c r="Y903" s="258">
        <v>0</v>
      </c>
      <c r="Z903" s="258">
        <v>0</v>
      </c>
      <c r="AA903" s="258">
        <v>0</v>
      </c>
      <c r="AB903" s="258">
        <v>0</v>
      </c>
      <c r="AC903" s="258">
        <v>0</v>
      </c>
      <c r="AD903" s="258">
        <v>0</v>
      </c>
      <c r="AE903" s="258">
        <v>1331</v>
      </c>
      <c r="AF903" s="257">
        <f>6238.91*AE903/I903</f>
        <v>1158.0363574242583</v>
      </c>
      <c r="AG903" s="258">
        <v>0</v>
      </c>
      <c r="AH903" s="257">
        <v>0</v>
      </c>
      <c r="AI903" s="258">
        <v>0</v>
      </c>
      <c r="AJ903" s="257">
        <v>0</v>
      </c>
      <c r="AK903" s="258">
        <v>0</v>
      </c>
      <c r="AL903" s="258">
        <v>0</v>
      </c>
      <c r="AM903" s="258">
        <v>0</v>
      </c>
      <c r="AN903" s="258"/>
      <c r="AO903" s="258">
        <v>0</v>
      </c>
    </row>
    <row r="904" spans="1:41" s="259" customFormat="1" ht="36" customHeight="1" x14ac:dyDescent="0.25">
      <c r="B904" s="94" t="s">
        <v>882</v>
      </c>
      <c r="C904" s="94"/>
      <c r="D904" s="124" t="s">
        <v>896</v>
      </c>
      <c r="E904" s="124" t="s">
        <v>896</v>
      </c>
      <c r="F904" s="124" t="s">
        <v>896</v>
      </c>
      <c r="G904" s="124" t="s">
        <v>896</v>
      </c>
      <c r="H904" s="124" t="s">
        <v>896</v>
      </c>
      <c r="I904" s="125">
        <f>SUM(I905:I906)</f>
        <v>1431.7</v>
      </c>
      <c r="J904" s="125">
        <f t="shared" ref="J904:L904" si="273">SUM(J905:J906)</f>
        <v>1325.1999999999998</v>
      </c>
      <c r="K904" s="125">
        <f t="shared" si="273"/>
        <v>962.8</v>
      </c>
      <c r="L904" s="126">
        <f t="shared" si="273"/>
        <v>54</v>
      </c>
      <c r="M904" s="124" t="s">
        <v>896</v>
      </c>
      <c r="N904" s="124" t="s">
        <v>896</v>
      </c>
      <c r="O904" s="127" t="s">
        <v>896</v>
      </c>
      <c r="P904" s="128">
        <v>5796065.7599999998</v>
      </c>
      <c r="Q904" s="128">
        <f t="shared" ref="Q904:S904" si="274">SUM(Q905:Q906)</f>
        <v>0</v>
      </c>
      <c r="R904" s="128">
        <f t="shared" si="274"/>
        <v>492144.32</v>
      </c>
      <c r="S904" s="128">
        <f t="shared" si="274"/>
        <v>5303921.4399999995</v>
      </c>
      <c r="T904" s="128">
        <f t="shared" si="232"/>
        <v>4048.3800796256196</v>
      </c>
      <c r="U904" s="128">
        <f>MAX(U905:U906)</f>
        <v>5256.7108154224779</v>
      </c>
      <c r="V904" s="257">
        <f t="shared" ref="V904:V986" si="275">U904-T904</f>
        <v>1208.3307357968583</v>
      </c>
      <c r="W904" s="257"/>
      <c r="X904" s="257"/>
      <c r="Y904" s="258"/>
      <c r="Z904" s="258"/>
      <c r="AA904" s="258"/>
      <c r="AB904" s="258"/>
      <c r="AC904" s="258"/>
      <c r="AD904" s="258"/>
      <c r="AE904" s="258"/>
      <c r="AF904" s="258"/>
      <c r="AG904" s="258"/>
      <c r="AH904" s="258"/>
      <c r="AI904" s="258"/>
      <c r="AJ904" s="258"/>
      <c r="AK904" s="258"/>
      <c r="AL904" s="258"/>
      <c r="AM904" s="258"/>
      <c r="AN904" s="258"/>
      <c r="AO904" s="258"/>
    </row>
    <row r="905" spans="1:41" s="259" customFormat="1" ht="36" customHeight="1" x14ac:dyDescent="0.25">
      <c r="A905" s="259">
        <v>1</v>
      </c>
      <c r="B905" s="135">
        <f>SUBTOTAL(103,$A$552:A905)</f>
        <v>316</v>
      </c>
      <c r="C905" s="94" t="s">
        <v>55</v>
      </c>
      <c r="D905" s="124">
        <v>1968</v>
      </c>
      <c r="E905" s="124"/>
      <c r="F905" s="129" t="s">
        <v>269</v>
      </c>
      <c r="G905" s="124">
        <v>2</v>
      </c>
      <c r="H905" s="124" t="s">
        <v>305</v>
      </c>
      <c r="I905" s="125">
        <v>822.2</v>
      </c>
      <c r="J905" s="125">
        <v>760.8</v>
      </c>
      <c r="K905" s="125">
        <v>760.8</v>
      </c>
      <c r="L905" s="126">
        <v>36</v>
      </c>
      <c r="M905" s="124" t="s">
        <v>267</v>
      </c>
      <c r="N905" s="124" t="s">
        <v>271</v>
      </c>
      <c r="O905" s="127" t="s">
        <v>276</v>
      </c>
      <c r="P905" s="128">
        <v>3274450.4</v>
      </c>
      <c r="Q905" s="128">
        <v>0</v>
      </c>
      <c r="R905" s="128">
        <v>0</v>
      </c>
      <c r="S905" s="128">
        <f>P905-Q905-R905</f>
        <v>3274450.4</v>
      </c>
      <c r="T905" s="128">
        <f t="shared" si="232"/>
        <v>3982.5473120895158</v>
      </c>
      <c r="U905" s="128">
        <v>4642.986939917294</v>
      </c>
      <c r="V905" s="257">
        <f>U905-T905</f>
        <v>660.43962782777817</v>
      </c>
      <c r="W905" s="257">
        <f>X905+Y905+Z905+AA905+AB905+AD905+AF905+AH905+AJ905+AL905+AN905+AO905</f>
        <v>4627.2042301143265</v>
      </c>
      <c r="X905" s="257">
        <v>0</v>
      </c>
      <c r="Y905" s="258">
        <v>0</v>
      </c>
      <c r="Z905" s="258">
        <v>0</v>
      </c>
      <c r="AA905" s="258">
        <v>0</v>
      </c>
      <c r="AB905" s="258">
        <v>0</v>
      </c>
      <c r="AC905" s="258">
        <v>0</v>
      </c>
      <c r="AD905" s="258">
        <v>0</v>
      </c>
      <c r="AE905" s="258">
        <v>609.79999999999995</v>
      </c>
      <c r="AF905" s="257">
        <f>6238.91*AE905/I905</f>
        <v>4627.2042301143265</v>
      </c>
      <c r="AG905" s="258">
        <v>0</v>
      </c>
      <c r="AH905" s="257">
        <v>0</v>
      </c>
      <c r="AI905" s="258">
        <v>0</v>
      </c>
      <c r="AJ905" s="257">
        <v>0</v>
      </c>
      <c r="AK905" s="258">
        <v>0</v>
      </c>
      <c r="AL905" s="258">
        <v>0</v>
      </c>
      <c r="AM905" s="258">
        <v>0</v>
      </c>
      <c r="AN905" s="258"/>
      <c r="AO905" s="258">
        <v>0</v>
      </c>
    </row>
    <row r="906" spans="1:41" s="259" customFormat="1" ht="36" customHeight="1" x14ac:dyDescent="0.25">
      <c r="A906" s="259">
        <v>1</v>
      </c>
      <c r="B906" s="135">
        <f>SUBTOTAL(103,$A$552:A906)</f>
        <v>317</v>
      </c>
      <c r="C906" s="94" t="s">
        <v>1257</v>
      </c>
      <c r="D906" s="124">
        <v>1917</v>
      </c>
      <c r="E906" s="124"/>
      <c r="F906" s="129" t="s">
        <v>269</v>
      </c>
      <c r="G906" s="124">
        <v>2</v>
      </c>
      <c r="H906" s="124" t="s">
        <v>306</v>
      </c>
      <c r="I906" s="128">
        <v>609.5</v>
      </c>
      <c r="J906" s="128">
        <v>564.4</v>
      </c>
      <c r="K906" s="128">
        <v>202</v>
      </c>
      <c r="L906" s="126">
        <v>18</v>
      </c>
      <c r="M906" s="124" t="s">
        <v>267</v>
      </c>
      <c r="N906" s="124" t="s">
        <v>268</v>
      </c>
      <c r="O906" s="127" t="s">
        <v>270</v>
      </c>
      <c r="P906" s="128">
        <v>2521615.3599999999</v>
      </c>
      <c r="Q906" s="128">
        <v>0</v>
      </c>
      <c r="R906" s="128">
        <v>492144.32</v>
      </c>
      <c r="S906" s="128">
        <f>P906-Q906-R906</f>
        <v>2029471.0399999998</v>
      </c>
      <c r="T906" s="128">
        <f t="shared" si="232"/>
        <v>4137.1868088597212</v>
      </c>
      <c r="U906" s="128">
        <v>5256.7108154224779</v>
      </c>
      <c r="V906" s="257">
        <f>U906-T906</f>
        <v>1119.5240065627568</v>
      </c>
      <c r="W906" s="257">
        <f>X906+Y906+Z906+AA906+AB906+AD906+AF906+AH906+AJ906+AL906+AN906+AO906</f>
        <v>5238.8418999179648</v>
      </c>
      <c r="X906" s="257">
        <v>0</v>
      </c>
      <c r="Y906" s="258">
        <v>0</v>
      </c>
      <c r="Z906" s="258">
        <v>0</v>
      </c>
      <c r="AA906" s="258">
        <v>0</v>
      </c>
      <c r="AB906" s="258">
        <v>0</v>
      </c>
      <c r="AC906" s="258">
        <v>0</v>
      </c>
      <c r="AD906" s="258">
        <v>0</v>
      </c>
      <c r="AE906" s="258">
        <v>511.8</v>
      </c>
      <c r="AF906" s="257">
        <f>6238.91*AE906/I906</f>
        <v>5238.8418999179648</v>
      </c>
      <c r="AG906" s="258">
        <v>0</v>
      </c>
      <c r="AH906" s="257">
        <v>0</v>
      </c>
      <c r="AI906" s="258">
        <v>0</v>
      </c>
      <c r="AJ906" s="257">
        <v>0</v>
      </c>
      <c r="AK906" s="258">
        <v>0</v>
      </c>
      <c r="AL906" s="258">
        <v>0</v>
      </c>
      <c r="AM906" s="258">
        <v>0</v>
      </c>
      <c r="AN906" s="258"/>
      <c r="AO906" s="258">
        <v>0</v>
      </c>
    </row>
    <row r="907" spans="1:41" s="259" customFormat="1" ht="36" customHeight="1" x14ac:dyDescent="0.25">
      <c r="B907" s="94" t="s">
        <v>889</v>
      </c>
      <c r="C907" s="94"/>
      <c r="D907" s="124" t="s">
        <v>896</v>
      </c>
      <c r="E907" s="124" t="s">
        <v>896</v>
      </c>
      <c r="F907" s="124" t="s">
        <v>896</v>
      </c>
      <c r="G907" s="124" t="s">
        <v>896</v>
      </c>
      <c r="H907" s="124" t="s">
        <v>896</v>
      </c>
      <c r="I907" s="125">
        <f>I908</f>
        <v>783.2</v>
      </c>
      <c r="J907" s="125">
        <f>J908</f>
        <v>783.2</v>
      </c>
      <c r="K907" s="125">
        <f>K908</f>
        <v>744.2</v>
      </c>
      <c r="L907" s="126">
        <f>L908</f>
        <v>21</v>
      </c>
      <c r="M907" s="124" t="s">
        <v>896</v>
      </c>
      <c r="N907" s="124" t="s">
        <v>896</v>
      </c>
      <c r="O907" s="127" t="s">
        <v>896</v>
      </c>
      <c r="P907" s="128">
        <v>3707032</v>
      </c>
      <c r="Q907" s="128">
        <f>Q908</f>
        <v>0</v>
      </c>
      <c r="R907" s="128">
        <f>R908</f>
        <v>0</v>
      </c>
      <c r="S907" s="128">
        <f>S908</f>
        <v>3707032</v>
      </c>
      <c r="T907" s="128">
        <f t="shared" si="232"/>
        <v>4733.1869254341163</v>
      </c>
      <c r="U907" s="128">
        <f>U908</f>
        <v>4733.1869254341163</v>
      </c>
      <c r="V907" s="257">
        <f t="shared" si="275"/>
        <v>0</v>
      </c>
      <c r="W907" s="257"/>
      <c r="X907" s="257"/>
      <c r="Y907" s="258"/>
      <c r="Z907" s="258"/>
      <c r="AA907" s="258"/>
      <c r="AB907" s="258"/>
      <c r="AC907" s="258"/>
      <c r="AD907" s="258"/>
      <c r="AE907" s="258"/>
      <c r="AF907" s="258"/>
      <c r="AG907" s="258"/>
      <c r="AH907" s="258"/>
      <c r="AI907" s="258"/>
      <c r="AJ907" s="258"/>
      <c r="AK907" s="258"/>
      <c r="AL907" s="258"/>
      <c r="AM907" s="258"/>
      <c r="AN907" s="258"/>
      <c r="AO907" s="258"/>
    </row>
    <row r="908" spans="1:41" s="259" customFormat="1" ht="36" customHeight="1" x14ac:dyDescent="0.25">
      <c r="A908" s="259">
        <v>1</v>
      </c>
      <c r="B908" s="135">
        <f>SUBTOTAL(103,$A$552:A908)</f>
        <v>318</v>
      </c>
      <c r="C908" s="94" t="s">
        <v>1710</v>
      </c>
      <c r="D908" s="124">
        <v>1962</v>
      </c>
      <c r="E908" s="124"/>
      <c r="F908" s="129" t="s">
        <v>1711</v>
      </c>
      <c r="G908" s="124">
        <v>2</v>
      </c>
      <c r="H908" s="124" t="s">
        <v>310</v>
      </c>
      <c r="I908" s="125">
        <v>783.2</v>
      </c>
      <c r="J908" s="125">
        <v>783.2</v>
      </c>
      <c r="K908" s="125">
        <v>744.2</v>
      </c>
      <c r="L908" s="126">
        <v>21</v>
      </c>
      <c r="M908" s="124" t="s">
        <v>267</v>
      </c>
      <c r="N908" s="124" t="s">
        <v>268</v>
      </c>
      <c r="O908" s="127" t="s">
        <v>270</v>
      </c>
      <c r="P908" s="128">
        <v>3707032</v>
      </c>
      <c r="Q908" s="128">
        <v>0</v>
      </c>
      <c r="R908" s="128">
        <v>0</v>
      </c>
      <c r="S908" s="128">
        <f>P908-Q908-R908</f>
        <v>3707032</v>
      </c>
      <c r="T908" s="128">
        <f t="shared" si="232"/>
        <v>4733.1869254341163</v>
      </c>
      <c r="U908" s="128">
        <v>4733.1869254341163</v>
      </c>
      <c r="V908" s="257">
        <f>U908-T908</f>
        <v>0</v>
      </c>
      <c r="W908" s="257">
        <f>T908</f>
        <v>4733.1869254341163</v>
      </c>
      <c r="X908" s="257">
        <v>0</v>
      </c>
      <c r="Y908" s="258">
        <v>0</v>
      </c>
      <c r="Z908" s="258">
        <v>0</v>
      </c>
      <c r="AA908" s="258">
        <v>0</v>
      </c>
      <c r="AB908" s="258">
        <v>0</v>
      </c>
      <c r="AC908" s="258">
        <v>0</v>
      </c>
      <c r="AD908" s="258">
        <v>0</v>
      </c>
      <c r="AE908" s="258">
        <v>0</v>
      </c>
      <c r="AF908" s="257">
        <v>0</v>
      </c>
      <c r="AG908" s="258">
        <v>0</v>
      </c>
      <c r="AH908" s="257">
        <v>0</v>
      </c>
      <c r="AI908" s="258">
        <v>350</v>
      </c>
      <c r="AJ908" s="257">
        <f>7802.61*AI908/I908</f>
        <v>3486.8660623084779</v>
      </c>
      <c r="AK908" s="258">
        <v>0</v>
      </c>
      <c r="AL908" s="258">
        <v>0</v>
      </c>
      <c r="AM908" s="258">
        <v>0</v>
      </c>
      <c r="AN908" s="258"/>
      <c r="AO908" s="258">
        <v>0</v>
      </c>
    </row>
    <row r="909" spans="1:41" s="259" customFormat="1" ht="36" customHeight="1" x14ac:dyDescent="0.25">
      <c r="B909" s="94" t="s">
        <v>849</v>
      </c>
      <c r="C909" s="94"/>
      <c r="D909" s="124" t="s">
        <v>896</v>
      </c>
      <c r="E909" s="124" t="s">
        <v>896</v>
      </c>
      <c r="F909" s="124" t="s">
        <v>896</v>
      </c>
      <c r="G909" s="124" t="s">
        <v>896</v>
      </c>
      <c r="H909" s="124" t="s">
        <v>896</v>
      </c>
      <c r="I909" s="125">
        <f>SUM(I910:I914)</f>
        <v>13217.54</v>
      </c>
      <c r="J909" s="125">
        <f t="shared" ref="J909:L909" si="276">SUM(J910:J914)</f>
        <v>11365.689999999999</v>
      </c>
      <c r="K909" s="125">
        <f t="shared" si="276"/>
        <v>10013.82</v>
      </c>
      <c r="L909" s="126">
        <f t="shared" si="276"/>
        <v>505</v>
      </c>
      <c r="M909" s="124" t="s">
        <v>896</v>
      </c>
      <c r="N909" s="124" t="s">
        <v>896</v>
      </c>
      <c r="O909" s="127" t="s">
        <v>896</v>
      </c>
      <c r="P909" s="128">
        <v>25990852.659999996</v>
      </c>
      <c r="Q909" s="128">
        <f t="shared" ref="Q909:S909" si="277">SUM(Q910:Q914)</f>
        <v>0</v>
      </c>
      <c r="R909" s="128">
        <f t="shared" si="277"/>
        <v>0</v>
      </c>
      <c r="S909" s="128">
        <f t="shared" si="277"/>
        <v>25990852.659999996</v>
      </c>
      <c r="T909" s="128">
        <f t="shared" ref="T909:T973" si="278">P909/I909</f>
        <v>1966.3910727714836</v>
      </c>
      <c r="U909" s="128">
        <f>MAX(U910:U914)</f>
        <v>7261.217671691792</v>
      </c>
      <c r="V909" s="257">
        <f t="shared" si="275"/>
        <v>5294.8265989203082</v>
      </c>
      <c r="W909" s="257"/>
      <c r="X909" s="257"/>
      <c r="Y909" s="258"/>
      <c r="Z909" s="258"/>
      <c r="AA909" s="258"/>
      <c r="AB909" s="258"/>
      <c r="AC909" s="258"/>
      <c r="AD909" s="258"/>
      <c r="AE909" s="258"/>
      <c r="AF909" s="258"/>
      <c r="AG909" s="258"/>
      <c r="AH909" s="258"/>
      <c r="AI909" s="258"/>
      <c r="AJ909" s="258"/>
      <c r="AK909" s="258"/>
      <c r="AL909" s="258"/>
      <c r="AM909" s="258"/>
      <c r="AN909" s="258"/>
      <c r="AO909" s="258"/>
    </row>
    <row r="910" spans="1:41" s="259" customFormat="1" ht="36" customHeight="1" x14ac:dyDescent="0.25">
      <c r="A910" s="259">
        <v>1</v>
      </c>
      <c r="B910" s="135">
        <f>SUBTOTAL(103,$A$552:A910)</f>
        <v>319</v>
      </c>
      <c r="C910" s="94" t="s">
        <v>56</v>
      </c>
      <c r="D910" s="124">
        <v>1972</v>
      </c>
      <c r="E910" s="124"/>
      <c r="F910" s="129" t="s">
        <v>269</v>
      </c>
      <c r="G910" s="124">
        <v>5</v>
      </c>
      <c r="H910" s="124" t="s">
        <v>2293</v>
      </c>
      <c r="I910" s="125">
        <v>4571.29</v>
      </c>
      <c r="J910" s="125">
        <v>4234.29</v>
      </c>
      <c r="K910" s="125">
        <v>2975.61</v>
      </c>
      <c r="L910" s="126">
        <v>227</v>
      </c>
      <c r="M910" s="124" t="s">
        <v>267</v>
      </c>
      <c r="N910" s="124" t="s">
        <v>271</v>
      </c>
      <c r="O910" s="127" t="s">
        <v>273</v>
      </c>
      <c r="P910" s="128">
        <v>4719977.0600000005</v>
      </c>
      <c r="Q910" s="128">
        <v>0</v>
      </c>
      <c r="R910" s="128">
        <v>0</v>
      </c>
      <c r="S910" s="128">
        <f>P910-Q910-R910</f>
        <v>4719977.0600000005</v>
      </c>
      <c r="T910" s="128">
        <f t="shared" si="278"/>
        <v>1032.5262803278727</v>
      </c>
      <c r="U910" s="128">
        <v>3345.83</v>
      </c>
      <c r="V910" s="257">
        <f t="shared" si="275"/>
        <v>2313.303719672127</v>
      </c>
      <c r="W910" s="257">
        <f t="shared" ref="W910:W914" si="279">X910+Y910+Z910+AA910+AB910+AD910+AF910+AH910+AJ910+AL910+AN910+AO910</f>
        <v>3444.64</v>
      </c>
      <c r="X910" s="257">
        <v>0</v>
      </c>
      <c r="Y910" s="258">
        <v>0</v>
      </c>
      <c r="Z910" s="258">
        <v>3259.66</v>
      </c>
      <c r="AA910" s="258">
        <v>184.98</v>
      </c>
      <c r="AB910" s="258">
        <v>0</v>
      </c>
      <c r="AC910" s="258">
        <v>0</v>
      </c>
      <c r="AD910" s="258">
        <v>0</v>
      </c>
      <c r="AE910" s="258">
        <v>0</v>
      </c>
      <c r="AF910" s="257">
        <v>0</v>
      </c>
      <c r="AG910" s="258">
        <v>0</v>
      </c>
      <c r="AH910" s="257">
        <v>0</v>
      </c>
      <c r="AI910" s="258">
        <v>0</v>
      </c>
      <c r="AJ910" s="257">
        <v>0</v>
      </c>
      <c r="AK910" s="258">
        <v>0</v>
      </c>
      <c r="AL910" s="258">
        <v>0</v>
      </c>
      <c r="AM910" s="258">
        <v>0</v>
      </c>
      <c r="AN910" s="258"/>
      <c r="AO910" s="258">
        <v>0</v>
      </c>
    </row>
    <row r="911" spans="1:41" s="259" customFormat="1" ht="36" customHeight="1" x14ac:dyDescent="0.25">
      <c r="A911" s="259">
        <v>1</v>
      </c>
      <c r="B911" s="135">
        <f>SUBTOTAL(103,$A$552:A911)</f>
        <v>320</v>
      </c>
      <c r="C911" s="94" t="s">
        <v>46</v>
      </c>
      <c r="D911" s="124">
        <v>1972</v>
      </c>
      <c r="E911" s="124"/>
      <c r="F911" s="129" t="s">
        <v>269</v>
      </c>
      <c r="G911" s="124">
        <v>2</v>
      </c>
      <c r="H911" s="124" t="s">
        <v>305</v>
      </c>
      <c r="I911" s="125">
        <v>716.4</v>
      </c>
      <c r="J911" s="125">
        <v>656.7</v>
      </c>
      <c r="K911" s="125">
        <v>656.7</v>
      </c>
      <c r="L911" s="126">
        <v>28</v>
      </c>
      <c r="M911" s="124" t="s">
        <v>267</v>
      </c>
      <c r="N911" s="124" t="s">
        <v>271</v>
      </c>
      <c r="O911" s="127" t="s">
        <v>273</v>
      </c>
      <c r="P911" s="128">
        <v>5201936.34</v>
      </c>
      <c r="Q911" s="128">
        <v>0</v>
      </c>
      <c r="R911" s="128">
        <v>0</v>
      </c>
      <c r="S911" s="128">
        <f>P911-Q911-R911</f>
        <v>5201936.34</v>
      </c>
      <c r="T911" s="128">
        <f t="shared" si="278"/>
        <v>7261.217671691792</v>
      </c>
      <c r="U911" s="128">
        <v>7261.217671691792</v>
      </c>
      <c r="V911" s="257">
        <f t="shared" ref="V911:V912" si="280">U911-T911</f>
        <v>0</v>
      </c>
      <c r="W911" s="257">
        <f t="shared" ref="W911:W912" si="281">X911+Y911+Z911+AA911+AB911+AD911+AF911+AH911+AJ911+AL911+AN911+AO911</f>
        <v>6241.5226088777226</v>
      </c>
      <c r="X911" s="257">
        <v>0</v>
      </c>
      <c r="Y911" s="258">
        <v>0</v>
      </c>
      <c r="Z911" s="258">
        <v>0</v>
      </c>
      <c r="AA911" s="258">
        <v>0</v>
      </c>
      <c r="AB911" s="258">
        <v>0</v>
      </c>
      <c r="AC911" s="258">
        <v>0</v>
      </c>
      <c r="AD911" s="258">
        <v>0</v>
      </c>
      <c r="AE911" s="258">
        <v>716.7</v>
      </c>
      <c r="AF911" s="257">
        <f>6238.91*AE911/I911</f>
        <v>6241.5226088777226</v>
      </c>
      <c r="AG911" s="258">
        <v>0</v>
      </c>
      <c r="AH911" s="257">
        <v>0</v>
      </c>
      <c r="AI911" s="258">
        <v>0</v>
      </c>
      <c r="AJ911" s="257">
        <v>0</v>
      </c>
      <c r="AK911" s="258">
        <v>0</v>
      </c>
      <c r="AL911" s="258">
        <v>0</v>
      </c>
      <c r="AM911" s="258">
        <v>0</v>
      </c>
      <c r="AN911" s="258"/>
      <c r="AO911" s="258">
        <v>0</v>
      </c>
    </row>
    <row r="912" spans="1:41" s="259" customFormat="1" ht="36" customHeight="1" x14ac:dyDescent="0.25">
      <c r="A912" s="259">
        <v>1</v>
      </c>
      <c r="B912" s="135">
        <f>SUBTOTAL(103,$A$552:A912)</f>
        <v>321</v>
      </c>
      <c r="C912" s="94" t="s">
        <v>1609</v>
      </c>
      <c r="D912" s="124">
        <v>1963</v>
      </c>
      <c r="E912" s="124"/>
      <c r="F912" s="129" t="s">
        <v>269</v>
      </c>
      <c r="G912" s="124">
        <v>2</v>
      </c>
      <c r="H912" s="124" t="s">
        <v>305</v>
      </c>
      <c r="I912" s="128">
        <v>636.79999999999995</v>
      </c>
      <c r="J912" s="128">
        <v>636.79999999999995</v>
      </c>
      <c r="K912" s="128">
        <v>591.59999999999991</v>
      </c>
      <c r="L912" s="126">
        <v>27</v>
      </c>
      <c r="M912" s="124" t="s">
        <v>267</v>
      </c>
      <c r="N912" s="124" t="s">
        <v>268</v>
      </c>
      <c r="O912" s="127" t="s">
        <v>270</v>
      </c>
      <c r="P912" s="128">
        <v>3531563.4499999997</v>
      </c>
      <c r="Q912" s="128">
        <v>0</v>
      </c>
      <c r="R912" s="128">
        <v>0</v>
      </c>
      <c r="S912" s="128">
        <f>P912-Q912-R912</f>
        <v>3531563.4499999997</v>
      </c>
      <c r="T912" s="128">
        <f t="shared" si="278"/>
        <v>5545.796875</v>
      </c>
      <c r="U912" s="128">
        <v>6015.4055606155771</v>
      </c>
      <c r="V912" s="257">
        <f t="shared" si="280"/>
        <v>469.60868561557709</v>
      </c>
      <c r="W912" s="257">
        <f t="shared" si="281"/>
        <v>5994.9576460427133</v>
      </c>
      <c r="X912" s="257">
        <v>0</v>
      </c>
      <c r="Y912" s="258">
        <v>0</v>
      </c>
      <c r="Z912" s="258">
        <v>0</v>
      </c>
      <c r="AA912" s="258">
        <v>0</v>
      </c>
      <c r="AB912" s="258">
        <v>0</v>
      </c>
      <c r="AC912" s="258">
        <v>0</v>
      </c>
      <c r="AD912" s="258">
        <v>0</v>
      </c>
      <c r="AE912" s="258">
        <v>611.9</v>
      </c>
      <c r="AF912" s="257">
        <f>6238.91*AE912/I912</f>
        <v>5994.9576460427133</v>
      </c>
      <c r="AG912" s="258">
        <v>0</v>
      </c>
      <c r="AH912" s="257">
        <v>0</v>
      </c>
      <c r="AI912" s="258">
        <v>0</v>
      </c>
      <c r="AJ912" s="257">
        <v>0</v>
      </c>
      <c r="AK912" s="258">
        <v>0</v>
      </c>
      <c r="AL912" s="258">
        <v>0</v>
      </c>
      <c r="AM912" s="258">
        <v>0</v>
      </c>
      <c r="AN912" s="258"/>
      <c r="AO912" s="258">
        <v>0</v>
      </c>
    </row>
    <row r="913" spans="1:41" s="259" customFormat="1" ht="36" customHeight="1" x14ac:dyDescent="0.25">
      <c r="A913" s="259">
        <v>1</v>
      </c>
      <c r="B913" s="135">
        <f>SUBTOTAL(103,$A$552:A913)</f>
        <v>322</v>
      </c>
      <c r="C913" s="94" t="s">
        <v>47</v>
      </c>
      <c r="D913" s="124">
        <v>1964</v>
      </c>
      <c r="E913" s="124"/>
      <c r="F913" s="129" t="s">
        <v>269</v>
      </c>
      <c r="G913" s="124">
        <v>3</v>
      </c>
      <c r="H913" s="124" t="s">
        <v>305</v>
      </c>
      <c r="I913" s="125">
        <v>961.6</v>
      </c>
      <c r="J913" s="125">
        <v>723.4</v>
      </c>
      <c r="K913" s="125">
        <v>723.4</v>
      </c>
      <c r="L913" s="126">
        <v>25</v>
      </c>
      <c r="M913" s="124" t="s">
        <v>267</v>
      </c>
      <c r="N913" s="124" t="s">
        <v>271</v>
      </c>
      <c r="O913" s="127" t="s">
        <v>273</v>
      </c>
      <c r="P913" s="128">
        <v>3142502.06</v>
      </c>
      <c r="Q913" s="128">
        <v>0</v>
      </c>
      <c r="R913" s="128">
        <v>0</v>
      </c>
      <c r="S913" s="128">
        <f>P913-Q913-R913</f>
        <v>3142502.06</v>
      </c>
      <c r="T913" s="128">
        <f t="shared" si="278"/>
        <v>3267.9929908485856</v>
      </c>
      <c r="U913" s="128">
        <v>4079.9304003743759</v>
      </c>
      <c r="V913" s="257">
        <f t="shared" si="275"/>
        <v>811.93740952579037</v>
      </c>
      <c r="W913" s="257">
        <f t="shared" si="279"/>
        <v>4649.9862697587359</v>
      </c>
      <c r="X913" s="257">
        <v>0</v>
      </c>
      <c r="Y913" s="258">
        <v>0</v>
      </c>
      <c r="Z913" s="258">
        <v>0</v>
      </c>
      <c r="AA913" s="258">
        <v>0</v>
      </c>
      <c r="AB913" s="258">
        <v>0</v>
      </c>
      <c r="AC913" s="258">
        <v>0</v>
      </c>
      <c r="AD913" s="258">
        <v>0</v>
      </c>
      <c r="AE913" s="258">
        <v>716.7</v>
      </c>
      <c r="AF913" s="257">
        <f>6238.91*AE913/I913</f>
        <v>4649.9862697587359</v>
      </c>
      <c r="AG913" s="258">
        <v>0</v>
      </c>
      <c r="AH913" s="257">
        <v>0</v>
      </c>
      <c r="AI913" s="258">
        <v>0</v>
      </c>
      <c r="AJ913" s="257">
        <v>0</v>
      </c>
      <c r="AK913" s="258">
        <v>0</v>
      </c>
      <c r="AL913" s="258">
        <v>0</v>
      </c>
      <c r="AM913" s="258">
        <v>0</v>
      </c>
      <c r="AN913" s="258"/>
      <c r="AO913" s="258">
        <v>0</v>
      </c>
    </row>
    <row r="914" spans="1:41" s="259" customFormat="1" ht="36" customHeight="1" x14ac:dyDescent="0.25">
      <c r="A914" s="259">
        <v>1</v>
      </c>
      <c r="B914" s="135">
        <f>SUBTOTAL(103,$A$552:A914)</f>
        <v>323</v>
      </c>
      <c r="C914" s="94" t="s">
        <v>1247</v>
      </c>
      <c r="D914" s="124">
        <v>1982</v>
      </c>
      <c r="E914" s="124"/>
      <c r="F914" s="129" t="s">
        <v>269</v>
      </c>
      <c r="G914" s="124">
        <v>5</v>
      </c>
      <c r="H914" s="124" t="s">
        <v>2294</v>
      </c>
      <c r="I914" s="128">
        <v>6331.45</v>
      </c>
      <c r="J914" s="128">
        <v>5114.5</v>
      </c>
      <c r="K914" s="128">
        <v>5066.51</v>
      </c>
      <c r="L914" s="126">
        <v>198</v>
      </c>
      <c r="M914" s="124" t="s">
        <v>267</v>
      </c>
      <c r="N914" s="124" t="s">
        <v>271</v>
      </c>
      <c r="O914" s="127" t="s">
        <v>273</v>
      </c>
      <c r="P914" s="128">
        <v>9394873.7499999981</v>
      </c>
      <c r="Q914" s="128">
        <v>0</v>
      </c>
      <c r="R914" s="128">
        <v>0</v>
      </c>
      <c r="S914" s="128">
        <f>P914-Q914-R914</f>
        <v>9394873.7499999981</v>
      </c>
      <c r="T914" s="128">
        <f t="shared" si="278"/>
        <v>1483.8423662826049</v>
      </c>
      <c r="U914" s="128">
        <v>4532.13</v>
      </c>
      <c r="V914" s="257">
        <f t="shared" si="275"/>
        <v>3048.2876337173952</v>
      </c>
      <c r="W914" s="257">
        <f t="shared" si="279"/>
        <v>602.95651533219086</v>
      </c>
      <c r="X914" s="257">
        <v>0</v>
      </c>
      <c r="Y914" s="258">
        <v>0</v>
      </c>
      <c r="Z914" s="258">
        <v>0</v>
      </c>
      <c r="AA914" s="258">
        <v>0</v>
      </c>
      <c r="AB914" s="258">
        <v>0</v>
      </c>
      <c r="AC914" s="258">
        <v>0</v>
      </c>
      <c r="AD914" s="258">
        <v>0</v>
      </c>
      <c r="AE914" s="258">
        <v>611.9</v>
      </c>
      <c r="AF914" s="257">
        <f>6238.91*AE914/I914</f>
        <v>602.95651533219086</v>
      </c>
      <c r="AG914" s="258">
        <v>0</v>
      </c>
      <c r="AH914" s="257">
        <v>0</v>
      </c>
      <c r="AI914" s="258">
        <v>0</v>
      </c>
      <c r="AJ914" s="257">
        <v>0</v>
      </c>
      <c r="AK914" s="258">
        <v>0</v>
      </c>
      <c r="AL914" s="258">
        <v>0</v>
      </c>
      <c r="AM914" s="258">
        <v>0</v>
      </c>
      <c r="AN914" s="258"/>
      <c r="AO914" s="258">
        <v>0</v>
      </c>
    </row>
    <row r="915" spans="1:41" s="259" customFormat="1" ht="36" customHeight="1" x14ac:dyDescent="0.25">
      <c r="B915" s="94" t="s">
        <v>850</v>
      </c>
      <c r="C915" s="94"/>
      <c r="D915" s="124" t="s">
        <v>896</v>
      </c>
      <c r="E915" s="124" t="s">
        <v>896</v>
      </c>
      <c r="F915" s="124" t="s">
        <v>896</v>
      </c>
      <c r="G915" s="124" t="s">
        <v>896</v>
      </c>
      <c r="H915" s="124" t="s">
        <v>896</v>
      </c>
      <c r="I915" s="125">
        <f>SUM(I916:I918)</f>
        <v>8831.67</v>
      </c>
      <c r="J915" s="125">
        <f>SUM(J916:J918)</f>
        <v>7120.7900000000009</v>
      </c>
      <c r="K915" s="125">
        <f>SUM(K916:K918)</f>
        <v>6353.68</v>
      </c>
      <c r="L915" s="126">
        <f>SUM(L916:L918)</f>
        <v>282</v>
      </c>
      <c r="M915" s="124" t="s">
        <v>896</v>
      </c>
      <c r="N915" s="124" t="s">
        <v>896</v>
      </c>
      <c r="O915" s="127" t="s">
        <v>896</v>
      </c>
      <c r="P915" s="128">
        <v>11675176.630000001</v>
      </c>
      <c r="Q915" s="128">
        <f>SUM(Q916:Q918)</f>
        <v>0</v>
      </c>
      <c r="R915" s="128">
        <f>SUM(R916:R918)</f>
        <v>0</v>
      </c>
      <c r="S915" s="128">
        <f>SUM(S916:S918)</f>
        <v>11675176.630000001</v>
      </c>
      <c r="T915" s="128">
        <f t="shared" si="278"/>
        <v>1321.9670379441261</v>
      </c>
      <c r="U915" s="128">
        <f>MAX(U916:U918)</f>
        <v>4538.6829638375639</v>
      </c>
      <c r="V915" s="257">
        <f t="shared" si="275"/>
        <v>3216.715925893438</v>
      </c>
      <c r="W915" s="257"/>
      <c r="X915" s="257"/>
      <c r="Y915" s="258"/>
      <c r="Z915" s="258"/>
      <c r="AA915" s="258"/>
      <c r="AB915" s="258"/>
      <c r="AC915" s="258"/>
      <c r="AD915" s="258"/>
      <c r="AE915" s="258"/>
      <c r="AF915" s="258"/>
      <c r="AG915" s="258"/>
      <c r="AH915" s="258"/>
      <c r="AI915" s="258"/>
      <c r="AJ915" s="258"/>
      <c r="AK915" s="258"/>
      <c r="AL915" s="258"/>
      <c r="AM915" s="258"/>
      <c r="AN915" s="258"/>
      <c r="AO915" s="258"/>
    </row>
    <row r="916" spans="1:41" s="259" customFormat="1" ht="36" customHeight="1" x14ac:dyDescent="0.25">
      <c r="A916" s="259">
        <v>1</v>
      </c>
      <c r="B916" s="135">
        <f>SUBTOTAL(103,$A$552:A916)</f>
        <v>324</v>
      </c>
      <c r="C916" s="94" t="s">
        <v>54</v>
      </c>
      <c r="D916" s="124">
        <v>1989</v>
      </c>
      <c r="E916" s="124"/>
      <c r="F916" s="129" t="s">
        <v>269</v>
      </c>
      <c r="G916" s="124">
        <v>5</v>
      </c>
      <c r="H916" s="124" t="s">
        <v>373</v>
      </c>
      <c r="I916" s="125">
        <v>5889.36</v>
      </c>
      <c r="J916" s="125">
        <v>4270.6000000000004</v>
      </c>
      <c r="K916" s="125">
        <v>4123.1000000000004</v>
      </c>
      <c r="L916" s="126">
        <v>193</v>
      </c>
      <c r="M916" s="124" t="s">
        <v>267</v>
      </c>
      <c r="N916" s="124" t="s">
        <v>271</v>
      </c>
      <c r="O916" s="127" t="s">
        <v>274</v>
      </c>
      <c r="P916" s="128">
        <v>7814727.5099999998</v>
      </c>
      <c r="Q916" s="128">
        <v>0</v>
      </c>
      <c r="R916" s="128">
        <v>0</v>
      </c>
      <c r="S916" s="128">
        <f>P916-Q916-R916</f>
        <v>7814727.5099999998</v>
      </c>
      <c r="T916" s="128">
        <f t="shared" si="278"/>
        <v>1326.9230459676435</v>
      </c>
      <c r="U916" s="128">
        <v>1774.3030054199439</v>
      </c>
      <c r="V916" s="257">
        <f t="shared" si="275"/>
        <v>447.37995945230045</v>
      </c>
      <c r="W916" s="257">
        <f t="shared" ref="W916:W917" si="282">X916+Y916+Z916+AA916+AB916+AD916+AF916+AH916+AJ916+AL916+AN916+AO916</f>
        <v>1768.2716920004891</v>
      </c>
      <c r="X916" s="257">
        <v>0</v>
      </c>
      <c r="Y916" s="258">
        <v>0</v>
      </c>
      <c r="Z916" s="258">
        <v>0</v>
      </c>
      <c r="AA916" s="258">
        <v>0</v>
      </c>
      <c r="AB916" s="258">
        <v>0</v>
      </c>
      <c r="AC916" s="258">
        <v>0</v>
      </c>
      <c r="AD916" s="258">
        <v>0</v>
      </c>
      <c r="AE916" s="258">
        <v>1669.2</v>
      </c>
      <c r="AF916" s="257">
        <f>6238.91*AE916/I916</f>
        <v>1768.2716920004891</v>
      </c>
      <c r="AG916" s="258">
        <v>0</v>
      </c>
      <c r="AH916" s="257">
        <v>0</v>
      </c>
      <c r="AI916" s="258">
        <v>0</v>
      </c>
      <c r="AJ916" s="257">
        <v>0</v>
      </c>
      <c r="AK916" s="258">
        <v>0</v>
      </c>
      <c r="AL916" s="258">
        <v>0</v>
      </c>
      <c r="AM916" s="258">
        <v>0</v>
      </c>
      <c r="AN916" s="258"/>
      <c r="AO916" s="258">
        <v>0</v>
      </c>
    </row>
    <row r="917" spans="1:41" s="259" customFormat="1" ht="36" customHeight="1" x14ac:dyDescent="0.25">
      <c r="A917" s="259">
        <v>1</v>
      </c>
      <c r="B917" s="135">
        <f>SUBTOTAL(103,$A$552:A917)</f>
        <v>325</v>
      </c>
      <c r="C917" s="94" t="s">
        <v>1697</v>
      </c>
      <c r="D917" s="124">
        <v>1958</v>
      </c>
      <c r="E917" s="124"/>
      <c r="F917" s="129" t="s">
        <v>269</v>
      </c>
      <c r="G917" s="124">
        <v>2</v>
      </c>
      <c r="H917" s="124" t="s">
        <v>305</v>
      </c>
      <c r="I917" s="125">
        <v>796.13</v>
      </c>
      <c r="J917" s="125">
        <v>704.01</v>
      </c>
      <c r="K917" s="125">
        <v>474.19</v>
      </c>
      <c r="L917" s="126">
        <v>11</v>
      </c>
      <c r="M917" s="124" t="s">
        <v>267</v>
      </c>
      <c r="N917" s="124" t="s">
        <v>271</v>
      </c>
      <c r="O917" s="127" t="s">
        <v>274</v>
      </c>
      <c r="P917" s="128">
        <v>3224616.45</v>
      </c>
      <c r="Q917" s="128">
        <v>0</v>
      </c>
      <c r="R917" s="128">
        <v>0</v>
      </c>
      <c r="S917" s="128">
        <f>P917-Q917-R917</f>
        <v>3224616.45</v>
      </c>
      <c r="T917" s="128">
        <f t="shared" si="278"/>
        <v>4050.3641993141828</v>
      </c>
      <c r="U917" s="128">
        <v>4538.6829638375639</v>
      </c>
      <c r="V917" s="257">
        <f t="shared" si="275"/>
        <v>488.31876452338111</v>
      </c>
      <c r="W917" s="257">
        <f t="shared" si="282"/>
        <v>4523.2548101440725</v>
      </c>
      <c r="X917" s="257">
        <v>0</v>
      </c>
      <c r="Y917" s="258">
        <v>0</v>
      </c>
      <c r="Z917" s="258">
        <v>0</v>
      </c>
      <c r="AA917" s="258">
        <v>0</v>
      </c>
      <c r="AB917" s="258">
        <v>0</v>
      </c>
      <c r="AC917" s="258">
        <v>0</v>
      </c>
      <c r="AD917" s="258">
        <v>0</v>
      </c>
      <c r="AE917" s="258">
        <v>577.20000000000005</v>
      </c>
      <c r="AF917" s="257">
        <f>6238.91*AE917/I917</f>
        <v>4523.2548101440725</v>
      </c>
      <c r="AG917" s="258">
        <v>0</v>
      </c>
      <c r="AH917" s="257">
        <v>0</v>
      </c>
      <c r="AI917" s="258">
        <v>0</v>
      </c>
      <c r="AJ917" s="257">
        <v>0</v>
      </c>
      <c r="AK917" s="258">
        <v>0</v>
      </c>
      <c r="AL917" s="258">
        <v>0</v>
      </c>
      <c r="AM917" s="258">
        <v>0</v>
      </c>
      <c r="AN917" s="258"/>
      <c r="AO917" s="258">
        <v>0</v>
      </c>
    </row>
    <row r="918" spans="1:41" s="259" customFormat="1" ht="36" customHeight="1" x14ac:dyDescent="0.25">
      <c r="A918" s="259">
        <v>1</v>
      </c>
      <c r="B918" s="135">
        <f>SUBTOTAL(103,$A$552:A918)</f>
        <v>326</v>
      </c>
      <c r="C918" s="94" t="s">
        <v>1254</v>
      </c>
      <c r="D918" s="124">
        <v>1974</v>
      </c>
      <c r="E918" s="124"/>
      <c r="F918" s="129" t="s">
        <v>269</v>
      </c>
      <c r="G918" s="124">
        <v>5</v>
      </c>
      <c r="H918" s="124" t="s">
        <v>305</v>
      </c>
      <c r="I918" s="128">
        <v>2146.1799999999998</v>
      </c>
      <c r="J918" s="128">
        <v>2146.1799999999998</v>
      </c>
      <c r="K918" s="128">
        <v>1756.39</v>
      </c>
      <c r="L918" s="126">
        <v>78</v>
      </c>
      <c r="M918" s="124" t="s">
        <v>267</v>
      </c>
      <c r="N918" s="124" t="s">
        <v>271</v>
      </c>
      <c r="O918" s="127" t="s">
        <v>274</v>
      </c>
      <c r="P918" s="128">
        <v>635832.67000000004</v>
      </c>
      <c r="Q918" s="128">
        <v>0</v>
      </c>
      <c r="R918" s="128">
        <v>0</v>
      </c>
      <c r="S918" s="128">
        <f>P918-Q918-R918</f>
        <v>635832.67000000004</v>
      </c>
      <c r="T918" s="128">
        <f t="shared" si="278"/>
        <v>296.26250827050859</v>
      </c>
      <c r="U918" s="128">
        <v>296.26250827050859</v>
      </c>
      <c r="V918" s="257">
        <f t="shared" si="275"/>
        <v>0</v>
      </c>
      <c r="W918" s="257">
        <f>T918</f>
        <v>296.26250827050859</v>
      </c>
      <c r="X918" s="257">
        <v>0</v>
      </c>
      <c r="Y918" s="258">
        <v>0</v>
      </c>
      <c r="Z918" s="258">
        <v>0</v>
      </c>
      <c r="AA918" s="258">
        <v>184.98</v>
      </c>
      <c r="AB918" s="258">
        <v>0</v>
      </c>
      <c r="AC918" s="258">
        <v>0</v>
      </c>
      <c r="AD918" s="258">
        <v>0</v>
      </c>
      <c r="AE918" s="258">
        <v>0</v>
      </c>
      <c r="AF918" s="257">
        <v>0</v>
      </c>
      <c r="AG918" s="258">
        <v>0</v>
      </c>
      <c r="AH918" s="257">
        <v>0</v>
      </c>
      <c r="AI918" s="258">
        <v>0</v>
      </c>
      <c r="AJ918" s="257">
        <v>0</v>
      </c>
      <c r="AK918" s="258">
        <v>0</v>
      </c>
      <c r="AL918" s="258">
        <v>0</v>
      </c>
      <c r="AM918" s="258">
        <v>0</v>
      </c>
      <c r="AN918" s="258"/>
      <c r="AO918" s="258">
        <v>0</v>
      </c>
    </row>
    <row r="919" spans="1:41" s="259" customFormat="1" ht="36" customHeight="1" x14ac:dyDescent="0.25">
      <c r="B919" s="94" t="s">
        <v>851</v>
      </c>
      <c r="C919" s="94"/>
      <c r="D919" s="124" t="s">
        <v>896</v>
      </c>
      <c r="E919" s="124" t="s">
        <v>896</v>
      </c>
      <c r="F919" s="124" t="s">
        <v>896</v>
      </c>
      <c r="G919" s="124" t="s">
        <v>896</v>
      </c>
      <c r="H919" s="124" t="s">
        <v>896</v>
      </c>
      <c r="I919" s="125">
        <f>I920</f>
        <v>485.3</v>
      </c>
      <c r="J919" s="125">
        <f>J920</f>
        <v>441.3</v>
      </c>
      <c r="K919" s="125">
        <f>K920</f>
        <v>441.3</v>
      </c>
      <c r="L919" s="126">
        <f>L920</f>
        <v>16</v>
      </c>
      <c r="M919" s="124" t="s">
        <v>896</v>
      </c>
      <c r="N919" s="124" t="s">
        <v>896</v>
      </c>
      <c r="O919" s="127" t="s">
        <v>896</v>
      </c>
      <c r="P919" s="128">
        <v>2311215.4500000002</v>
      </c>
      <c r="Q919" s="128">
        <f>Q920</f>
        <v>0</v>
      </c>
      <c r="R919" s="128">
        <f>R920</f>
        <v>0</v>
      </c>
      <c r="S919" s="128">
        <f>S920</f>
        <v>2311215.4500000002</v>
      </c>
      <c r="T919" s="128">
        <f t="shared" si="278"/>
        <v>4762.4468370080367</v>
      </c>
      <c r="U919" s="128">
        <f>U920</f>
        <v>5727.4353183597768</v>
      </c>
      <c r="V919" s="257">
        <f t="shared" si="275"/>
        <v>964.98848135174012</v>
      </c>
      <c r="W919" s="257"/>
      <c r="X919" s="257"/>
      <c r="Y919" s="258"/>
      <c r="Z919" s="258"/>
      <c r="AA919" s="258"/>
      <c r="AB919" s="258"/>
      <c r="AC919" s="258"/>
      <c r="AD919" s="258"/>
      <c r="AE919" s="258"/>
      <c r="AF919" s="258"/>
      <c r="AG919" s="258"/>
      <c r="AH919" s="258"/>
      <c r="AI919" s="258"/>
      <c r="AJ919" s="258"/>
      <c r="AK919" s="258"/>
      <c r="AL919" s="258"/>
      <c r="AM919" s="258"/>
      <c r="AN919" s="258"/>
      <c r="AO919" s="258"/>
    </row>
    <row r="920" spans="1:41" s="259" customFormat="1" ht="36" customHeight="1" x14ac:dyDescent="0.25">
      <c r="A920" s="259">
        <v>1</v>
      </c>
      <c r="B920" s="135">
        <f>SUBTOTAL(103,$A$552:A920)</f>
        <v>327</v>
      </c>
      <c r="C920" s="94" t="s">
        <v>53</v>
      </c>
      <c r="D920" s="124">
        <v>1952</v>
      </c>
      <c r="E920" s="124"/>
      <c r="F920" s="129" t="s">
        <v>269</v>
      </c>
      <c r="G920" s="124">
        <v>2</v>
      </c>
      <c r="H920" s="124" t="s">
        <v>305</v>
      </c>
      <c r="I920" s="125">
        <v>485.3</v>
      </c>
      <c r="J920" s="125">
        <v>441.3</v>
      </c>
      <c r="K920" s="125">
        <v>441.3</v>
      </c>
      <c r="L920" s="126">
        <v>16</v>
      </c>
      <c r="M920" s="124" t="s">
        <v>267</v>
      </c>
      <c r="N920" s="124" t="s">
        <v>271</v>
      </c>
      <c r="O920" s="127" t="s">
        <v>275</v>
      </c>
      <c r="P920" s="128">
        <v>2311215.4500000002</v>
      </c>
      <c r="Q920" s="128">
        <v>0</v>
      </c>
      <c r="R920" s="128">
        <v>0</v>
      </c>
      <c r="S920" s="128">
        <f>P920-Q920-R920</f>
        <v>2311215.4500000002</v>
      </c>
      <c r="T920" s="128">
        <f t="shared" si="278"/>
        <v>4762.4468370080367</v>
      </c>
      <c r="U920" s="128">
        <v>5727.4353183597768</v>
      </c>
      <c r="V920" s="257">
        <f>U920-T920</f>
        <v>964.98848135174012</v>
      </c>
      <c r="W920" s="257">
        <f>X920+Y920+Z920+AA920+AB920+AD920+AF920+AH920+AJ920+AL920+AN920+AO920</f>
        <v>5707.9662888934681</v>
      </c>
      <c r="X920" s="257">
        <v>0</v>
      </c>
      <c r="Y920" s="258">
        <v>0</v>
      </c>
      <c r="Z920" s="258">
        <v>0</v>
      </c>
      <c r="AA920" s="258">
        <v>0</v>
      </c>
      <c r="AB920" s="258">
        <v>0</v>
      </c>
      <c r="AC920" s="258">
        <v>0</v>
      </c>
      <c r="AD920" s="258">
        <v>0</v>
      </c>
      <c r="AE920" s="258">
        <v>444</v>
      </c>
      <c r="AF920" s="257">
        <f>6238.91*AE920/I920</f>
        <v>5707.9662888934681</v>
      </c>
      <c r="AG920" s="258">
        <v>0</v>
      </c>
      <c r="AH920" s="257">
        <v>0</v>
      </c>
      <c r="AI920" s="258">
        <v>0</v>
      </c>
      <c r="AJ920" s="257">
        <v>0</v>
      </c>
      <c r="AK920" s="258">
        <v>0</v>
      </c>
      <c r="AL920" s="258">
        <v>0</v>
      </c>
      <c r="AM920" s="258">
        <v>0</v>
      </c>
      <c r="AN920" s="258"/>
      <c r="AO920" s="258">
        <v>0</v>
      </c>
    </row>
    <row r="921" spans="1:41" s="259" customFormat="1" ht="36" customHeight="1" x14ac:dyDescent="0.25">
      <c r="B921" s="94" t="s">
        <v>852</v>
      </c>
      <c r="C921" s="94"/>
      <c r="D921" s="124" t="s">
        <v>896</v>
      </c>
      <c r="E921" s="124" t="s">
        <v>896</v>
      </c>
      <c r="F921" s="124" t="s">
        <v>896</v>
      </c>
      <c r="G921" s="124" t="s">
        <v>896</v>
      </c>
      <c r="H921" s="124" t="s">
        <v>896</v>
      </c>
      <c r="I921" s="125">
        <f>SUM(I922:I928)</f>
        <v>10197.09</v>
      </c>
      <c r="J921" s="125">
        <f>SUM(J922:J928)</f>
        <v>9759.26</v>
      </c>
      <c r="K921" s="125">
        <f>SUM(K922:K928)</f>
        <v>8209</v>
      </c>
      <c r="L921" s="126">
        <f>SUM(L922:L928)</f>
        <v>474</v>
      </c>
      <c r="M921" s="124" t="s">
        <v>896</v>
      </c>
      <c r="N921" s="124" t="s">
        <v>896</v>
      </c>
      <c r="O921" s="127" t="s">
        <v>896</v>
      </c>
      <c r="P921" s="128">
        <v>26695520.850000001</v>
      </c>
      <c r="Q921" s="128">
        <f>SUM(Q922:Q928)</f>
        <v>0</v>
      </c>
      <c r="R921" s="128">
        <f>SUM(R922:R928)</f>
        <v>0</v>
      </c>
      <c r="S921" s="128">
        <f>SUM(S922:S928)</f>
        <v>26695520.850000001</v>
      </c>
      <c r="T921" s="128">
        <f t="shared" si="278"/>
        <v>2617.9548135791683</v>
      </c>
      <c r="U921" s="128">
        <f>MAX(U922:U928)</f>
        <v>7000.5513385293116</v>
      </c>
      <c r="V921" s="257">
        <f t="shared" si="275"/>
        <v>4382.5965249501432</v>
      </c>
      <c r="W921" s="257"/>
      <c r="X921" s="257"/>
      <c r="Y921" s="258"/>
      <c r="Z921" s="258"/>
      <c r="AA921" s="258"/>
      <c r="AB921" s="258"/>
      <c r="AC921" s="258"/>
      <c r="AD921" s="258"/>
      <c r="AE921" s="258"/>
      <c r="AF921" s="258"/>
      <c r="AG921" s="258"/>
      <c r="AH921" s="258"/>
      <c r="AI921" s="258"/>
      <c r="AJ921" s="258"/>
      <c r="AK921" s="258"/>
      <c r="AL921" s="258"/>
      <c r="AM921" s="258"/>
      <c r="AN921" s="258"/>
      <c r="AO921" s="258"/>
    </row>
    <row r="922" spans="1:41" s="259" customFormat="1" ht="36" customHeight="1" x14ac:dyDescent="0.25">
      <c r="A922" s="259">
        <v>1</v>
      </c>
      <c r="B922" s="135">
        <f>SUBTOTAL(103,$A$552:A922)</f>
        <v>328</v>
      </c>
      <c r="C922" s="94" t="s">
        <v>60</v>
      </c>
      <c r="D922" s="124">
        <v>1970</v>
      </c>
      <c r="E922" s="124"/>
      <c r="F922" s="129" t="s">
        <v>269</v>
      </c>
      <c r="G922" s="124">
        <v>5</v>
      </c>
      <c r="H922" s="124" t="s">
        <v>305</v>
      </c>
      <c r="I922" s="125">
        <v>2323.8000000000002</v>
      </c>
      <c r="J922" s="125">
        <v>2094.89</v>
      </c>
      <c r="K922" s="125">
        <v>1789.25</v>
      </c>
      <c r="L922" s="126">
        <v>79</v>
      </c>
      <c r="M922" s="124" t="s">
        <v>267</v>
      </c>
      <c r="N922" s="124" t="s">
        <v>271</v>
      </c>
      <c r="O922" s="127" t="s">
        <v>277</v>
      </c>
      <c r="P922" s="128">
        <v>3969553.4</v>
      </c>
      <c r="Q922" s="128">
        <v>0</v>
      </c>
      <c r="R922" s="128">
        <v>0</v>
      </c>
      <c r="S922" s="128">
        <f t="shared" ref="S922:S928" si="283">P922-Q922-R922</f>
        <v>3969553.4</v>
      </c>
      <c r="T922" s="128">
        <f t="shared" si="278"/>
        <v>1708.2164558051466</v>
      </c>
      <c r="U922" s="128">
        <v>1786.0857087529046</v>
      </c>
      <c r="V922" s="257">
        <f t="shared" si="275"/>
        <v>77.869252947758014</v>
      </c>
      <c r="W922" s="257">
        <f t="shared" ref="W922:W926" si="284">X922+Y922+Z922+AA922+AB922+AD922+AF922+AH922+AJ922+AL922+AN922+AO922</f>
        <v>1780.0143428866511</v>
      </c>
      <c r="X922" s="257">
        <v>0</v>
      </c>
      <c r="Y922" s="258">
        <v>0</v>
      </c>
      <c r="Z922" s="258">
        <v>0</v>
      </c>
      <c r="AA922" s="258">
        <v>0</v>
      </c>
      <c r="AB922" s="258">
        <v>0</v>
      </c>
      <c r="AC922" s="258">
        <v>0</v>
      </c>
      <c r="AD922" s="258">
        <v>0</v>
      </c>
      <c r="AE922" s="258">
        <v>663</v>
      </c>
      <c r="AF922" s="257">
        <f t="shared" ref="AF922:AF926" si="285">6238.91*AE922/I922</f>
        <v>1780.0143428866511</v>
      </c>
      <c r="AG922" s="258">
        <v>0</v>
      </c>
      <c r="AH922" s="257">
        <v>0</v>
      </c>
      <c r="AI922" s="258">
        <v>0</v>
      </c>
      <c r="AJ922" s="257">
        <v>0</v>
      </c>
      <c r="AK922" s="258">
        <v>0</v>
      </c>
      <c r="AL922" s="258">
        <v>0</v>
      </c>
      <c r="AM922" s="258">
        <v>0</v>
      </c>
      <c r="AN922" s="258"/>
      <c r="AO922" s="258">
        <v>0</v>
      </c>
    </row>
    <row r="923" spans="1:41" s="259" customFormat="1" ht="36" customHeight="1" x14ac:dyDescent="0.25">
      <c r="A923" s="259">
        <v>1</v>
      </c>
      <c r="B923" s="135">
        <f>SUBTOTAL(103,$A$552:A923)</f>
        <v>329</v>
      </c>
      <c r="C923" s="94" t="s">
        <v>61</v>
      </c>
      <c r="D923" s="124">
        <v>1972</v>
      </c>
      <c r="E923" s="124"/>
      <c r="F923" s="129" t="s">
        <v>269</v>
      </c>
      <c r="G923" s="124">
        <v>2</v>
      </c>
      <c r="H923" s="124" t="s">
        <v>305</v>
      </c>
      <c r="I923" s="125">
        <v>590.20000000000005</v>
      </c>
      <c r="J923" s="125">
        <v>590.20000000000005</v>
      </c>
      <c r="K923" s="125">
        <v>529.79999999999995</v>
      </c>
      <c r="L923" s="126">
        <v>36</v>
      </c>
      <c r="M923" s="124" t="s">
        <v>267</v>
      </c>
      <c r="N923" s="124" t="s">
        <v>268</v>
      </c>
      <c r="O923" s="127" t="s">
        <v>270</v>
      </c>
      <c r="P923" s="128">
        <v>3834770.5000000005</v>
      </c>
      <c r="Q923" s="128">
        <v>0</v>
      </c>
      <c r="R923" s="128">
        <v>0</v>
      </c>
      <c r="S923" s="128">
        <f t="shared" si="283"/>
        <v>3834770.5000000005</v>
      </c>
      <c r="T923" s="128">
        <f t="shared" si="278"/>
        <v>6497.4085055913256</v>
      </c>
      <c r="U923" s="128">
        <v>7000.5513385293116</v>
      </c>
      <c r="V923" s="257">
        <f t="shared" si="275"/>
        <v>503.14283293798599</v>
      </c>
      <c r="W923" s="257">
        <f t="shared" si="284"/>
        <v>6976.754659437478</v>
      </c>
      <c r="X923" s="257">
        <v>0</v>
      </c>
      <c r="Y923" s="258">
        <v>0</v>
      </c>
      <c r="Z923" s="258">
        <v>0</v>
      </c>
      <c r="AA923" s="258">
        <v>0</v>
      </c>
      <c r="AB923" s="258">
        <v>0</v>
      </c>
      <c r="AC923" s="258">
        <v>0</v>
      </c>
      <c r="AD923" s="258">
        <v>0</v>
      </c>
      <c r="AE923" s="258">
        <v>660</v>
      </c>
      <c r="AF923" s="257">
        <f t="shared" si="285"/>
        <v>6976.754659437478</v>
      </c>
      <c r="AG923" s="258">
        <v>0</v>
      </c>
      <c r="AH923" s="257">
        <v>0</v>
      </c>
      <c r="AI923" s="258">
        <v>0</v>
      </c>
      <c r="AJ923" s="257">
        <v>0</v>
      </c>
      <c r="AK923" s="258">
        <v>0</v>
      </c>
      <c r="AL923" s="258">
        <v>0</v>
      </c>
      <c r="AM923" s="258">
        <v>0</v>
      </c>
      <c r="AN923" s="258"/>
      <c r="AO923" s="258">
        <v>0</v>
      </c>
    </row>
    <row r="924" spans="1:41" s="259" customFormat="1" ht="36" customHeight="1" x14ac:dyDescent="0.25">
      <c r="A924" s="259">
        <v>1</v>
      </c>
      <c r="B924" s="135">
        <f>SUBTOTAL(103,$A$552:A924)</f>
        <v>330</v>
      </c>
      <c r="C924" s="94" t="s">
        <v>59</v>
      </c>
      <c r="D924" s="124">
        <v>1973</v>
      </c>
      <c r="E924" s="124"/>
      <c r="F924" s="129" t="s">
        <v>269</v>
      </c>
      <c r="G924" s="124">
        <v>2</v>
      </c>
      <c r="H924" s="124" t="s">
        <v>305</v>
      </c>
      <c r="I924" s="125">
        <v>701.7</v>
      </c>
      <c r="J924" s="125">
        <v>600.70000000000005</v>
      </c>
      <c r="K924" s="125">
        <v>482.5</v>
      </c>
      <c r="L924" s="126">
        <v>31</v>
      </c>
      <c r="M924" s="124" t="s">
        <v>267</v>
      </c>
      <c r="N924" s="124" t="s">
        <v>268</v>
      </c>
      <c r="O924" s="127" t="s">
        <v>270</v>
      </c>
      <c r="P924" s="128">
        <v>3291315.0500000003</v>
      </c>
      <c r="Q924" s="128">
        <v>0</v>
      </c>
      <c r="R924" s="128">
        <v>0</v>
      </c>
      <c r="S924" s="128">
        <f t="shared" si="283"/>
        <v>3291315.0500000003</v>
      </c>
      <c r="T924" s="128">
        <f t="shared" si="278"/>
        <v>4690.4874590280751</v>
      </c>
      <c r="U924" s="128">
        <v>5772.186019666523</v>
      </c>
      <c r="V924" s="257">
        <f t="shared" ref="V924:V925" si="286">U924-T924</f>
        <v>1081.6985606384478</v>
      </c>
      <c r="W924" s="257">
        <f t="shared" ref="W924:W925" si="287">X924+Y924+Z924+AA924+AB924+AD924+AF924+AH924+AJ924+AL924+AN924+AO924</f>
        <v>5752.5648710275045</v>
      </c>
      <c r="X924" s="257">
        <v>0</v>
      </c>
      <c r="Y924" s="258">
        <v>0</v>
      </c>
      <c r="Z924" s="258">
        <v>0</v>
      </c>
      <c r="AA924" s="258">
        <v>0</v>
      </c>
      <c r="AB924" s="258">
        <v>0</v>
      </c>
      <c r="AC924" s="258">
        <v>0</v>
      </c>
      <c r="AD924" s="258">
        <v>0</v>
      </c>
      <c r="AE924" s="258">
        <v>647</v>
      </c>
      <c r="AF924" s="257">
        <f t="shared" si="285"/>
        <v>5752.5648710275045</v>
      </c>
      <c r="AG924" s="258">
        <v>0</v>
      </c>
      <c r="AH924" s="257">
        <v>0</v>
      </c>
      <c r="AI924" s="258">
        <v>0</v>
      </c>
      <c r="AJ924" s="257">
        <v>0</v>
      </c>
      <c r="AK924" s="258">
        <v>0</v>
      </c>
      <c r="AL924" s="258">
        <v>0</v>
      </c>
      <c r="AM924" s="258">
        <v>0</v>
      </c>
      <c r="AN924" s="258"/>
      <c r="AO924" s="258">
        <v>0</v>
      </c>
    </row>
    <row r="925" spans="1:41" s="259" customFormat="1" ht="36" customHeight="1" x14ac:dyDescent="0.25">
      <c r="A925" s="259">
        <v>1</v>
      </c>
      <c r="B925" s="135">
        <f>SUBTOTAL(103,$A$552:A925)</f>
        <v>331</v>
      </c>
      <c r="C925" s="94" t="s">
        <v>62</v>
      </c>
      <c r="D925" s="124">
        <v>1982</v>
      </c>
      <c r="E925" s="124"/>
      <c r="F925" s="129" t="s">
        <v>269</v>
      </c>
      <c r="G925" s="124">
        <v>2</v>
      </c>
      <c r="H925" s="124" t="s">
        <v>305</v>
      </c>
      <c r="I925" s="125">
        <v>549.6</v>
      </c>
      <c r="J925" s="125">
        <v>502.6</v>
      </c>
      <c r="K925" s="125">
        <v>318.10000000000002</v>
      </c>
      <c r="L925" s="126">
        <v>28</v>
      </c>
      <c r="M925" s="124" t="s">
        <v>267</v>
      </c>
      <c r="N925" s="124" t="s">
        <v>268</v>
      </c>
      <c r="O925" s="127" t="s">
        <v>270</v>
      </c>
      <c r="P925" s="128">
        <v>2799929.1599999997</v>
      </c>
      <c r="Q925" s="128">
        <v>0</v>
      </c>
      <c r="R925" s="128">
        <v>0</v>
      </c>
      <c r="S925" s="128">
        <f t="shared" si="283"/>
        <v>2799929.1599999997</v>
      </c>
      <c r="T925" s="128">
        <f t="shared" si="278"/>
        <v>5094.4853711790383</v>
      </c>
      <c r="U925" s="128">
        <v>6107.5580021834057</v>
      </c>
      <c r="V925" s="257">
        <f t="shared" si="286"/>
        <v>1013.0726310043674</v>
      </c>
      <c r="W925" s="257">
        <f t="shared" si="287"/>
        <v>6086.7968377001462</v>
      </c>
      <c r="X925" s="257">
        <v>0</v>
      </c>
      <c r="Y925" s="258">
        <v>0</v>
      </c>
      <c r="Z925" s="258">
        <v>0</v>
      </c>
      <c r="AA925" s="258">
        <v>0</v>
      </c>
      <c r="AB925" s="258">
        <v>0</v>
      </c>
      <c r="AC925" s="258">
        <v>0</v>
      </c>
      <c r="AD925" s="258">
        <v>0</v>
      </c>
      <c r="AE925" s="258">
        <v>536.20000000000005</v>
      </c>
      <c r="AF925" s="257">
        <f t="shared" si="285"/>
        <v>6086.7968377001462</v>
      </c>
      <c r="AG925" s="258">
        <v>0</v>
      </c>
      <c r="AH925" s="257">
        <v>0</v>
      </c>
      <c r="AI925" s="258">
        <v>0</v>
      </c>
      <c r="AJ925" s="257">
        <v>0</v>
      </c>
      <c r="AK925" s="258">
        <v>0</v>
      </c>
      <c r="AL925" s="258">
        <v>0</v>
      </c>
      <c r="AM925" s="258">
        <v>0</v>
      </c>
      <c r="AN925" s="258"/>
      <c r="AO925" s="258">
        <v>0</v>
      </c>
    </row>
    <row r="926" spans="1:41" s="259" customFormat="1" ht="36" customHeight="1" x14ac:dyDescent="0.25">
      <c r="A926" s="259">
        <v>1</v>
      </c>
      <c r="B926" s="135">
        <f>SUBTOTAL(103,$A$552:A926)</f>
        <v>332</v>
      </c>
      <c r="C926" s="94" t="s">
        <v>58</v>
      </c>
      <c r="D926" s="124">
        <v>1970</v>
      </c>
      <c r="E926" s="124"/>
      <c r="F926" s="129" t="s">
        <v>269</v>
      </c>
      <c r="G926" s="124">
        <v>2</v>
      </c>
      <c r="H926" s="124" t="s">
        <v>305</v>
      </c>
      <c r="I926" s="125">
        <v>726.6</v>
      </c>
      <c r="J926" s="125">
        <v>665.68</v>
      </c>
      <c r="K926" s="125">
        <v>482.19</v>
      </c>
      <c r="L926" s="126">
        <v>33</v>
      </c>
      <c r="M926" s="124" t="s">
        <v>267</v>
      </c>
      <c r="N926" s="124" t="s">
        <v>268</v>
      </c>
      <c r="O926" s="127" t="s">
        <v>270</v>
      </c>
      <c r="P926" s="128">
        <v>3312780.06</v>
      </c>
      <c r="Q926" s="128">
        <v>0</v>
      </c>
      <c r="R926" s="128">
        <v>0</v>
      </c>
      <c r="S926" s="128">
        <f t="shared" si="283"/>
        <v>3312780.06</v>
      </c>
      <c r="T926" s="128">
        <f t="shared" si="278"/>
        <v>4559.2899256812552</v>
      </c>
      <c r="U926" s="128">
        <v>5610.5638976052851</v>
      </c>
      <c r="V926" s="257">
        <f t="shared" si="275"/>
        <v>1051.2739719240299</v>
      </c>
      <c r="W926" s="257">
        <f t="shared" si="284"/>
        <v>5555.429080649601</v>
      </c>
      <c r="X926" s="257">
        <v>0</v>
      </c>
      <c r="Y926" s="258">
        <v>0</v>
      </c>
      <c r="Z926" s="258">
        <v>0</v>
      </c>
      <c r="AA926" s="258">
        <v>0</v>
      </c>
      <c r="AB926" s="258">
        <v>0</v>
      </c>
      <c r="AC926" s="258">
        <v>0</v>
      </c>
      <c r="AD926" s="258">
        <v>0</v>
      </c>
      <c r="AE926" s="258">
        <v>647</v>
      </c>
      <c r="AF926" s="257">
        <f t="shared" si="285"/>
        <v>5555.429080649601</v>
      </c>
      <c r="AG926" s="258">
        <v>0</v>
      </c>
      <c r="AH926" s="257">
        <v>0</v>
      </c>
      <c r="AI926" s="258">
        <v>0</v>
      </c>
      <c r="AJ926" s="257">
        <v>0</v>
      </c>
      <c r="AK926" s="258">
        <v>0</v>
      </c>
      <c r="AL926" s="258">
        <v>0</v>
      </c>
      <c r="AM926" s="258">
        <v>0</v>
      </c>
      <c r="AN926" s="258"/>
      <c r="AO926" s="258">
        <v>0</v>
      </c>
    </row>
    <row r="927" spans="1:41" s="259" customFormat="1" ht="36" customHeight="1" x14ac:dyDescent="0.25">
      <c r="A927" s="259">
        <v>1</v>
      </c>
      <c r="B927" s="135">
        <f>SUBTOTAL(103,$A$552:A927)</f>
        <v>333</v>
      </c>
      <c r="C927" s="94" t="s">
        <v>1251</v>
      </c>
      <c r="D927" s="124">
        <v>1974</v>
      </c>
      <c r="E927" s="124"/>
      <c r="F927" s="129" t="s">
        <v>313</v>
      </c>
      <c r="G927" s="124">
        <v>5</v>
      </c>
      <c r="H927" s="124" t="s">
        <v>353</v>
      </c>
      <c r="I927" s="125">
        <v>3399.85</v>
      </c>
      <c r="J927" s="125">
        <v>3399.85</v>
      </c>
      <c r="K927" s="125">
        <v>2776.82</v>
      </c>
      <c r="L927" s="126">
        <v>166</v>
      </c>
      <c r="M927" s="124" t="s">
        <v>267</v>
      </c>
      <c r="N927" s="124" t="s">
        <v>271</v>
      </c>
      <c r="O927" s="127" t="s">
        <v>1308</v>
      </c>
      <c r="P927" s="128">
        <v>4373146.29</v>
      </c>
      <c r="Q927" s="128">
        <v>0</v>
      </c>
      <c r="R927" s="128">
        <v>0</v>
      </c>
      <c r="S927" s="128">
        <f t="shared" si="283"/>
        <v>4373146.29</v>
      </c>
      <c r="T927" s="128">
        <f t="shared" si="278"/>
        <v>1286.2762445402004</v>
      </c>
      <c r="U927" s="128">
        <v>6315.7463402797184</v>
      </c>
      <c r="V927" s="257">
        <f t="shared" ref="V927" si="288">U927-T927</f>
        <v>5029.470095739518</v>
      </c>
      <c r="W927" s="257">
        <f t="shared" ref="W927" si="289">X927+Y927+Z927+AA927+AB927+AD927+AF927+AH927+AJ927+AL927+AN927+AO927</f>
        <v>983.95621630366054</v>
      </c>
      <c r="X927" s="257">
        <v>0</v>
      </c>
      <c r="Y927" s="258">
        <v>0</v>
      </c>
      <c r="Z927" s="258">
        <v>0</v>
      </c>
      <c r="AA927" s="258">
        <v>0</v>
      </c>
      <c r="AB927" s="258">
        <v>0</v>
      </c>
      <c r="AC927" s="258">
        <v>0</v>
      </c>
      <c r="AD927" s="258">
        <v>0</v>
      </c>
      <c r="AE927" s="258">
        <v>536.20000000000005</v>
      </c>
      <c r="AF927" s="257">
        <f t="shared" ref="AF927" si="290">6238.91*AE927/I927</f>
        <v>983.95621630366054</v>
      </c>
      <c r="AG927" s="258">
        <v>0</v>
      </c>
      <c r="AH927" s="257">
        <v>0</v>
      </c>
      <c r="AI927" s="258">
        <v>0</v>
      </c>
      <c r="AJ927" s="257">
        <v>0</v>
      </c>
      <c r="AK927" s="258">
        <v>0</v>
      </c>
      <c r="AL927" s="258">
        <v>0</v>
      </c>
      <c r="AM927" s="258">
        <v>0</v>
      </c>
      <c r="AN927" s="258"/>
      <c r="AO927" s="258">
        <v>0</v>
      </c>
    </row>
    <row r="928" spans="1:41" s="259" customFormat="1" ht="36" customHeight="1" x14ac:dyDescent="0.25">
      <c r="A928" s="259">
        <v>1</v>
      </c>
      <c r="B928" s="135">
        <f>SUBTOTAL(103,$A$552:A928)</f>
        <v>334</v>
      </c>
      <c r="C928" s="94" t="s">
        <v>49</v>
      </c>
      <c r="D928" s="124">
        <v>1962</v>
      </c>
      <c r="E928" s="124"/>
      <c r="F928" s="129" t="s">
        <v>269</v>
      </c>
      <c r="G928" s="124">
        <v>4</v>
      </c>
      <c r="H928" s="124" t="s">
        <v>314</v>
      </c>
      <c r="I928" s="128">
        <v>1905.34</v>
      </c>
      <c r="J928" s="128">
        <v>1905.34</v>
      </c>
      <c r="K928" s="128">
        <v>1830.34</v>
      </c>
      <c r="L928" s="126">
        <v>101</v>
      </c>
      <c r="M928" s="124" t="s">
        <v>267</v>
      </c>
      <c r="N928" s="124" t="s">
        <v>268</v>
      </c>
      <c r="O928" s="127" t="s">
        <v>270</v>
      </c>
      <c r="P928" s="128">
        <v>5114026.3900000006</v>
      </c>
      <c r="Q928" s="128">
        <v>0</v>
      </c>
      <c r="R928" s="128">
        <v>0</v>
      </c>
      <c r="S928" s="128">
        <f t="shared" si="283"/>
        <v>5114026.3900000006</v>
      </c>
      <c r="T928" s="128">
        <f t="shared" si="278"/>
        <v>2684.0492458038989</v>
      </c>
      <c r="U928" s="128">
        <v>2946.8569446922857</v>
      </c>
      <c r="V928" s="257">
        <v>194.03382650865387</v>
      </c>
      <c r="W928" s="257">
        <v>2936.8398180902095</v>
      </c>
      <c r="X928" s="257">
        <v>0</v>
      </c>
      <c r="Y928" s="258">
        <v>0</v>
      </c>
      <c r="Z928" s="258">
        <v>0</v>
      </c>
      <c r="AA928" s="258">
        <v>0</v>
      </c>
      <c r="AB928" s="258">
        <v>0</v>
      </c>
      <c r="AC928" s="258">
        <v>0</v>
      </c>
      <c r="AD928" s="258">
        <v>0</v>
      </c>
      <c r="AE928" s="258">
        <v>896.9</v>
      </c>
      <c r="AF928" s="257">
        <v>2936.8398180902095</v>
      </c>
      <c r="AG928" s="258">
        <v>0</v>
      </c>
      <c r="AH928" s="257">
        <v>0</v>
      </c>
      <c r="AI928" s="258">
        <v>0</v>
      </c>
      <c r="AJ928" s="257">
        <v>0</v>
      </c>
      <c r="AK928" s="258">
        <v>0</v>
      </c>
      <c r="AL928" s="258">
        <v>0</v>
      </c>
      <c r="AM928" s="258">
        <v>0</v>
      </c>
      <c r="AN928" s="258"/>
      <c r="AO928" s="258">
        <v>0</v>
      </c>
    </row>
    <row r="929" spans="1:41" s="259" customFormat="1" ht="36" customHeight="1" x14ac:dyDescent="0.25">
      <c r="B929" s="94" t="s">
        <v>853</v>
      </c>
      <c r="C929" s="261"/>
      <c r="D929" s="124" t="s">
        <v>896</v>
      </c>
      <c r="E929" s="124" t="s">
        <v>896</v>
      </c>
      <c r="F929" s="124" t="s">
        <v>896</v>
      </c>
      <c r="G929" s="124" t="s">
        <v>896</v>
      </c>
      <c r="H929" s="124" t="s">
        <v>896</v>
      </c>
      <c r="I929" s="125">
        <f>SUM(I930:I932)</f>
        <v>4675.3</v>
      </c>
      <c r="J929" s="125">
        <f t="shared" ref="J929:L929" si="291">SUM(J930:J932)</f>
        <v>3635.9999999999995</v>
      </c>
      <c r="K929" s="125">
        <f t="shared" si="291"/>
        <v>3472.5999999999995</v>
      </c>
      <c r="L929" s="126">
        <f t="shared" si="291"/>
        <v>143</v>
      </c>
      <c r="M929" s="124" t="s">
        <v>896</v>
      </c>
      <c r="N929" s="124" t="s">
        <v>896</v>
      </c>
      <c r="O929" s="127" t="s">
        <v>896</v>
      </c>
      <c r="P929" s="128">
        <v>8165392.25</v>
      </c>
      <c r="Q929" s="128">
        <f t="shared" ref="Q929:S929" si="292">SUM(Q930:Q932)</f>
        <v>0</v>
      </c>
      <c r="R929" s="128">
        <f t="shared" si="292"/>
        <v>0</v>
      </c>
      <c r="S929" s="128">
        <f t="shared" si="292"/>
        <v>8165392.25</v>
      </c>
      <c r="T929" s="128">
        <f t="shared" si="278"/>
        <v>1746.4958933116591</v>
      </c>
      <c r="U929" s="128">
        <f>MAX(U930:U932)</f>
        <v>5841.2326254826248</v>
      </c>
      <c r="V929" s="257">
        <f t="shared" si="275"/>
        <v>4094.7367321709658</v>
      </c>
      <c r="W929" s="257"/>
      <c r="X929" s="257"/>
      <c r="Y929" s="258"/>
      <c r="Z929" s="258"/>
      <c r="AA929" s="258"/>
      <c r="AB929" s="258"/>
      <c r="AC929" s="258"/>
      <c r="AD929" s="258"/>
      <c r="AE929" s="258"/>
      <c r="AF929" s="258"/>
      <c r="AG929" s="258"/>
      <c r="AH929" s="258"/>
      <c r="AI929" s="258"/>
      <c r="AJ929" s="258"/>
      <c r="AK929" s="258"/>
      <c r="AL929" s="258"/>
      <c r="AM929" s="258"/>
      <c r="AN929" s="258"/>
      <c r="AO929" s="258"/>
    </row>
    <row r="930" spans="1:41" s="259" customFormat="1" ht="36" customHeight="1" x14ac:dyDescent="0.25">
      <c r="A930" s="259">
        <v>1</v>
      </c>
      <c r="B930" s="135">
        <f>SUBTOTAL(103,$A$552:A930)</f>
        <v>335</v>
      </c>
      <c r="C930" s="94" t="s">
        <v>230</v>
      </c>
      <c r="D930" s="124">
        <v>1988</v>
      </c>
      <c r="E930" s="124"/>
      <c r="F930" s="129" t="s">
        <v>269</v>
      </c>
      <c r="G930" s="124">
        <v>5</v>
      </c>
      <c r="H930" s="124" t="s">
        <v>310</v>
      </c>
      <c r="I930" s="125">
        <v>3662.2</v>
      </c>
      <c r="J930" s="125">
        <v>2766.2</v>
      </c>
      <c r="K930" s="125">
        <v>2766.2</v>
      </c>
      <c r="L930" s="126">
        <v>110</v>
      </c>
      <c r="M930" s="124" t="s">
        <v>267</v>
      </c>
      <c r="N930" s="124" t="s">
        <v>271</v>
      </c>
      <c r="O930" s="127" t="s">
        <v>707</v>
      </c>
      <c r="P930" s="128">
        <v>4231329.66</v>
      </c>
      <c r="Q930" s="128">
        <v>0</v>
      </c>
      <c r="R930" s="128">
        <v>0</v>
      </c>
      <c r="S930" s="128">
        <f>P930-Q930-R930</f>
        <v>4231329.66</v>
      </c>
      <c r="T930" s="128">
        <f t="shared" si="278"/>
        <v>1155.4064933646443</v>
      </c>
      <c r="U930" s="128">
        <v>1466.671132106384</v>
      </c>
      <c r="V930" s="257">
        <f t="shared" si="275"/>
        <v>311.26463874173965</v>
      </c>
      <c r="W930" s="257">
        <f t="shared" ref="W930:W932" si="293">X930+Y930+Z930+AA930+AB930+AD930+AF930+AH930+AJ930+AL930+AN930+AO930</f>
        <v>1461.6855387472012</v>
      </c>
      <c r="X930" s="257">
        <v>0</v>
      </c>
      <c r="Y930" s="258">
        <v>0</v>
      </c>
      <c r="Z930" s="258">
        <v>0</v>
      </c>
      <c r="AA930" s="258">
        <v>0</v>
      </c>
      <c r="AB930" s="258">
        <v>0</v>
      </c>
      <c r="AC930" s="258">
        <v>0</v>
      </c>
      <c r="AD930" s="258">
        <v>0</v>
      </c>
      <c r="AE930" s="258">
        <v>858</v>
      </c>
      <c r="AF930" s="257">
        <f>6238.91*AE930/I930</f>
        <v>1461.6855387472012</v>
      </c>
      <c r="AG930" s="258">
        <v>0</v>
      </c>
      <c r="AH930" s="257">
        <v>0</v>
      </c>
      <c r="AI930" s="258">
        <v>0</v>
      </c>
      <c r="AJ930" s="257">
        <v>0</v>
      </c>
      <c r="AK930" s="258">
        <v>0</v>
      </c>
      <c r="AL930" s="258">
        <v>0</v>
      </c>
      <c r="AM930" s="258">
        <v>0</v>
      </c>
      <c r="AN930" s="258"/>
      <c r="AO930" s="258">
        <v>0</v>
      </c>
    </row>
    <row r="931" spans="1:41" s="259" customFormat="1" ht="36" customHeight="1" x14ac:dyDescent="0.25">
      <c r="A931" s="259">
        <v>1</v>
      </c>
      <c r="B931" s="135">
        <f>SUBTOTAL(103,$A$552:A931)</f>
        <v>336</v>
      </c>
      <c r="C931" s="94" t="s">
        <v>229</v>
      </c>
      <c r="D931" s="124">
        <v>1966</v>
      </c>
      <c r="E931" s="124"/>
      <c r="F931" s="129" t="s">
        <v>269</v>
      </c>
      <c r="G931" s="124">
        <v>2</v>
      </c>
      <c r="H931" s="124" t="s">
        <v>306</v>
      </c>
      <c r="I931" s="125">
        <v>391.5</v>
      </c>
      <c r="J931" s="125">
        <v>367.2</v>
      </c>
      <c r="K931" s="125">
        <v>367.2</v>
      </c>
      <c r="L931" s="126">
        <v>8</v>
      </c>
      <c r="M931" s="124" t="s">
        <v>267</v>
      </c>
      <c r="N931" s="124" t="s">
        <v>271</v>
      </c>
      <c r="O931" s="127" t="s">
        <v>707</v>
      </c>
      <c r="P931" s="128">
        <v>1801521</v>
      </c>
      <c r="Q931" s="128">
        <v>0</v>
      </c>
      <c r="R931" s="128">
        <v>0</v>
      </c>
      <c r="S931" s="128">
        <f>P931-Q931-R931</f>
        <v>1801521</v>
      </c>
      <c r="T931" s="128">
        <f t="shared" si="278"/>
        <v>4601.5862068965516</v>
      </c>
      <c r="U931" s="128">
        <v>5516.6425287356315</v>
      </c>
      <c r="V931" s="257">
        <f t="shared" si="275"/>
        <v>915.05632183907983</v>
      </c>
      <c r="W931" s="257">
        <f t="shared" si="293"/>
        <v>5497.8900383141754</v>
      </c>
      <c r="X931" s="257">
        <v>0</v>
      </c>
      <c r="Y931" s="258">
        <v>0</v>
      </c>
      <c r="Z931" s="258">
        <v>0</v>
      </c>
      <c r="AA931" s="258">
        <v>0</v>
      </c>
      <c r="AB931" s="258">
        <v>0</v>
      </c>
      <c r="AC931" s="258">
        <v>0</v>
      </c>
      <c r="AD931" s="258">
        <v>0</v>
      </c>
      <c r="AE931" s="258">
        <v>345</v>
      </c>
      <c r="AF931" s="257">
        <f>6238.91*AE931/I931</f>
        <v>5497.8900383141754</v>
      </c>
      <c r="AG931" s="258">
        <v>0</v>
      </c>
      <c r="AH931" s="257">
        <v>0</v>
      </c>
      <c r="AI931" s="258">
        <v>0</v>
      </c>
      <c r="AJ931" s="257">
        <v>0</v>
      </c>
      <c r="AK931" s="258">
        <v>0</v>
      </c>
      <c r="AL931" s="258">
        <v>0</v>
      </c>
      <c r="AM931" s="258">
        <v>0</v>
      </c>
      <c r="AN931" s="258"/>
      <c r="AO931" s="258">
        <v>0</v>
      </c>
    </row>
    <row r="932" spans="1:41" s="259" customFormat="1" ht="36" customHeight="1" x14ac:dyDescent="0.25">
      <c r="A932" s="259">
        <v>1</v>
      </c>
      <c r="B932" s="135">
        <f>SUBTOTAL(103,$A$552:A932)</f>
        <v>337</v>
      </c>
      <c r="C932" s="94" t="s">
        <v>1925</v>
      </c>
      <c r="D932" s="124">
        <v>1987</v>
      </c>
      <c r="E932" s="124"/>
      <c r="F932" s="129" t="s">
        <v>269</v>
      </c>
      <c r="G932" s="124">
        <v>2</v>
      </c>
      <c r="H932" s="124" t="s">
        <v>305</v>
      </c>
      <c r="I932" s="125">
        <v>621.6</v>
      </c>
      <c r="J932" s="125">
        <v>502.6</v>
      </c>
      <c r="K932" s="125">
        <v>339.2</v>
      </c>
      <c r="L932" s="126">
        <v>25</v>
      </c>
      <c r="M932" s="124" t="s">
        <v>267</v>
      </c>
      <c r="N932" s="124" t="s">
        <v>268</v>
      </c>
      <c r="O932" s="127" t="s">
        <v>270</v>
      </c>
      <c r="P932" s="128">
        <v>2132541.59</v>
      </c>
      <c r="Q932" s="128">
        <v>0</v>
      </c>
      <c r="R932" s="128">
        <v>0</v>
      </c>
      <c r="S932" s="128">
        <f>P932-Q932-R932</f>
        <v>2132541.59</v>
      </c>
      <c r="T932" s="128">
        <f t="shared" si="278"/>
        <v>3430.7297136422135</v>
      </c>
      <c r="U932" s="128">
        <v>5841.2326254826248</v>
      </c>
      <c r="V932" s="257">
        <f t="shared" si="275"/>
        <v>2410.5029118404113</v>
      </c>
      <c r="W932" s="257">
        <f t="shared" si="293"/>
        <v>5821.3767696267687</v>
      </c>
      <c r="X932" s="257">
        <v>0</v>
      </c>
      <c r="Y932" s="258">
        <v>0</v>
      </c>
      <c r="Z932" s="258">
        <v>0</v>
      </c>
      <c r="AA932" s="258">
        <v>0</v>
      </c>
      <c r="AB932" s="258">
        <v>0</v>
      </c>
      <c r="AC932" s="258">
        <v>0</v>
      </c>
      <c r="AD932" s="258">
        <v>0</v>
      </c>
      <c r="AE932" s="258">
        <v>580</v>
      </c>
      <c r="AF932" s="257">
        <f>6238.91*AE932/I932</f>
        <v>5821.3767696267687</v>
      </c>
      <c r="AG932" s="258">
        <v>0</v>
      </c>
      <c r="AH932" s="257">
        <v>0</v>
      </c>
      <c r="AI932" s="258">
        <v>0</v>
      </c>
      <c r="AJ932" s="257">
        <v>0</v>
      </c>
      <c r="AK932" s="258">
        <v>0</v>
      </c>
      <c r="AL932" s="258">
        <v>0</v>
      </c>
      <c r="AM932" s="258">
        <v>0</v>
      </c>
      <c r="AN932" s="258"/>
      <c r="AO932" s="258">
        <v>0</v>
      </c>
    </row>
    <row r="933" spans="1:41" s="259" customFormat="1" ht="36" customHeight="1" x14ac:dyDescent="0.25">
      <c r="B933" s="94" t="s">
        <v>1295</v>
      </c>
      <c r="C933" s="261"/>
      <c r="D933" s="124" t="s">
        <v>896</v>
      </c>
      <c r="E933" s="124" t="s">
        <v>896</v>
      </c>
      <c r="F933" s="124" t="s">
        <v>896</v>
      </c>
      <c r="G933" s="124" t="s">
        <v>896</v>
      </c>
      <c r="H933" s="124" t="s">
        <v>896</v>
      </c>
      <c r="I933" s="125">
        <f>I934</f>
        <v>953.9</v>
      </c>
      <c r="J933" s="125">
        <f>J934</f>
        <v>865.7</v>
      </c>
      <c r="K933" s="125">
        <f>K934</f>
        <v>857.7</v>
      </c>
      <c r="L933" s="126">
        <f>L934</f>
        <v>28</v>
      </c>
      <c r="M933" s="124" t="s">
        <v>896</v>
      </c>
      <c r="N933" s="124" t="s">
        <v>896</v>
      </c>
      <c r="O933" s="127" t="s">
        <v>896</v>
      </c>
      <c r="P933" s="128">
        <v>4934808.43</v>
      </c>
      <c r="Q933" s="128">
        <f>Q934</f>
        <v>0</v>
      </c>
      <c r="R933" s="128">
        <f>R934</f>
        <v>0</v>
      </c>
      <c r="S933" s="128">
        <f>S934</f>
        <v>4934808.43</v>
      </c>
      <c r="T933" s="128">
        <f t="shared" si="278"/>
        <v>5173.2974420798828</v>
      </c>
      <c r="U933" s="128">
        <f>U934</f>
        <v>5173.2974420798828</v>
      </c>
      <c r="V933" s="257">
        <f t="shared" ref="V933" si="294">U933-T933</f>
        <v>0</v>
      </c>
      <c r="W933" s="257"/>
      <c r="X933" s="257"/>
      <c r="Y933" s="258"/>
      <c r="Z933" s="258"/>
      <c r="AA933" s="258"/>
      <c r="AB933" s="258"/>
      <c r="AC933" s="258"/>
      <c r="AD933" s="258"/>
      <c r="AE933" s="258"/>
      <c r="AF933" s="258"/>
      <c r="AG933" s="258"/>
      <c r="AH933" s="258"/>
      <c r="AI933" s="258"/>
      <c r="AJ933" s="258"/>
      <c r="AK933" s="258"/>
      <c r="AL933" s="258"/>
      <c r="AM933" s="258"/>
      <c r="AN933" s="258"/>
      <c r="AO933" s="258"/>
    </row>
    <row r="934" spans="1:41" s="259" customFormat="1" ht="36" customHeight="1" x14ac:dyDescent="0.25">
      <c r="A934" s="259">
        <v>1</v>
      </c>
      <c r="B934" s="135">
        <f>SUBTOTAL(103,$A$552:A934)</f>
        <v>338</v>
      </c>
      <c r="C934" s="94" t="s">
        <v>1296</v>
      </c>
      <c r="D934" s="124">
        <v>1984</v>
      </c>
      <c r="E934" s="124"/>
      <c r="F934" s="129" t="s">
        <v>269</v>
      </c>
      <c r="G934" s="124">
        <v>2</v>
      </c>
      <c r="H934" s="124" t="s">
        <v>314</v>
      </c>
      <c r="I934" s="125">
        <v>953.9</v>
      </c>
      <c r="J934" s="125">
        <v>865.7</v>
      </c>
      <c r="K934" s="125">
        <v>857.7</v>
      </c>
      <c r="L934" s="126">
        <v>28</v>
      </c>
      <c r="M934" s="124" t="s">
        <v>267</v>
      </c>
      <c r="N934" s="124" t="s">
        <v>268</v>
      </c>
      <c r="O934" s="127" t="s">
        <v>270</v>
      </c>
      <c r="P934" s="128">
        <v>4934808.43</v>
      </c>
      <c r="Q934" s="128">
        <v>0</v>
      </c>
      <c r="R934" s="128">
        <v>0</v>
      </c>
      <c r="S934" s="128">
        <f>P934-Q934-R934</f>
        <v>4934808.43</v>
      </c>
      <c r="T934" s="128">
        <f t="shared" si="278"/>
        <v>5173.2974420798828</v>
      </c>
      <c r="U934" s="128">
        <v>5173.2974420798828</v>
      </c>
      <c r="V934" s="257">
        <f>U934-T934</f>
        <v>0</v>
      </c>
      <c r="W934" s="257">
        <f>X934+Y934+Z934+AA934+AB934+AD934+AF934+AH934+AJ934+AL934+AN934+AO934</f>
        <v>2757.4370573435372</v>
      </c>
      <c r="X934" s="257">
        <v>0</v>
      </c>
      <c r="Y934" s="258">
        <v>0</v>
      </c>
      <c r="Z934" s="258">
        <v>0</v>
      </c>
      <c r="AA934" s="258">
        <v>0</v>
      </c>
      <c r="AB934" s="258">
        <v>795.31</v>
      </c>
      <c r="AC934" s="258">
        <v>0</v>
      </c>
      <c r="AD934" s="258">
        <v>0</v>
      </c>
      <c r="AE934" s="258">
        <v>300</v>
      </c>
      <c r="AF934" s="257">
        <f>6238.91*AE934/I934</f>
        <v>1962.1270573435372</v>
      </c>
      <c r="AG934" s="258">
        <v>0</v>
      </c>
      <c r="AH934" s="257">
        <v>0</v>
      </c>
      <c r="AI934" s="258">
        <v>0</v>
      </c>
      <c r="AJ934" s="257">
        <v>0</v>
      </c>
      <c r="AK934" s="258">
        <v>0</v>
      </c>
      <c r="AL934" s="258">
        <v>0</v>
      </c>
      <c r="AM934" s="258">
        <v>0</v>
      </c>
      <c r="AN934" s="258"/>
      <c r="AO934" s="258">
        <v>0</v>
      </c>
    </row>
    <row r="935" spans="1:41" s="259" customFormat="1" ht="36" customHeight="1" x14ac:dyDescent="0.25">
      <c r="B935" s="94" t="s">
        <v>855</v>
      </c>
      <c r="C935" s="261"/>
      <c r="D935" s="124" t="s">
        <v>896</v>
      </c>
      <c r="E935" s="124" t="s">
        <v>896</v>
      </c>
      <c r="F935" s="124" t="s">
        <v>896</v>
      </c>
      <c r="G935" s="124" t="s">
        <v>896</v>
      </c>
      <c r="H935" s="124" t="s">
        <v>896</v>
      </c>
      <c r="I935" s="125">
        <f>SUM(I936:I937)</f>
        <v>1991.7200000000003</v>
      </c>
      <c r="J935" s="125">
        <f t="shared" ref="J935:L935" si="295">SUM(J936:J937)</f>
        <v>1312.72</v>
      </c>
      <c r="K935" s="125">
        <f t="shared" si="295"/>
        <v>433.34000000000003</v>
      </c>
      <c r="L935" s="126">
        <f t="shared" si="295"/>
        <v>99</v>
      </c>
      <c r="M935" s="124" t="s">
        <v>896</v>
      </c>
      <c r="N935" s="124" t="s">
        <v>896</v>
      </c>
      <c r="O935" s="127" t="s">
        <v>896</v>
      </c>
      <c r="P935" s="128">
        <v>7040608.0200000005</v>
      </c>
      <c r="Q935" s="128">
        <f t="shared" ref="Q935:S935" si="296">SUM(Q936:Q937)</f>
        <v>0</v>
      </c>
      <c r="R935" s="128">
        <f t="shared" si="296"/>
        <v>0</v>
      </c>
      <c r="S935" s="128">
        <f t="shared" si="296"/>
        <v>7040608.0200000005</v>
      </c>
      <c r="T935" s="128">
        <f t="shared" si="278"/>
        <v>3534.938656035989</v>
      </c>
      <c r="U935" s="128">
        <f>MAX(U936:U937)</f>
        <v>4254.2877038178012</v>
      </c>
      <c r="V935" s="257">
        <f t="shared" si="275"/>
        <v>719.34904778181226</v>
      </c>
      <c r="W935" s="257"/>
      <c r="X935" s="257"/>
      <c r="Y935" s="258"/>
      <c r="Z935" s="258"/>
      <c r="AA935" s="258"/>
      <c r="AB935" s="258"/>
      <c r="AC935" s="258"/>
      <c r="AD935" s="258"/>
      <c r="AE935" s="258"/>
      <c r="AF935" s="258"/>
      <c r="AG935" s="258"/>
      <c r="AH935" s="258"/>
      <c r="AI935" s="258"/>
      <c r="AJ935" s="258"/>
      <c r="AK935" s="258"/>
      <c r="AL935" s="258"/>
      <c r="AM935" s="258"/>
      <c r="AN935" s="258"/>
      <c r="AO935" s="258"/>
    </row>
    <row r="936" spans="1:41" s="259" customFormat="1" ht="36" customHeight="1" x14ac:dyDescent="0.25">
      <c r="A936" s="259">
        <v>1</v>
      </c>
      <c r="B936" s="135">
        <f>SUBTOTAL(103,$A$552:A936)</f>
        <v>339</v>
      </c>
      <c r="C936" s="94" t="s">
        <v>150</v>
      </c>
      <c r="D936" s="124">
        <v>1968</v>
      </c>
      <c r="E936" s="124"/>
      <c r="F936" s="129" t="s">
        <v>269</v>
      </c>
      <c r="G936" s="124">
        <v>2</v>
      </c>
      <c r="H936" s="124" t="s">
        <v>306</v>
      </c>
      <c r="I936" s="125">
        <v>545.34</v>
      </c>
      <c r="J936" s="125">
        <v>316.54000000000002</v>
      </c>
      <c r="K936" s="125">
        <v>204.04</v>
      </c>
      <c r="L936" s="126">
        <v>21</v>
      </c>
      <c r="M936" s="124" t="s">
        <v>267</v>
      </c>
      <c r="N936" s="124" t="s">
        <v>271</v>
      </c>
      <c r="O936" s="127" t="s">
        <v>999</v>
      </c>
      <c r="P936" s="128">
        <v>1822040.62</v>
      </c>
      <c r="Q936" s="128">
        <v>0</v>
      </c>
      <c r="R936" s="128">
        <v>0</v>
      </c>
      <c r="S936" s="128">
        <f>P936-Q936-R936</f>
        <v>1822040.62</v>
      </c>
      <c r="T936" s="128">
        <f t="shared" si="278"/>
        <v>3341.1094363149596</v>
      </c>
      <c r="U936" s="128">
        <v>4254.2877038178012</v>
      </c>
      <c r="V936" s="257">
        <f>U936-T936</f>
        <v>913.17826750284166</v>
      </c>
      <c r="W936" s="257">
        <f>X936+Y936+Z936+AA936+AB936+AD936+AF936+AH936+AJ936+AL936+AN936+AO936</f>
        <v>4227.4312454615465</v>
      </c>
      <c r="X936" s="257">
        <v>0</v>
      </c>
      <c r="Y936" s="258">
        <v>0</v>
      </c>
      <c r="Z936" s="258">
        <v>0</v>
      </c>
      <c r="AA936" s="258">
        <v>0</v>
      </c>
      <c r="AB936" s="258">
        <v>795.31</v>
      </c>
      <c r="AC936" s="258">
        <v>0</v>
      </c>
      <c r="AD936" s="258">
        <v>0</v>
      </c>
      <c r="AE936" s="258">
        <v>300</v>
      </c>
      <c r="AF936" s="257">
        <f>6238.91*AE936/I936</f>
        <v>3432.1212454615466</v>
      </c>
      <c r="AG936" s="258">
        <v>0</v>
      </c>
      <c r="AH936" s="257">
        <v>0</v>
      </c>
      <c r="AI936" s="258">
        <v>0</v>
      </c>
      <c r="AJ936" s="257">
        <v>0</v>
      </c>
      <c r="AK936" s="258">
        <v>0</v>
      </c>
      <c r="AL936" s="258">
        <v>0</v>
      </c>
      <c r="AM936" s="258">
        <v>0</v>
      </c>
      <c r="AN936" s="258"/>
      <c r="AO936" s="258">
        <v>0</v>
      </c>
    </row>
    <row r="937" spans="1:41" s="259" customFormat="1" ht="36" customHeight="1" x14ac:dyDescent="0.25">
      <c r="A937" s="259">
        <v>1</v>
      </c>
      <c r="B937" s="135">
        <f>SUBTOTAL(103,$A$552:A937)</f>
        <v>340</v>
      </c>
      <c r="C937" s="94" t="s">
        <v>140</v>
      </c>
      <c r="D937" s="124">
        <v>1969</v>
      </c>
      <c r="E937" s="124"/>
      <c r="F937" s="129" t="s">
        <v>269</v>
      </c>
      <c r="G937" s="124">
        <v>2</v>
      </c>
      <c r="H937" s="124" t="s">
        <v>306</v>
      </c>
      <c r="I937" s="125">
        <v>1446.38</v>
      </c>
      <c r="J937" s="125">
        <v>996.18</v>
      </c>
      <c r="K937" s="125">
        <v>229.3</v>
      </c>
      <c r="L937" s="126">
        <v>78</v>
      </c>
      <c r="M937" s="124" t="s">
        <v>267</v>
      </c>
      <c r="N937" s="124" t="s">
        <v>271</v>
      </c>
      <c r="O937" s="127" t="s">
        <v>999</v>
      </c>
      <c r="P937" s="128">
        <v>5218567.4000000004</v>
      </c>
      <c r="Q937" s="128">
        <v>0</v>
      </c>
      <c r="R937" s="128">
        <v>0</v>
      </c>
      <c r="S937" s="128">
        <f>P937-Q937-R937</f>
        <v>5218567.4000000004</v>
      </c>
      <c r="T937" s="128">
        <f t="shared" si="278"/>
        <v>3608.0196075720073</v>
      </c>
      <c r="U937" s="128">
        <v>4241.6143751987711</v>
      </c>
      <c r="V937" s="257">
        <f>U937-T937</f>
        <v>633.59476762676377</v>
      </c>
      <c r="W937" s="257">
        <f>X937+Y937+Z937+AA937+AB937+AD937+AF937+AH937+AJ937+AL937+AN937+AO937</f>
        <v>2089.3496023175098</v>
      </c>
      <c r="X937" s="257">
        <v>0</v>
      </c>
      <c r="Y937" s="258">
        <v>0</v>
      </c>
      <c r="Z937" s="258">
        <v>0</v>
      </c>
      <c r="AA937" s="258">
        <v>0</v>
      </c>
      <c r="AB937" s="258">
        <v>795.31</v>
      </c>
      <c r="AC937" s="258">
        <v>0</v>
      </c>
      <c r="AD937" s="258">
        <v>0</v>
      </c>
      <c r="AE937" s="258">
        <v>300</v>
      </c>
      <c r="AF937" s="257">
        <f>6238.91*AE937/I937</f>
        <v>1294.0396023175099</v>
      </c>
      <c r="AG937" s="258">
        <v>0</v>
      </c>
      <c r="AH937" s="257">
        <v>0</v>
      </c>
      <c r="AI937" s="258">
        <v>0</v>
      </c>
      <c r="AJ937" s="257">
        <v>0</v>
      </c>
      <c r="AK937" s="258">
        <v>0</v>
      </c>
      <c r="AL937" s="258">
        <v>0</v>
      </c>
      <c r="AM937" s="258">
        <v>0</v>
      </c>
      <c r="AN937" s="258"/>
      <c r="AO937" s="258">
        <v>0</v>
      </c>
    </row>
    <row r="938" spans="1:41" s="259" customFormat="1" ht="36" customHeight="1" x14ac:dyDescent="0.25">
      <c r="B938" s="94" t="s">
        <v>883</v>
      </c>
      <c r="C938" s="94"/>
      <c r="D938" s="124" t="s">
        <v>896</v>
      </c>
      <c r="E938" s="124" t="s">
        <v>896</v>
      </c>
      <c r="F938" s="124" t="s">
        <v>896</v>
      </c>
      <c r="G938" s="124" t="s">
        <v>896</v>
      </c>
      <c r="H938" s="124" t="s">
        <v>896</v>
      </c>
      <c r="I938" s="125">
        <f>I939</f>
        <v>938.37</v>
      </c>
      <c r="J938" s="125">
        <f>J939</f>
        <v>938.37</v>
      </c>
      <c r="K938" s="125">
        <f>K939</f>
        <v>458.1</v>
      </c>
      <c r="L938" s="126">
        <f>L939</f>
        <v>47</v>
      </c>
      <c r="M938" s="124" t="s">
        <v>896</v>
      </c>
      <c r="N938" s="124" t="s">
        <v>896</v>
      </c>
      <c r="O938" s="127" t="s">
        <v>896</v>
      </c>
      <c r="P938" s="128">
        <v>3974620.0799999996</v>
      </c>
      <c r="Q938" s="128">
        <f>Q939</f>
        <v>0</v>
      </c>
      <c r="R938" s="128">
        <f>R939</f>
        <v>0</v>
      </c>
      <c r="S938" s="128">
        <f>S939</f>
        <v>3974620.0799999996</v>
      </c>
      <c r="T938" s="128">
        <f t="shared" si="278"/>
        <v>4235.6640557562578</v>
      </c>
      <c r="U938" s="128">
        <f>U939</f>
        <v>4403.1135914663964</v>
      </c>
      <c r="V938" s="257">
        <f t="shared" si="275"/>
        <v>167.44953571013866</v>
      </c>
      <c r="W938" s="257"/>
      <c r="X938" s="257"/>
      <c r="Y938" s="258"/>
      <c r="Z938" s="258"/>
      <c r="AA938" s="258"/>
      <c r="AB938" s="258"/>
      <c r="AC938" s="258"/>
      <c r="AD938" s="258"/>
      <c r="AE938" s="258"/>
      <c r="AF938" s="258"/>
      <c r="AG938" s="258"/>
      <c r="AH938" s="258"/>
      <c r="AI938" s="258"/>
      <c r="AJ938" s="258"/>
      <c r="AK938" s="258"/>
      <c r="AL938" s="258"/>
      <c r="AM938" s="258"/>
      <c r="AN938" s="258"/>
      <c r="AO938" s="258"/>
    </row>
    <row r="939" spans="1:41" s="259" customFormat="1" ht="36" customHeight="1" x14ac:dyDescent="0.25">
      <c r="A939" s="259">
        <v>1</v>
      </c>
      <c r="B939" s="135">
        <f>SUBTOTAL(103,$A$552:A939)</f>
        <v>341</v>
      </c>
      <c r="C939" s="94" t="s">
        <v>151</v>
      </c>
      <c r="D939" s="124">
        <v>1979</v>
      </c>
      <c r="E939" s="124"/>
      <c r="F939" s="129" t="s">
        <v>269</v>
      </c>
      <c r="G939" s="124">
        <v>2</v>
      </c>
      <c r="H939" s="124" t="s">
        <v>314</v>
      </c>
      <c r="I939" s="125">
        <v>938.37</v>
      </c>
      <c r="J939" s="125">
        <v>938.37</v>
      </c>
      <c r="K939" s="125">
        <v>458.1</v>
      </c>
      <c r="L939" s="126">
        <v>47</v>
      </c>
      <c r="M939" s="124" t="s">
        <v>267</v>
      </c>
      <c r="N939" s="124" t="s">
        <v>271</v>
      </c>
      <c r="O939" s="127" t="s">
        <v>290</v>
      </c>
      <c r="P939" s="128">
        <v>3974620.0799999996</v>
      </c>
      <c r="Q939" s="128">
        <v>0</v>
      </c>
      <c r="R939" s="128">
        <v>0</v>
      </c>
      <c r="S939" s="128">
        <f>P939-Q939-R939</f>
        <v>3974620.0799999996</v>
      </c>
      <c r="T939" s="128">
        <f t="shared" si="278"/>
        <v>4235.6640557562578</v>
      </c>
      <c r="U939" s="128">
        <v>4403.1135914663964</v>
      </c>
      <c r="V939" s="257">
        <f>U939-T939</f>
        <v>167.44953571013866</v>
      </c>
      <c r="W939" s="257">
        <f>X939+Y939+Z939+AA939+AB939+AD939+AF939+AH939+AJ939+AL939+AN939+AO939</f>
        <v>4388.1462730261565</v>
      </c>
      <c r="X939" s="257">
        <v>0</v>
      </c>
      <c r="Y939" s="258">
        <v>0</v>
      </c>
      <c r="Z939" s="258">
        <v>0</v>
      </c>
      <c r="AA939" s="258">
        <v>0</v>
      </c>
      <c r="AB939" s="258">
        <v>0</v>
      </c>
      <c r="AC939" s="258">
        <v>0</v>
      </c>
      <c r="AD939" s="258">
        <v>0</v>
      </c>
      <c r="AE939" s="258">
        <v>660.00388180300001</v>
      </c>
      <c r="AF939" s="257">
        <f>6238.91*AE939/I939</f>
        <v>4388.1462730261565</v>
      </c>
      <c r="AG939" s="258">
        <v>0</v>
      </c>
      <c r="AH939" s="257">
        <v>0</v>
      </c>
      <c r="AI939" s="258">
        <v>0</v>
      </c>
      <c r="AJ939" s="257">
        <v>0</v>
      </c>
      <c r="AK939" s="258">
        <v>0</v>
      </c>
      <c r="AL939" s="258">
        <v>0</v>
      </c>
      <c r="AM939" s="258">
        <v>0</v>
      </c>
      <c r="AN939" s="258"/>
      <c r="AO939" s="258">
        <v>0</v>
      </c>
    </row>
    <row r="940" spans="1:41" s="259" customFormat="1" ht="36" customHeight="1" x14ac:dyDescent="0.25">
      <c r="B940" s="94" t="s">
        <v>884</v>
      </c>
      <c r="C940" s="94"/>
      <c r="D940" s="124" t="s">
        <v>896</v>
      </c>
      <c r="E940" s="124" t="s">
        <v>896</v>
      </c>
      <c r="F940" s="124" t="s">
        <v>896</v>
      </c>
      <c r="G940" s="124" t="s">
        <v>896</v>
      </c>
      <c r="H940" s="124" t="s">
        <v>896</v>
      </c>
      <c r="I940" s="125">
        <f>I941</f>
        <v>1367.9</v>
      </c>
      <c r="J940" s="125">
        <f>J941</f>
        <v>926.7</v>
      </c>
      <c r="K940" s="125">
        <f>K941</f>
        <v>324.89999999999998</v>
      </c>
      <c r="L940" s="126">
        <f>L941</f>
        <v>78</v>
      </c>
      <c r="M940" s="124" t="s">
        <v>896</v>
      </c>
      <c r="N940" s="124" t="s">
        <v>896</v>
      </c>
      <c r="O940" s="127" t="s">
        <v>896</v>
      </c>
      <c r="P940" s="128">
        <v>2957808</v>
      </c>
      <c r="Q940" s="128">
        <f>Q941</f>
        <v>0</v>
      </c>
      <c r="R940" s="128">
        <f>R941</f>
        <v>0</v>
      </c>
      <c r="S940" s="128">
        <f>S941</f>
        <v>2957808</v>
      </c>
      <c r="T940" s="128">
        <f t="shared" si="278"/>
        <v>2162.2984136267269</v>
      </c>
      <c r="U940" s="128">
        <f>U941</f>
        <v>2745.8980919657865</v>
      </c>
      <c r="V940" s="257">
        <f t="shared" si="275"/>
        <v>583.59967833905966</v>
      </c>
      <c r="W940" s="257"/>
      <c r="X940" s="257"/>
      <c r="Y940" s="258"/>
      <c r="Z940" s="258"/>
      <c r="AA940" s="258"/>
      <c r="AB940" s="258"/>
      <c r="AC940" s="258"/>
      <c r="AD940" s="258"/>
      <c r="AE940" s="258"/>
      <c r="AF940" s="258"/>
      <c r="AG940" s="258"/>
      <c r="AH940" s="258"/>
      <c r="AI940" s="258"/>
      <c r="AJ940" s="258"/>
      <c r="AK940" s="258"/>
      <c r="AL940" s="258"/>
      <c r="AM940" s="258"/>
      <c r="AN940" s="258"/>
      <c r="AO940" s="258"/>
    </row>
    <row r="941" spans="1:41" s="259" customFormat="1" ht="36" customHeight="1" x14ac:dyDescent="0.25">
      <c r="A941" s="259">
        <v>1</v>
      </c>
      <c r="B941" s="135">
        <f>SUBTOTAL(103,$A$552:A941)</f>
        <v>342</v>
      </c>
      <c r="C941" s="94" t="s">
        <v>156</v>
      </c>
      <c r="D941" s="124">
        <v>1974</v>
      </c>
      <c r="E941" s="124"/>
      <c r="F941" s="129" t="s">
        <v>269</v>
      </c>
      <c r="G941" s="124">
        <v>2</v>
      </c>
      <c r="H941" s="124" t="s">
        <v>306</v>
      </c>
      <c r="I941" s="125">
        <v>1367.9</v>
      </c>
      <c r="J941" s="125">
        <v>926.7</v>
      </c>
      <c r="K941" s="125">
        <v>324.89999999999998</v>
      </c>
      <c r="L941" s="126">
        <v>78</v>
      </c>
      <c r="M941" s="124" t="s">
        <v>267</v>
      </c>
      <c r="N941" s="124" t="s">
        <v>271</v>
      </c>
      <c r="O941" s="127" t="s">
        <v>999</v>
      </c>
      <c r="P941" s="128">
        <v>2957808</v>
      </c>
      <c r="Q941" s="128">
        <v>0</v>
      </c>
      <c r="R941" s="128">
        <v>0</v>
      </c>
      <c r="S941" s="128">
        <f>P941-Q941-R941</f>
        <v>2957808</v>
      </c>
      <c r="T941" s="128">
        <f t="shared" si="278"/>
        <v>2162.2984136267269</v>
      </c>
      <c r="U941" s="128">
        <v>2745.8980919657865</v>
      </c>
      <c r="V941" s="257">
        <f>U941-T941</f>
        <v>583.59967833905966</v>
      </c>
      <c r="W941" s="257">
        <f>X941+Y941+Z941+AA941+AB941+AD941+AF941+AH941+AJ941+AL941+AN941+AO941</f>
        <v>2736.5640763213682</v>
      </c>
      <c r="X941" s="257">
        <v>0</v>
      </c>
      <c r="Y941" s="258">
        <v>0</v>
      </c>
      <c r="Z941" s="258">
        <v>0</v>
      </c>
      <c r="AA941" s="258">
        <v>0</v>
      </c>
      <c r="AB941" s="258">
        <v>0</v>
      </c>
      <c r="AC941" s="258">
        <v>0</v>
      </c>
      <c r="AD941" s="258">
        <v>0</v>
      </c>
      <c r="AE941" s="258">
        <v>600</v>
      </c>
      <c r="AF941" s="257">
        <f>6238.91*AE941/I941</f>
        <v>2736.5640763213682</v>
      </c>
      <c r="AG941" s="258">
        <v>0</v>
      </c>
      <c r="AH941" s="257">
        <v>0</v>
      </c>
      <c r="AI941" s="258">
        <v>0</v>
      </c>
      <c r="AJ941" s="257">
        <v>0</v>
      </c>
      <c r="AK941" s="258">
        <v>0</v>
      </c>
      <c r="AL941" s="258">
        <v>0</v>
      </c>
      <c r="AM941" s="258">
        <v>0</v>
      </c>
      <c r="AN941" s="258"/>
      <c r="AO941" s="258">
        <v>0</v>
      </c>
    </row>
    <row r="942" spans="1:41" s="259" customFormat="1" ht="36" customHeight="1" x14ac:dyDescent="0.25">
      <c r="B942" s="94" t="s">
        <v>856</v>
      </c>
      <c r="C942" s="94"/>
      <c r="D942" s="124" t="s">
        <v>896</v>
      </c>
      <c r="E942" s="124" t="s">
        <v>896</v>
      </c>
      <c r="F942" s="124" t="s">
        <v>896</v>
      </c>
      <c r="G942" s="124" t="s">
        <v>896</v>
      </c>
      <c r="H942" s="124" t="s">
        <v>896</v>
      </c>
      <c r="I942" s="125">
        <f>I943</f>
        <v>676.3</v>
      </c>
      <c r="J942" s="125">
        <f>J943</f>
        <v>633.29999999999995</v>
      </c>
      <c r="K942" s="125">
        <f>K943</f>
        <v>546.79</v>
      </c>
      <c r="L942" s="126">
        <f>L943</f>
        <v>32</v>
      </c>
      <c r="M942" s="124" t="s">
        <v>896</v>
      </c>
      <c r="N942" s="124" t="s">
        <v>896</v>
      </c>
      <c r="O942" s="127" t="s">
        <v>896</v>
      </c>
      <c r="P942" s="128">
        <v>2594808.33</v>
      </c>
      <c r="Q942" s="128">
        <f>Q943</f>
        <v>0</v>
      </c>
      <c r="R942" s="128">
        <f>R943</f>
        <v>0</v>
      </c>
      <c r="S942" s="128">
        <f>S943</f>
        <v>2594808.33</v>
      </c>
      <c r="T942" s="128">
        <f t="shared" si="278"/>
        <v>3836.7711518556857</v>
      </c>
      <c r="U942" s="128">
        <f>U943</f>
        <v>5823.2552200014361</v>
      </c>
      <c r="V942" s="257">
        <f t="shared" ref="V942" si="297">U942-T942</f>
        <v>1986.4840681457504</v>
      </c>
      <c r="W942" s="257"/>
      <c r="X942" s="257"/>
      <c r="Y942" s="258"/>
      <c r="Z942" s="258"/>
      <c r="AA942" s="258"/>
      <c r="AB942" s="258"/>
      <c r="AC942" s="258"/>
      <c r="AD942" s="258"/>
      <c r="AE942" s="258"/>
      <c r="AF942" s="258"/>
      <c r="AG942" s="258"/>
      <c r="AH942" s="258"/>
      <c r="AI942" s="258"/>
      <c r="AJ942" s="258"/>
      <c r="AK942" s="258"/>
      <c r="AL942" s="258"/>
      <c r="AM942" s="258"/>
      <c r="AN942" s="258"/>
      <c r="AO942" s="258"/>
    </row>
    <row r="943" spans="1:41" s="259" customFormat="1" ht="36" customHeight="1" x14ac:dyDescent="0.25">
      <c r="A943" s="259">
        <v>1</v>
      </c>
      <c r="B943" s="135">
        <f>SUBTOTAL(103,$A$552:A943)</f>
        <v>343</v>
      </c>
      <c r="C943" s="94" t="s">
        <v>145</v>
      </c>
      <c r="D943" s="124">
        <v>1965</v>
      </c>
      <c r="E943" s="124"/>
      <c r="F943" s="129" t="s">
        <v>269</v>
      </c>
      <c r="G943" s="124">
        <v>2</v>
      </c>
      <c r="H943" s="124" t="s">
        <v>305</v>
      </c>
      <c r="I943" s="125">
        <v>676.3</v>
      </c>
      <c r="J943" s="125">
        <v>633.29999999999995</v>
      </c>
      <c r="K943" s="125">
        <v>546.79</v>
      </c>
      <c r="L943" s="126">
        <v>32</v>
      </c>
      <c r="M943" s="124" t="s">
        <v>267</v>
      </c>
      <c r="N943" s="124" t="s">
        <v>271</v>
      </c>
      <c r="O943" s="127" t="s">
        <v>290</v>
      </c>
      <c r="P943" s="128">
        <v>2594808.33</v>
      </c>
      <c r="Q943" s="128">
        <v>0</v>
      </c>
      <c r="R943" s="128">
        <v>0</v>
      </c>
      <c r="S943" s="128">
        <f>P943-Q943-R943</f>
        <v>2594808.33</v>
      </c>
      <c r="T943" s="128">
        <f t="shared" si="278"/>
        <v>3836.7711518556857</v>
      </c>
      <c r="U943" s="128">
        <v>5823.2552200014361</v>
      </c>
      <c r="V943" s="257">
        <f>U943-T943</f>
        <v>1986.4840681457504</v>
      </c>
      <c r="W943" s="257">
        <f>X943+Y943+Z943+AA943+AB943+AD943+AF943+AH943+AJ943+AL943+AN943+AO943</f>
        <v>5535.0377051604319</v>
      </c>
      <c r="X943" s="257">
        <v>0</v>
      </c>
      <c r="Y943" s="258">
        <v>0</v>
      </c>
      <c r="Z943" s="258">
        <v>0</v>
      </c>
      <c r="AA943" s="258">
        <v>0</v>
      </c>
      <c r="AB943" s="258">
        <v>0</v>
      </c>
      <c r="AC943" s="258">
        <v>0</v>
      </c>
      <c r="AD943" s="258">
        <v>0</v>
      </c>
      <c r="AE943" s="258">
        <v>600</v>
      </c>
      <c r="AF943" s="257">
        <f>6238.91*AE943/I943</f>
        <v>5535.0377051604319</v>
      </c>
      <c r="AG943" s="258">
        <v>0</v>
      </c>
      <c r="AH943" s="257">
        <v>0</v>
      </c>
      <c r="AI943" s="258">
        <v>0</v>
      </c>
      <c r="AJ943" s="257">
        <v>0</v>
      </c>
      <c r="AK943" s="258">
        <v>0</v>
      </c>
      <c r="AL943" s="258">
        <v>0</v>
      </c>
      <c r="AM943" s="258">
        <v>0</v>
      </c>
      <c r="AN943" s="258"/>
      <c r="AO943" s="258">
        <v>0</v>
      </c>
    </row>
    <row r="944" spans="1:41" s="259" customFormat="1" ht="36" customHeight="1" x14ac:dyDescent="0.25">
      <c r="B944" s="94" t="s">
        <v>857</v>
      </c>
      <c r="C944" s="94"/>
      <c r="D944" s="124" t="s">
        <v>896</v>
      </c>
      <c r="E944" s="124" t="s">
        <v>896</v>
      </c>
      <c r="F944" s="124" t="s">
        <v>896</v>
      </c>
      <c r="G944" s="124" t="s">
        <v>896</v>
      </c>
      <c r="H944" s="124" t="s">
        <v>896</v>
      </c>
      <c r="I944" s="125">
        <f>SUM(I945:I947)</f>
        <v>4397.6899999999996</v>
      </c>
      <c r="J944" s="125">
        <f>SUM(J945:J947)</f>
        <v>4258.3</v>
      </c>
      <c r="K944" s="125">
        <f>SUM(K945:K947)</f>
        <v>2465.9899999999998</v>
      </c>
      <c r="L944" s="126">
        <f>SUM(L945:L947)</f>
        <v>167</v>
      </c>
      <c r="M944" s="124" t="s">
        <v>896</v>
      </c>
      <c r="N944" s="124" t="s">
        <v>896</v>
      </c>
      <c r="O944" s="127" t="s">
        <v>896</v>
      </c>
      <c r="P944" s="128">
        <v>11852193.1</v>
      </c>
      <c r="Q944" s="128">
        <f>SUM(Q945:Q947)</f>
        <v>0</v>
      </c>
      <c r="R944" s="128">
        <f>SUM(R945:R947)</f>
        <v>0</v>
      </c>
      <c r="S944" s="128">
        <f>SUM(S945:S947)</f>
        <v>11852193.1</v>
      </c>
      <c r="T944" s="128">
        <f t="shared" si="278"/>
        <v>2695.0951749668579</v>
      </c>
      <c r="U944" s="128">
        <f>MAX(U945:U947)</f>
        <v>4657.294181002243</v>
      </c>
      <c r="V944" s="257">
        <f t="shared" si="275"/>
        <v>1962.1990060353851</v>
      </c>
      <c r="W944" s="257"/>
      <c r="X944" s="257"/>
      <c r="Y944" s="258"/>
      <c r="Z944" s="258"/>
      <c r="AA944" s="258"/>
      <c r="AB944" s="258"/>
      <c r="AC944" s="258"/>
      <c r="AD944" s="258"/>
      <c r="AE944" s="258"/>
      <c r="AF944" s="258"/>
      <c r="AG944" s="258"/>
      <c r="AH944" s="258"/>
      <c r="AI944" s="258"/>
      <c r="AJ944" s="258"/>
      <c r="AK944" s="258"/>
      <c r="AL944" s="258"/>
      <c r="AM944" s="258"/>
      <c r="AN944" s="258"/>
      <c r="AO944" s="258"/>
    </row>
    <row r="945" spans="1:191" s="259" customFormat="1" ht="36" customHeight="1" x14ac:dyDescent="0.25">
      <c r="A945" s="259">
        <v>1</v>
      </c>
      <c r="B945" s="135">
        <f>SUBTOTAL(103,$A$552:A945)</f>
        <v>344</v>
      </c>
      <c r="C945" s="94" t="s">
        <v>155</v>
      </c>
      <c r="D945" s="124">
        <v>1970</v>
      </c>
      <c r="E945" s="124"/>
      <c r="F945" s="129" t="s">
        <v>269</v>
      </c>
      <c r="G945" s="124" t="s">
        <v>310</v>
      </c>
      <c r="H945" s="124" t="s">
        <v>314</v>
      </c>
      <c r="I945" s="125">
        <v>2208.39</v>
      </c>
      <c r="J945" s="125">
        <v>2171</v>
      </c>
      <c r="K945" s="125">
        <v>446.69</v>
      </c>
      <c r="L945" s="126">
        <v>73</v>
      </c>
      <c r="M945" s="124" t="s">
        <v>267</v>
      </c>
      <c r="N945" s="124" t="s">
        <v>271</v>
      </c>
      <c r="O945" s="127" t="s">
        <v>291</v>
      </c>
      <c r="P945" s="128">
        <v>4621140.71</v>
      </c>
      <c r="Q945" s="128">
        <v>0</v>
      </c>
      <c r="R945" s="128">
        <v>0</v>
      </c>
      <c r="S945" s="128">
        <f>P945-Q945-R945</f>
        <v>4621140.71</v>
      </c>
      <c r="T945" s="128">
        <f t="shared" si="278"/>
        <v>2092.5383242996031</v>
      </c>
      <c r="U945" s="128">
        <v>2225.2632687161235</v>
      </c>
      <c r="V945" s="257">
        <f>U945-T945</f>
        <v>132.72494441652043</v>
      </c>
      <c r="W945" s="257">
        <f>X945+Y945+Z945+AA945+AB945+AD945+AF945+AH945+AJ945+AL945+AN945+AO945</f>
        <v>2217.6990250816207</v>
      </c>
      <c r="X945" s="257">
        <v>0</v>
      </c>
      <c r="Y945" s="258">
        <v>0</v>
      </c>
      <c r="Z945" s="258">
        <v>0</v>
      </c>
      <c r="AA945" s="258">
        <v>0</v>
      </c>
      <c r="AB945" s="258">
        <v>0</v>
      </c>
      <c r="AC945" s="258">
        <v>0</v>
      </c>
      <c r="AD945" s="258">
        <v>0</v>
      </c>
      <c r="AE945" s="258">
        <v>785</v>
      </c>
      <c r="AF945" s="257">
        <f>6238.91*AE945/I945</f>
        <v>2217.6990250816207</v>
      </c>
      <c r="AG945" s="258">
        <v>0</v>
      </c>
      <c r="AH945" s="257">
        <v>0</v>
      </c>
      <c r="AI945" s="258">
        <v>0</v>
      </c>
      <c r="AJ945" s="257">
        <v>0</v>
      </c>
      <c r="AK945" s="258">
        <v>0</v>
      </c>
      <c r="AL945" s="258">
        <v>0</v>
      </c>
      <c r="AM945" s="258">
        <v>0</v>
      </c>
      <c r="AN945" s="258"/>
      <c r="AO945" s="258">
        <v>0</v>
      </c>
    </row>
    <row r="946" spans="1:191" s="259" customFormat="1" ht="36" customHeight="1" x14ac:dyDescent="0.25">
      <c r="A946" s="259">
        <v>1</v>
      </c>
      <c r="B946" s="135">
        <f>SUBTOTAL(103,$A$552:A946)</f>
        <v>345</v>
      </c>
      <c r="C946" s="94" t="s">
        <v>143</v>
      </c>
      <c r="D946" s="124">
        <v>1983</v>
      </c>
      <c r="E946" s="124"/>
      <c r="F946" s="129" t="s">
        <v>269</v>
      </c>
      <c r="G946" s="124">
        <v>3</v>
      </c>
      <c r="H946" s="124" t="s">
        <v>305</v>
      </c>
      <c r="I946" s="125">
        <v>1387.1</v>
      </c>
      <c r="J946" s="125">
        <v>1285.0999999999999</v>
      </c>
      <c r="K946" s="125">
        <v>1285.0999999999999</v>
      </c>
      <c r="L946" s="126">
        <v>58</v>
      </c>
      <c r="M946" s="124" t="s">
        <v>267</v>
      </c>
      <c r="N946" s="124" t="s">
        <v>271</v>
      </c>
      <c r="O946" s="127" t="s">
        <v>291</v>
      </c>
      <c r="P946" s="128">
        <v>4828153.3899999997</v>
      </c>
      <c r="Q946" s="128">
        <v>0</v>
      </c>
      <c r="R946" s="128">
        <v>0</v>
      </c>
      <c r="S946" s="128">
        <f>P946-Q946-R946</f>
        <v>4828153.3899999997</v>
      </c>
      <c r="T946" s="128">
        <f t="shared" si="278"/>
        <v>3480.7536515031361</v>
      </c>
      <c r="U946" s="128">
        <v>3480.7536515031361</v>
      </c>
      <c r="V946" s="257">
        <f>U946-T946</f>
        <v>0</v>
      </c>
      <c r="W946" s="257">
        <f>X946+Y946+Z946+AA946+AB946+AD946+AF946+AH946+AJ946+AL946+AN946+AO946</f>
        <v>3530.7795760940089</v>
      </c>
      <c r="X946" s="257">
        <v>0</v>
      </c>
      <c r="Y946" s="258">
        <v>0</v>
      </c>
      <c r="Z946" s="258">
        <v>0</v>
      </c>
      <c r="AA946" s="258">
        <v>0</v>
      </c>
      <c r="AB946" s="258">
        <v>0</v>
      </c>
      <c r="AC946" s="258">
        <v>0</v>
      </c>
      <c r="AD946" s="258">
        <v>0</v>
      </c>
      <c r="AE946" s="258">
        <v>785</v>
      </c>
      <c r="AF946" s="257">
        <f>6238.91*AE946/I946</f>
        <v>3530.7795760940089</v>
      </c>
      <c r="AG946" s="258">
        <v>0</v>
      </c>
      <c r="AH946" s="257">
        <v>0</v>
      </c>
      <c r="AI946" s="258">
        <v>0</v>
      </c>
      <c r="AJ946" s="257">
        <v>0</v>
      </c>
      <c r="AK946" s="258">
        <v>0</v>
      </c>
      <c r="AL946" s="258">
        <v>0</v>
      </c>
      <c r="AM946" s="258">
        <v>0</v>
      </c>
      <c r="AN946" s="258"/>
      <c r="AO946" s="258">
        <v>0</v>
      </c>
    </row>
    <row r="947" spans="1:191" s="259" customFormat="1" ht="36" customHeight="1" x14ac:dyDescent="0.25">
      <c r="A947" s="259">
        <v>1</v>
      </c>
      <c r="B947" s="135">
        <f>SUBTOTAL(103,$A$552:A947)</f>
        <v>346</v>
      </c>
      <c r="C947" s="94" t="s">
        <v>1302</v>
      </c>
      <c r="D947" s="124">
        <v>1974</v>
      </c>
      <c r="E947" s="124"/>
      <c r="F947" s="129" t="s">
        <v>269</v>
      </c>
      <c r="G947" s="124">
        <v>2</v>
      </c>
      <c r="H947" s="124" t="s">
        <v>305</v>
      </c>
      <c r="I947" s="125">
        <v>802.2</v>
      </c>
      <c r="J947" s="125">
        <v>802.2</v>
      </c>
      <c r="K947" s="125">
        <v>734.2</v>
      </c>
      <c r="L947" s="126">
        <v>36</v>
      </c>
      <c r="M947" s="124" t="s">
        <v>267</v>
      </c>
      <c r="N947" s="124" t="s">
        <v>268</v>
      </c>
      <c r="O947" s="127" t="s">
        <v>270</v>
      </c>
      <c r="P947" s="128">
        <v>2402899</v>
      </c>
      <c r="Q947" s="128">
        <v>0</v>
      </c>
      <c r="R947" s="128">
        <v>0</v>
      </c>
      <c r="S947" s="128">
        <f>P947-Q947-R947</f>
        <v>2402899</v>
      </c>
      <c r="T947" s="128">
        <f t="shared" si="278"/>
        <v>2995.3864372974317</v>
      </c>
      <c r="U947" s="128">
        <v>4657.294181002243</v>
      </c>
      <c r="V947" s="257">
        <f>U947-T947</f>
        <v>1661.9077437048113</v>
      </c>
      <c r="W947" s="257">
        <f>X947+Y947+Z947+AA947+AB947+AD947+AF947+AH947+AJ947+AL947+AN947+AO947</f>
        <v>6105.141298927947</v>
      </c>
      <c r="X947" s="257">
        <v>0</v>
      </c>
      <c r="Y947" s="258">
        <v>0</v>
      </c>
      <c r="Z947" s="258">
        <v>0</v>
      </c>
      <c r="AA947" s="258">
        <v>0</v>
      </c>
      <c r="AB947" s="258">
        <v>0</v>
      </c>
      <c r="AC947" s="258">
        <v>0</v>
      </c>
      <c r="AD947" s="258">
        <v>0</v>
      </c>
      <c r="AE947" s="258">
        <v>785</v>
      </c>
      <c r="AF947" s="257">
        <f>6238.91*AE947/I947</f>
        <v>6105.141298927947</v>
      </c>
      <c r="AG947" s="258">
        <v>0</v>
      </c>
      <c r="AH947" s="257">
        <v>0</v>
      </c>
      <c r="AI947" s="258">
        <v>0</v>
      </c>
      <c r="AJ947" s="257">
        <v>0</v>
      </c>
      <c r="AK947" s="258">
        <v>0</v>
      </c>
      <c r="AL947" s="258">
        <v>0</v>
      </c>
      <c r="AM947" s="258">
        <v>0</v>
      </c>
      <c r="AN947" s="258"/>
      <c r="AO947" s="258">
        <v>0</v>
      </c>
    </row>
    <row r="948" spans="1:191" s="259" customFormat="1" ht="36" customHeight="1" x14ac:dyDescent="0.25">
      <c r="B948" s="94" t="s">
        <v>858</v>
      </c>
      <c r="C948" s="94"/>
      <c r="D948" s="124" t="s">
        <v>896</v>
      </c>
      <c r="E948" s="124" t="s">
        <v>896</v>
      </c>
      <c r="F948" s="124" t="s">
        <v>896</v>
      </c>
      <c r="G948" s="124" t="s">
        <v>896</v>
      </c>
      <c r="H948" s="124" t="s">
        <v>896</v>
      </c>
      <c r="I948" s="125">
        <f>SUM(I949:I953)</f>
        <v>8018.76</v>
      </c>
      <c r="J948" s="125">
        <f t="shared" ref="J948:L948" si="298">SUM(J949:J953)</f>
        <v>6785.5800000000008</v>
      </c>
      <c r="K948" s="125">
        <f t="shared" si="298"/>
        <v>6268.3200000000006</v>
      </c>
      <c r="L948" s="126">
        <f t="shared" si="298"/>
        <v>440</v>
      </c>
      <c r="M948" s="124" t="s">
        <v>896</v>
      </c>
      <c r="N948" s="124" t="s">
        <v>896</v>
      </c>
      <c r="O948" s="127" t="s">
        <v>896</v>
      </c>
      <c r="P948" s="125">
        <v>17164297.239999998</v>
      </c>
      <c r="Q948" s="125">
        <f t="shared" ref="Q948:S948" si="299">SUM(Q949:Q953)</f>
        <v>0</v>
      </c>
      <c r="R948" s="125">
        <f t="shared" si="299"/>
        <v>0</v>
      </c>
      <c r="S948" s="125">
        <f t="shared" si="299"/>
        <v>17164297.239999998</v>
      </c>
      <c r="T948" s="128">
        <f t="shared" si="278"/>
        <v>2140.517641131546</v>
      </c>
      <c r="U948" s="128">
        <f>MAX(U949:U953)</f>
        <v>6817.9333935018049</v>
      </c>
      <c r="V948" s="257">
        <f t="shared" si="275"/>
        <v>4677.4157523702588</v>
      </c>
      <c r="W948" s="257"/>
      <c r="X948" s="257"/>
      <c r="Y948" s="258"/>
      <c r="Z948" s="258"/>
      <c r="AA948" s="258"/>
      <c r="AB948" s="258"/>
      <c r="AC948" s="258"/>
      <c r="AD948" s="258"/>
      <c r="AE948" s="258"/>
      <c r="AF948" s="258"/>
      <c r="AG948" s="258"/>
      <c r="AH948" s="258"/>
      <c r="AI948" s="258"/>
      <c r="AJ948" s="258"/>
      <c r="AK948" s="258"/>
      <c r="AL948" s="258"/>
      <c r="AM948" s="258"/>
      <c r="AN948" s="258"/>
      <c r="AO948" s="258"/>
    </row>
    <row r="949" spans="1:191" s="259" customFormat="1" ht="36" customHeight="1" x14ac:dyDescent="0.25">
      <c r="A949" s="259">
        <v>1</v>
      </c>
      <c r="B949" s="135">
        <f>SUBTOTAL(103,$A$552:A949)</f>
        <v>347</v>
      </c>
      <c r="C949" s="94" t="s">
        <v>154</v>
      </c>
      <c r="D949" s="124">
        <v>1978</v>
      </c>
      <c r="E949" s="124"/>
      <c r="F949" s="129" t="s">
        <v>269</v>
      </c>
      <c r="G949" s="124">
        <v>2</v>
      </c>
      <c r="H949" s="124" t="s">
        <v>305</v>
      </c>
      <c r="I949" s="125">
        <v>1501</v>
      </c>
      <c r="J949" s="125">
        <v>739.5</v>
      </c>
      <c r="K949" s="125">
        <v>358.85</v>
      </c>
      <c r="L949" s="126">
        <v>42</v>
      </c>
      <c r="M949" s="124" t="s">
        <v>267</v>
      </c>
      <c r="N949" s="124" t="s">
        <v>271</v>
      </c>
      <c r="O949" s="127" t="s">
        <v>296</v>
      </c>
      <c r="P949" s="128">
        <v>3145116.58</v>
      </c>
      <c r="Q949" s="128">
        <v>0</v>
      </c>
      <c r="R949" s="128">
        <v>0</v>
      </c>
      <c r="S949" s="128">
        <f>P949-Q949-R949</f>
        <v>3145116.58</v>
      </c>
      <c r="T949" s="128">
        <f t="shared" si="278"/>
        <v>2095.3474883411059</v>
      </c>
      <c r="U949" s="128">
        <v>2512.021144536975</v>
      </c>
      <c r="V949" s="257">
        <f>U949-T949</f>
        <v>416.67365619586917</v>
      </c>
      <c r="W949" s="257">
        <f>X949+Y949+Z949+AA949+AB949+AD949+AF949+AH949+AJ949+AL949+AN949+AO949</f>
        <v>3262.8543304463687</v>
      </c>
      <c r="X949" s="257">
        <v>0</v>
      </c>
      <c r="Y949" s="258">
        <v>0</v>
      </c>
      <c r="Z949" s="258">
        <v>0</v>
      </c>
      <c r="AA949" s="258">
        <v>0</v>
      </c>
      <c r="AB949" s="258">
        <v>0</v>
      </c>
      <c r="AC949" s="258">
        <v>0</v>
      </c>
      <c r="AD949" s="258">
        <v>0</v>
      </c>
      <c r="AE949" s="258">
        <v>785</v>
      </c>
      <c r="AF949" s="257">
        <f>6238.91*AE949/I949</f>
        <v>3262.8543304463687</v>
      </c>
      <c r="AG949" s="258">
        <v>0</v>
      </c>
      <c r="AH949" s="257">
        <v>0</v>
      </c>
      <c r="AI949" s="258">
        <v>0</v>
      </c>
      <c r="AJ949" s="257">
        <v>0</v>
      </c>
      <c r="AK949" s="258">
        <v>0</v>
      </c>
      <c r="AL949" s="258">
        <v>0</v>
      </c>
      <c r="AM949" s="258">
        <v>0</v>
      </c>
      <c r="AN949" s="258"/>
      <c r="AO949" s="258">
        <v>0</v>
      </c>
    </row>
    <row r="950" spans="1:191" s="259" customFormat="1" ht="36" customHeight="1" x14ac:dyDescent="0.25">
      <c r="A950" s="259">
        <v>1</v>
      </c>
      <c r="B950" s="135">
        <f>SUBTOTAL(103,$A$552:A950)</f>
        <v>348</v>
      </c>
      <c r="C950" s="94" t="s">
        <v>1260</v>
      </c>
      <c r="D950" s="124">
        <v>1964</v>
      </c>
      <c r="E950" s="124"/>
      <c r="F950" s="129" t="s">
        <v>269</v>
      </c>
      <c r="G950" s="124">
        <v>2</v>
      </c>
      <c r="H950" s="124" t="s">
        <v>310</v>
      </c>
      <c r="I950" s="125">
        <v>768.3</v>
      </c>
      <c r="J950" s="125">
        <v>297</v>
      </c>
      <c r="K950" s="125">
        <v>253.5</v>
      </c>
      <c r="L950" s="126">
        <v>80</v>
      </c>
      <c r="M950" s="124" t="s">
        <v>267</v>
      </c>
      <c r="N950" s="124" t="s">
        <v>271</v>
      </c>
      <c r="O950" s="127" t="s">
        <v>290</v>
      </c>
      <c r="P950" s="128">
        <v>506000</v>
      </c>
      <c r="Q950" s="128">
        <v>0</v>
      </c>
      <c r="R950" s="128">
        <v>0</v>
      </c>
      <c r="S950" s="128">
        <f>P950-Q950-R950</f>
        <v>506000</v>
      </c>
      <c r="T950" s="128">
        <f t="shared" si="278"/>
        <v>658.5969022517246</v>
      </c>
      <c r="U950" s="128">
        <v>658.5969022517246</v>
      </c>
      <c r="V950" s="257">
        <f>U950-T950</f>
        <v>0</v>
      </c>
      <c r="W950" s="257">
        <f>X950+Y950+Z950+AA950+AB950+AD950+AF950+AH950+AJ950+AL950+AN950+AO950</f>
        <v>6374.5208251984905</v>
      </c>
      <c r="X950" s="257">
        <v>0</v>
      </c>
      <c r="Y950" s="258">
        <v>0</v>
      </c>
      <c r="Z950" s="258">
        <v>0</v>
      </c>
      <c r="AA950" s="258">
        <v>0</v>
      </c>
      <c r="AB950" s="258">
        <v>0</v>
      </c>
      <c r="AC950" s="258">
        <v>0</v>
      </c>
      <c r="AD950" s="258">
        <v>0</v>
      </c>
      <c r="AE950" s="258">
        <v>785</v>
      </c>
      <c r="AF950" s="257">
        <f>6238.91*AE950/I950</f>
        <v>6374.5208251984905</v>
      </c>
      <c r="AG950" s="258">
        <v>0</v>
      </c>
      <c r="AH950" s="257">
        <v>0</v>
      </c>
      <c r="AI950" s="258">
        <v>0</v>
      </c>
      <c r="AJ950" s="257">
        <v>0</v>
      </c>
      <c r="AK950" s="258">
        <v>0</v>
      </c>
      <c r="AL950" s="258">
        <v>0</v>
      </c>
      <c r="AM950" s="258">
        <v>0</v>
      </c>
      <c r="AN950" s="258"/>
      <c r="AO950" s="258">
        <v>0</v>
      </c>
    </row>
    <row r="951" spans="1:191" s="259" customFormat="1" ht="36" customHeight="1" x14ac:dyDescent="0.25">
      <c r="A951" s="259">
        <v>1</v>
      </c>
      <c r="B951" s="135">
        <f>SUBTOTAL(103,$A$552:A951)</f>
        <v>349</v>
      </c>
      <c r="C951" s="94" t="s">
        <v>1288</v>
      </c>
      <c r="D951" s="124">
        <v>1958</v>
      </c>
      <c r="E951" s="124"/>
      <c r="F951" s="129" t="s">
        <v>269</v>
      </c>
      <c r="G951" s="124">
        <v>2</v>
      </c>
      <c r="H951" s="124" t="s">
        <v>305</v>
      </c>
      <c r="I951" s="125">
        <v>554</v>
      </c>
      <c r="J951" s="125">
        <v>554</v>
      </c>
      <c r="K951" s="125">
        <v>521.69000000000005</v>
      </c>
      <c r="L951" s="126">
        <v>30</v>
      </c>
      <c r="M951" s="124" t="s">
        <v>267</v>
      </c>
      <c r="N951" s="124" t="s">
        <v>271</v>
      </c>
      <c r="O951" s="127" t="s">
        <v>290</v>
      </c>
      <c r="P951" s="128">
        <v>3777135.1</v>
      </c>
      <c r="Q951" s="128">
        <v>0</v>
      </c>
      <c r="R951" s="128">
        <v>0</v>
      </c>
      <c r="S951" s="128">
        <f>P951-Q951-R951</f>
        <v>3777135.1</v>
      </c>
      <c r="T951" s="128">
        <f t="shared" si="278"/>
        <v>6817.9333935018049</v>
      </c>
      <c r="U951" s="128">
        <v>6817.9333935018049</v>
      </c>
      <c r="V951" s="257">
        <f>U951-T951</f>
        <v>0</v>
      </c>
      <c r="W951" s="257">
        <f>X951+Y951+Z951+AA951+AB951+AD951+AF951+AH951+AJ951+AL951+AN951+AO951</f>
        <v>8840.3327617328505</v>
      </c>
      <c r="X951" s="257">
        <v>0</v>
      </c>
      <c r="Y951" s="258">
        <v>0</v>
      </c>
      <c r="Z951" s="258">
        <v>0</v>
      </c>
      <c r="AA951" s="258">
        <v>0</v>
      </c>
      <c r="AB951" s="258">
        <v>0</v>
      </c>
      <c r="AC951" s="258">
        <v>0</v>
      </c>
      <c r="AD951" s="258">
        <v>0</v>
      </c>
      <c r="AE951" s="258">
        <v>785</v>
      </c>
      <c r="AF951" s="257">
        <f>6238.91*AE951/I951</f>
        <v>8840.3327617328505</v>
      </c>
      <c r="AG951" s="258">
        <v>0</v>
      </c>
      <c r="AH951" s="257">
        <v>0</v>
      </c>
      <c r="AI951" s="258">
        <v>0</v>
      </c>
      <c r="AJ951" s="257">
        <v>0</v>
      </c>
      <c r="AK951" s="258">
        <v>0</v>
      </c>
      <c r="AL951" s="258">
        <v>0</v>
      </c>
      <c r="AM951" s="258">
        <v>0</v>
      </c>
      <c r="AN951" s="258"/>
      <c r="AO951" s="258">
        <v>0</v>
      </c>
    </row>
    <row r="952" spans="1:191" s="259" customFormat="1" ht="36" customHeight="1" x14ac:dyDescent="0.25">
      <c r="A952" s="259">
        <v>1</v>
      </c>
      <c r="B952" s="135">
        <f>SUBTOTAL(103,$A$552:A952)</f>
        <v>350</v>
      </c>
      <c r="C952" s="94" t="s">
        <v>1289</v>
      </c>
      <c r="D952" s="124">
        <v>1973</v>
      </c>
      <c r="E952" s="124"/>
      <c r="F952" s="129" t="s">
        <v>269</v>
      </c>
      <c r="G952" s="124">
        <v>5</v>
      </c>
      <c r="H952" s="124" t="s">
        <v>314</v>
      </c>
      <c r="I952" s="125">
        <v>3131.46</v>
      </c>
      <c r="J952" s="125">
        <v>3131.28</v>
      </c>
      <c r="K952" s="125">
        <v>3070.48</v>
      </c>
      <c r="L952" s="126">
        <v>208</v>
      </c>
      <c r="M952" s="124" t="s">
        <v>267</v>
      </c>
      <c r="N952" s="124" t="s">
        <v>271</v>
      </c>
      <c r="O952" s="127" t="s">
        <v>1361</v>
      </c>
      <c r="P952" s="128">
        <v>4895345</v>
      </c>
      <c r="Q952" s="128">
        <v>0</v>
      </c>
      <c r="R952" s="128">
        <v>0</v>
      </c>
      <c r="S952" s="128">
        <f>P952-Q952-R952</f>
        <v>4895345</v>
      </c>
      <c r="T952" s="128">
        <f t="shared" si="278"/>
        <v>1563.2787900851361</v>
      </c>
      <c r="U952" s="128">
        <v>1915.1648176888734</v>
      </c>
      <c r="V952" s="257">
        <f>U952-T952</f>
        <v>351.88602760373738</v>
      </c>
      <c r="W952" s="257">
        <f>X952+Y952+Z952+AA952+AB952+AD952+AF952+AH952+AJ952+AL952+AN952+AO952</f>
        <v>1563.9811302076346</v>
      </c>
      <c r="X952" s="257">
        <v>0</v>
      </c>
      <c r="Y952" s="258">
        <v>0</v>
      </c>
      <c r="Z952" s="258">
        <v>0</v>
      </c>
      <c r="AA952" s="258">
        <v>0</v>
      </c>
      <c r="AB952" s="258">
        <v>0</v>
      </c>
      <c r="AC952" s="258">
        <v>0</v>
      </c>
      <c r="AD952" s="258">
        <v>0</v>
      </c>
      <c r="AE952" s="258">
        <v>785</v>
      </c>
      <c r="AF952" s="257">
        <f>6238.91*AE952/I952</f>
        <v>1563.9811302076346</v>
      </c>
      <c r="AG952" s="258">
        <v>0</v>
      </c>
      <c r="AH952" s="257">
        <v>0</v>
      </c>
      <c r="AI952" s="258">
        <v>0</v>
      </c>
      <c r="AJ952" s="257">
        <v>0</v>
      </c>
      <c r="AK952" s="258">
        <v>0</v>
      </c>
      <c r="AL952" s="258">
        <v>0</v>
      </c>
      <c r="AM952" s="258">
        <v>0</v>
      </c>
      <c r="AN952" s="258"/>
      <c r="AO952" s="258">
        <v>0</v>
      </c>
    </row>
    <row r="953" spans="1:191" s="259" customFormat="1" ht="36" customHeight="1" x14ac:dyDescent="0.25">
      <c r="A953" s="259">
        <v>1</v>
      </c>
      <c r="B953" s="135">
        <f>SUBTOTAL(103,$A$552:A953)</f>
        <v>351</v>
      </c>
      <c r="C953" s="94" t="s">
        <v>1964</v>
      </c>
      <c r="D953" s="124">
        <v>1984</v>
      </c>
      <c r="E953" s="124"/>
      <c r="F953" s="129" t="s">
        <v>1585</v>
      </c>
      <c r="G953" s="124" t="s">
        <v>314</v>
      </c>
      <c r="H953" s="124" t="s">
        <v>314</v>
      </c>
      <c r="I953" s="125">
        <v>2064</v>
      </c>
      <c r="J953" s="125">
        <v>2063.8000000000002</v>
      </c>
      <c r="K953" s="125">
        <v>2063.8000000000002</v>
      </c>
      <c r="L953" s="126">
        <v>80</v>
      </c>
      <c r="M953" s="124" t="s">
        <v>267</v>
      </c>
      <c r="N953" s="124" t="s">
        <v>271</v>
      </c>
      <c r="O953" s="127" t="s">
        <v>290</v>
      </c>
      <c r="P953" s="128">
        <v>4840700.5599999996</v>
      </c>
      <c r="Q953" s="128">
        <v>0</v>
      </c>
      <c r="R953" s="128">
        <v>0</v>
      </c>
      <c r="S953" s="128">
        <f>P953-Q953-R953</f>
        <v>4840700.5599999996</v>
      </c>
      <c r="T953" s="128">
        <f t="shared" si="278"/>
        <v>2345.3006589147285</v>
      </c>
      <c r="U953" s="128">
        <v>3393.362680232558</v>
      </c>
      <c r="V953" s="257">
        <f>U953-T953</f>
        <v>1048.0620213178295</v>
      </c>
      <c r="W953" s="257">
        <f>X953+Y953+Z953+AA953+AB953+AD953+AF953+AH953+AJ953+AL953+AN953+AO953</f>
        <v>2372.841254844961</v>
      </c>
      <c r="X953" s="257">
        <v>0</v>
      </c>
      <c r="Y953" s="258">
        <v>0</v>
      </c>
      <c r="Z953" s="258">
        <v>0</v>
      </c>
      <c r="AA953" s="258">
        <v>0</v>
      </c>
      <c r="AB953" s="258">
        <v>0</v>
      </c>
      <c r="AC953" s="258">
        <v>0</v>
      </c>
      <c r="AD953" s="258">
        <v>0</v>
      </c>
      <c r="AE953" s="258">
        <v>785</v>
      </c>
      <c r="AF953" s="257">
        <f>6238.91*AE953/I953</f>
        <v>2372.841254844961</v>
      </c>
      <c r="AG953" s="258">
        <v>0</v>
      </c>
      <c r="AH953" s="257">
        <v>0</v>
      </c>
      <c r="AI953" s="258">
        <v>0</v>
      </c>
      <c r="AJ953" s="257">
        <v>0</v>
      </c>
      <c r="AK953" s="258">
        <v>0</v>
      </c>
      <c r="AL953" s="258">
        <v>0</v>
      </c>
      <c r="AM953" s="258">
        <v>0</v>
      </c>
      <c r="AN953" s="258"/>
      <c r="AO953" s="258">
        <v>0</v>
      </c>
    </row>
    <row r="954" spans="1:191" s="259" customFormat="1" ht="36" customHeight="1" x14ac:dyDescent="0.25">
      <c r="B954" s="94" t="s">
        <v>859</v>
      </c>
      <c r="C954" s="94"/>
      <c r="D954" s="124" t="s">
        <v>896</v>
      </c>
      <c r="E954" s="124" t="s">
        <v>896</v>
      </c>
      <c r="F954" s="124" t="s">
        <v>896</v>
      </c>
      <c r="G954" s="124" t="s">
        <v>896</v>
      </c>
      <c r="H954" s="124" t="s">
        <v>896</v>
      </c>
      <c r="I954" s="125">
        <f>SUM(I955:I959)</f>
        <v>21863.88</v>
      </c>
      <c r="J954" s="125">
        <f>SUM(J955:J959)</f>
        <v>17271.8</v>
      </c>
      <c r="K954" s="125">
        <f>SUM(K955:K959)</f>
        <v>14496</v>
      </c>
      <c r="L954" s="126">
        <f>SUM(L955:L959)</f>
        <v>871</v>
      </c>
      <c r="M954" s="124" t="s">
        <v>896</v>
      </c>
      <c r="N954" s="124" t="s">
        <v>896</v>
      </c>
      <c r="O954" s="127" t="s">
        <v>896</v>
      </c>
      <c r="P954" s="128">
        <v>28025089.940000001</v>
      </c>
      <c r="Q954" s="128">
        <f>SUM(Q955:Q959)</f>
        <v>0</v>
      </c>
      <c r="R954" s="128">
        <f>SUM(R955:R959)</f>
        <v>0</v>
      </c>
      <c r="S954" s="128">
        <f>SUM(S955:S959)</f>
        <v>28025089.940000001</v>
      </c>
      <c r="T954" s="128">
        <f t="shared" si="278"/>
        <v>1281.798561828916</v>
      </c>
      <c r="U954" s="128">
        <f>MAX(U955:U959)</f>
        <v>3977.8665612420928</v>
      </c>
      <c r="V954" s="257">
        <f t="shared" si="275"/>
        <v>2696.0679994131769</v>
      </c>
      <c r="W954" s="257"/>
      <c r="X954" s="257"/>
      <c r="Y954" s="258"/>
      <c r="Z954" s="258"/>
      <c r="AA954" s="258"/>
      <c r="AB954" s="258"/>
      <c r="AC954" s="258"/>
      <c r="AD954" s="258"/>
      <c r="AE954" s="258"/>
      <c r="AF954" s="258"/>
      <c r="AG954" s="258"/>
      <c r="AH954" s="258"/>
      <c r="AI954" s="258"/>
      <c r="AJ954" s="258"/>
      <c r="AK954" s="258"/>
      <c r="AL954" s="258"/>
      <c r="AM954" s="258"/>
      <c r="AN954" s="258"/>
      <c r="AO954" s="258"/>
    </row>
    <row r="955" spans="1:191" s="259" customFormat="1" ht="36" customHeight="1" x14ac:dyDescent="0.25">
      <c r="A955" s="259">
        <v>1</v>
      </c>
      <c r="B955" s="135">
        <f>SUBTOTAL(103,$A$552:A955)</f>
        <v>352</v>
      </c>
      <c r="C955" s="94" t="s">
        <v>147</v>
      </c>
      <c r="D955" s="124">
        <v>1989</v>
      </c>
      <c r="E955" s="124"/>
      <c r="F955" s="129" t="s">
        <v>289</v>
      </c>
      <c r="G955" s="124">
        <v>5</v>
      </c>
      <c r="H955" s="124" t="s">
        <v>353</v>
      </c>
      <c r="I955" s="125">
        <v>3901.1</v>
      </c>
      <c r="J955" s="125">
        <v>3901.1</v>
      </c>
      <c r="K955" s="125">
        <v>2252.1999999999998</v>
      </c>
      <c r="L955" s="126">
        <v>188</v>
      </c>
      <c r="M955" s="124" t="s">
        <v>267</v>
      </c>
      <c r="N955" s="124" t="s">
        <v>293</v>
      </c>
      <c r="O955" s="127" t="s">
        <v>297</v>
      </c>
      <c r="P955" s="128">
        <v>6331475.6600000011</v>
      </c>
      <c r="Q955" s="128">
        <v>0</v>
      </c>
      <c r="R955" s="128">
        <v>0</v>
      </c>
      <c r="S955" s="128">
        <f>P955-Q955-R955</f>
        <v>6331475.6600000011</v>
      </c>
      <c r="T955" s="128">
        <f t="shared" si="278"/>
        <v>1622.9975289021049</v>
      </c>
      <c r="U955" s="128">
        <v>1768.0852431365511</v>
      </c>
      <c r="V955" s="257">
        <f t="shared" si="275"/>
        <v>145.08771423444614</v>
      </c>
      <c r="W955" s="257">
        <f t="shared" ref="W955:W959" si="300">X955+Y955+Z955+AA955+AB955+AD955+AF955+AH955+AJ955+AL955+AN955+AO955</f>
        <v>1762.0750654943477</v>
      </c>
      <c r="X955" s="257">
        <v>0</v>
      </c>
      <c r="Y955" s="258">
        <v>0</v>
      </c>
      <c r="Z955" s="258">
        <v>0</v>
      </c>
      <c r="AA955" s="258">
        <v>0</v>
      </c>
      <c r="AB955" s="258">
        <v>0</v>
      </c>
      <c r="AC955" s="258">
        <v>0</v>
      </c>
      <c r="AD955" s="258">
        <v>0</v>
      </c>
      <c r="AE955" s="258">
        <v>1101.8</v>
      </c>
      <c r="AF955" s="257">
        <f>6238.91*AE955/I955</f>
        <v>1762.0750654943477</v>
      </c>
      <c r="AG955" s="258">
        <v>0</v>
      </c>
      <c r="AH955" s="257">
        <v>0</v>
      </c>
      <c r="AI955" s="258">
        <v>0</v>
      </c>
      <c r="AJ955" s="257">
        <v>0</v>
      </c>
      <c r="AK955" s="258">
        <v>0</v>
      </c>
      <c r="AL955" s="258">
        <v>0</v>
      </c>
      <c r="AM955" s="258">
        <v>0</v>
      </c>
      <c r="AN955" s="258"/>
      <c r="AO955" s="258">
        <v>0</v>
      </c>
    </row>
    <row r="956" spans="1:191" s="259" customFormat="1" ht="36" customHeight="1" x14ac:dyDescent="0.25">
      <c r="A956" s="259">
        <v>1</v>
      </c>
      <c r="B956" s="135">
        <f>SUBTOTAL(103,$A$552:A956)</f>
        <v>353</v>
      </c>
      <c r="C956" s="94" t="s">
        <v>158</v>
      </c>
      <c r="D956" s="124">
        <v>1975</v>
      </c>
      <c r="E956" s="124"/>
      <c r="F956" s="129" t="s">
        <v>289</v>
      </c>
      <c r="G956" s="124">
        <v>5</v>
      </c>
      <c r="H956" s="124" t="s">
        <v>2293</v>
      </c>
      <c r="I956" s="125">
        <v>8270.9699999999993</v>
      </c>
      <c r="J956" s="125">
        <v>6155.11</v>
      </c>
      <c r="K956" s="125">
        <v>6155.11</v>
      </c>
      <c r="L956" s="126">
        <v>231</v>
      </c>
      <c r="M956" s="124" t="s">
        <v>267</v>
      </c>
      <c r="N956" s="124" t="s">
        <v>271</v>
      </c>
      <c r="O956" s="127" t="s">
        <v>296</v>
      </c>
      <c r="P956" s="128">
        <v>6774880.0600000005</v>
      </c>
      <c r="Q956" s="128">
        <v>0</v>
      </c>
      <c r="R956" s="128">
        <v>0</v>
      </c>
      <c r="S956" s="128">
        <f>P956-Q956-R956</f>
        <v>6774880.0600000005</v>
      </c>
      <c r="T956" s="128">
        <f t="shared" si="278"/>
        <v>819.11554025706789</v>
      </c>
      <c r="U956" s="128">
        <v>1167.0062823949306</v>
      </c>
      <c r="V956" s="257">
        <f t="shared" ref="V956:V957" si="301">U956-T956</f>
        <v>347.89074213786273</v>
      </c>
      <c r="W956" s="257">
        <f t="shared" ref="W956:W957" si="302">X956+Y956+Z956+AA956+AB956+AD956+AF956+AH956+AJ956+AL956+AN956+AO956</f>
        <v>1163.0393271284988</v>
      </c>
      <c r="X956" s="257">
        <v>0</v>
      </c>
      <c r="Y956" s="258">
        <v>0</v>
      </c>
      <c r="Z956" s="258">
        <v>0</v>
      </c>
      <c r="AA956" s="258">
        <v>0</v>
      </c>
      <c r="AB956" s="258">
        <v>0</v>
      </c>
      <c r="AC956" s="258">
        <v>0</v>
      </c>
      <c r="AD956" s="258">
        <v>0</v>
      </c>
      <c r="AE956" s="258">
        <v>1541.85</v>
      </c>
      <c r="AF956" s="257">
        <f>6238.91*AE956/I956</f>
        <v>1163.0393271284988</v>
      </c>
      <c r="AG956" s="258">
        <v>0</v>
      </c>
      <c r="AH956" s="257">
        <v>0</v>
      </c>
      <c r="AI956" s="258">
        <v>0</v>
      </c>
      <c r="AJ956" s="257">
        <v>0</v>
      </c>
      <c r="AK956" s="258">
        <v>0</v>
      </c>
      <c r="AL956" s="258">
        <v>0</v>
      </c>
      <c r="AM956" s="258">
        <v>0</v>
      </c>
      <c r="AN956" s="258"/>
      <c r="AO956" s="258">
        <v>0</v>
      </c>
    </row>
    <row r="957" spans="1:191" s="196" customFormat="1" ht="36" customHeight="1" x14ac:dyDescent="0.25">
      <c r="A957" s="259">
        <v>1</v>
      </c>
      <c r="B957" s="135">
        <f>SUBTOTAL(103,$A$552:A957)</f>
        <v>354</v>
      </c>
      <c r="C957" s="132" t="s">
        <v>159</v>
      </c>
      <c r="D957" s="124">
        <v>1979</v>
      </c>
      <c r="E957" s="124"/>
      <c r="F957" s="134" t="s">
        <v>269</v>
      </c>
      <c r="G957" s="124">
        <v>2</v>
      </c>
      <c r="H957" s="124" t="s">
        <v>314</v>
      </c>
      <c r="I957" s="125">
        <v>1556.1</v>
      </c>
      <c r="J957" s="125">
        <v>863</v>
      </c>
      <c r="K957" s="125">
        <v>863</v>
      </c>
      <c r="L957" s="133">
        <v>32</v>
      </c>
      <c r="M957" s="124" t="s">
        <v>267</v>
      </c>
      <c r="N957" s="124" t="s">
        <v>271</v>
      </c>
      <c r="O957" s="124" t="s">
        <v>296</v>
      </c>
      <c r="P957" s="125">
        <v>3822464.25</v>
      </c>
      <c r="Q957" s="125">
        <v>0</v>
      </c>
      <c r="R957" s="125">
        <v>0</v>
      </c>
      <c r="S957" s="125">
        <f>P957-Q957-R957</f>
        <v>3822464.25</v>
      </c>
      <c r="T957" s="128">
        <f t="shared" si="278"/>
        <v>2456.4386928860613</v>
      </c>
      <c r="U957" s="128">
        <v>2984.2210269905531</v>
      </c>
      <c r="V957" s="257">
        <f t="shared" si="301"/>
        <v>527.78233410449184</v>
      </c>
      <c r="W957" s="257">
        <f t="shared" si="302"/>
        <v>2974.0768902384166</v>
      </c>
      <c r="X957" s="257">
        <v>0</v>
      </c>
      <c r="Y957" s="258">
        <v>0</v>
      </c>
      <c r="Z957" s="258">
        <v>0</v>
      </c>
      <c r="AA957" s="258">
        <v>0</v>
      </c>
      <c r="AB957" s="258">
        <v>0</v>
      </c>
      <c r="AC957" s="258">
        <v>0</v>
      </c>
      <c r="AD957" s="258">
        <v>0</v>
      </c>
      <c r="AE957" s="258">
        <v>741.79</v>
      </c>
      <c r="AF957" s="257">
        <f>6238.91*AE957/I957</f>
        <v>2974.0768902384166</v>
      </c>
      <c r="AG957" s="258">
        <v>0</v>
      </c>
      <c r="AH957" s="257">
        <v>0</v>
      </c>
      <c r="AI957" s="258">
        <v>0</v>
      </c>
      <c r="AJ957" s="257">
        <v>0</v>
      </c>
      <c r="AK957" s="258">
        <v>0</v>
      </c>
      <c r="AL957" s="258">
        <v>0</v>
      </c>
      <c r="AM957" s="258">
        <v>0</v>
      </c>
      <c r="AN957" s="258"/>
      <c r="AO957" s="258">
        <v>0</v>
      </c>
      <c r="AP957" s="259"/>
      <c r="DQ957" s="263"/>
      <c r="DR957" s="263"/>
      <c r="DS957" s="263"/>
      <c r="EP957" s="264"/>
      <c r="FS957" s="265"/>
      <c r="GI957" s="266"/>
    </row>
    <row r="958" spans="1:191" s="259" customFormat="1" ht="36" customHeight="1" x14ac:dyDescent="0.25">
      <c r="A958" s="259">
        <v>1</v>
      </c>
      <c r="B958" s="135">
        <f>SUBTOTAL(103,$A$552:A958)</f>
        <v>355</v>
      </c>
      <c r="C958" s="94" t="s">
        <v>1263</v>
      </c>
      <c r="D958" s="124">
        <v>1928</v>
      </c>
      <c r="E958" s="124"/>
      <c r="F958" s="129" t="s">
        <v>269</v>
      </c>
      <c r="G958" s="124">
        <v>3</v>
      </c>
      <c r="H958" s="124" t="s">
        <v>314</v>
      </c>
      <c r="I958" s="125">
        <v>1739</v>
      </c>
      <c r="J958" s="125">
        <v>1665.2</v>
      </c>
      <c r="K958" s="125">
        <v>538.29999999999995</v>
      </c>
      <c r="L958" s="126">
        <v>235</v>
      </c>
      <c r="M958" s="124" t="s">
        <v>267</v>
      </c>
      <c r="N958" s="124" t="s">
        <v>271</v>
      </c>
      <c r="O958" s="127" t="s">
        <v>290</v>
      </c>
      <c r="P958" s="128">
        <v>4749951.8099999996</v>
      </c>
      <c r="Q958" s="128">
        <v>0</v>
      </c>
      <c r="R958" s="128">
        <v>0</v>
      </c>
      <c r="S958" s="128">
        <f>P958-Q958-R958</f>
        <v>4749951.8099999996</v>
      </c>
      <c r="T958" s="128">
        <f t="shared" si="278"/>
        <v>2731.4271477860839</v>
      </c>
      <c r="U958" s="128">
        <v>3977.8665612420928</v>
      </c>
      <c r="V958" s="257">
        <f t="shared" si="275"/>
        <v>1246.4394134560089</v>
      </c>
      <c r="W958" s="257">
        <f t="shared" si="300"/>
        <v>5531.6063159861978</v>
      </c>
      <c r="X958" s="257">
        <v>0</v>
      </c>
      <c r="Y958" s="258">
        <v>0</v>
      </c>
      <c r="Z958" s="258">
        <v>0</v>
      </c>
      <c r="AA958" s="258">
        <v>0</v>
      </c>
      <c r="AB958" s="258">
        <v>0</v>
      </c>
      <c r="AC958" s="258">
        <v>0</v>
      </c>
      <c r="AD958" s="258">
        <v>0</v>
      </c>
      <c r="AE958" s="258">
        <v>1541.85</v>
      </c>
      <c r="AF958" s="257">
        <f>6238.91*AE958/I958</f>
        <v>5531.6063159861978</v>
      </c>
      <c r="AG958" s="258">
        <v>0</v>
      </c>
      <c r="AH958" s="257">
        <v>0</v>
      </c>
      <c r="AI958" s="258">
        <v>0</v>
      </c>
      <c r="AJ958" s="257">
        <v>0</v>
      </c>
      <c r="AK958" s="258">
        <v>0</v>
      </c>
      <c r="AL958" s="258">
        <v>0</v>
      </c>
      <c r="AM958" s="258">
        <v>0</v>
      </c>
      <c r="AN958" s="258"/>
      <c r="AO958" s="258">
        <v>0</v>
      </c>
    </row>
    <row r="959" spans="1:191" s="196" customFormat="1" ht="36" customHeight="1" x14ac:dyDescent="0.25">
      <c r="A959" s="259">
        <v>1</v>
      </c>
      <c r="B959" s="135">
        <f>SUBTOTAL(103,$A$552:A959)</f>
        <v>356</v>
      </c>
      <c r="C959" s="132" t="s">
        <v>1975</v>
      </c>
      <c r="D959" s="124">
        <v>1991</v>
      </c>
      <c r="E959" s="124"/>
      <c r="F959" s="134" t="s">
        <v>320</v>
      </c>
      <c r="G959" s="124" t="s">
        <v>353</v>
      </c>
      <c r="H959" s="124" t="s">
        <v>373</v>
      </c>
      <c r="I959" s="125">
        <v>6396.71</v>
      </c>
      <c r="J959" s="125">
        <v>4687.3900000000003</v>
      </c>
      <c r="K959" s="125">
        <v>4687.3900000000003</v>
      </c>
      <c r="L959" s="133">
        <v>185</v>
      </c>
      <c r="M959" s="124" t="s">
        <v>267</v>
      </c>
      <c r="N959" s="124" t="s">
        <v>271</v>
      </c>
      <c r="O959" s="124" t="s">
        <v>296</v>
      </c>
      <c r="P959" s="125">
        <v>6346318.1600000001</v>
      </c>
      <c r="Q959" s="125">
        <v>0</v>
      </c>
      <c r="R959" s="125">
        <v>0</v>
      </c>
      <c r="S959" s="125">
        <f>P959-Q959-R959</f>
        <v>6346318.1600000001</v>
      </c>
      <c r="T959" s="128">
        <f t="shared" si="278"/>
        <v>992.1222253314595</v>
      </c>
      <c r="U959" s="128">
        <v>1206.9003459278285</v>
      </c>
      <c r="V959" s="257">
        <f t="shared" si="275"/>
        <v>214.77812059636904</v>
      </c>
      <c r="W959" s="257">
        <f t="shared" si="300"/>
        <v>723.49083339716822</v>
      </c>
      <c r="X959" s="257">
        <v>0</v>
      </c>
      <c r="Y959" s="258">
        <v>0</v>
      </c>
      <c r="Z959" s="258">
        <v>0</v>
      </c>
      <c r="AA959" s="258">
        <v>0</v>
      </c>
      <c r="AB959" s="258">
        <v>0</v>
      </c>
      <c r="AC959" s="258">
        <v>0</v>
      </c>
      <c r="AD959" s="258">
        <v>0</v>
      </c>
      <c r="AE959" s="258">
        <v>741.79</v>
      </c>
      <c r="AF959" s="257">
        <f>6238.91*AE959/I959</f>
        <v>723.49083339716822</v>
      </c>
      <c r="AG959" s="258">
        <v>0</v>
      </c>
      <c r="AH959" s="257">
        <v>0</v>
      </c>
      <c r="AI959" s="258">
        <v>0</v>
      </c>
      <c r="AJ959" s="257">
        <v>0</v>
      </c>
      <c r="AK959" s="258">
        <v>0</v>
      </c>
      <c r="AL959" s="258">
        <v>0</v>
      </c>
      <c r="AM959" s="258">
        <v>0</v>
      </c>
      <c r="AN959" s="258"/>
      <c r="AO959" s="258">
        <v>0</v>
      </c>
      <c r="AP959" s="259"/>
      <c r="DQ959" s="263"/>
      <c r="DR959" s="263"/>
      <c r="DS959" s="263"/>
      <c r="EP959" s="264"/>
      <c r="FS959" s="265"/>
      <c r="GI959" s="266"/>
    </row>
    <row r="960" spans="1:191" s="259" customFormat="1" ht="36" customHeight="1" x14ac:dyDescent="0.25">
      <c r="B960" s="94" t="s">
        <v>860</v>
      </c>
      <c r="C960" s="261"/>
      <c r="D960" s="124" t="s">
        <v>896</v>
      </c>
      <c r="E960" s="124" t="s">
        <v>896</v>
      </c>
      <c r="F960" s="124" t="s">
        <v>896</v>
      </c>
      <c r="G960" s="124" t="s">
        <v>896</v>
      </c>
      <c r="H960" s="124" t="s">
        <v>896</v>
      </c>
      <c r="I960" s="125">
        <f>SUM(I961:I963)</f>
        <v>4721.28</v>
      </c>
      <c r="J960" s="125">
        <f>SUM(J961:J963)</f>
        <v>3756.3999999999996</v>
      </c>
      <c r="K960" s="125">
        <f>SUM(K961:K963)</f>
        <v>3632.2</v>
      </c>
      <c r="L960" s="126">
        <f>SUM(L961:L963)</f>
        <v>152</v>
      </c>
      <c r="M960" s="124" t="s">
        <v>896</v>
      </c>
      <c r="N960" s="124" t="s">
        <v>896</v>
      </c>
      <c r="O960" s="127" t="s">
        <v>896</v>
      </c>
      <c r="P960" s="128">
        <v>14805803.309999999</v>
      </c>
      <c r="Q960" s="128">
        <f>SUM(Q961:Q963)</f>
        <v>0</v>
      </c>
      <c r="R960" s="128">
        <f>SUM(R961:R963)</f>
        <v>0</v>
      </c>
      <c r="S960" s="128">
        <f>SUM(S961:S963)</f>
        <v>14805803.309999999</v>
      </c>
      <c r="T960" s="128">
        <f t="shared" si="278"/>
        <v>3135.9723020028464</v>
      </c>
      <c r="U960" s="128">
        <f>MAX(U961:U963)</f>
        <v>24013.858784215474</v>
      </c>
      <c r="V960" s="257">
        <f t="shared" si="275"/>
        <v>20877.886482212627</v>
      </c>
      <c r="W960" s="257"/>
      <c r="X960" s="257"/>
      <c r="Y960" s="258"/>
      <c r="Z960" s="258"/>
      <c r="AA960" s="258"/>
      <c r="AB960" s="258"/>
      <c r="AC960" s="258"/>
      <c r="AD960" s="258"/>
      <c r="AE960" s="258"/>
      <c r="AF960" s="258"/>
      <c r="AG960" s="258"/>
      <c r="AH960" s="258"/>
      <c r="AI960" s="258"/>
      <c r="AJ960" s="258"/>
      <c r="AK960" s="258"/>
      <c r="AL960" s="258"/>
      <c r="AM960" s="258"/>
      <c r="AN960" s="258"/>
      <c r="AO960" s="258"/>
    </row>
    <row r="961" spans="1:41" s="259" customFormat="1" ht="36" customHeight="1" x14ac:dyDescent="0.25">
      <c r="A961" s="259">
        <v>1</v>
      </c>
      <c r="B961" s="135">
        <f>SUBTOTAL(103,$A$552:A961)</f>
        <v>357</v>
      </c>
      <c r="C961" s="94" t="s">
        <v>96</v>
      </c>
      <c r="D961" s="124">
        <v>1967</v>
      </c>
      <c r="E961" s="124"/>
      <c r="F961" s="129" t="s">
        <v>269</v>
      </c>
      <c r="G961" s="124">
        <v>2</v>
      </c>
      <c r="H961" s="124" t="s">
        <v>314</v>
      </c>
      <c r="I961" s="125">
        <v>987</v>
      </c>
      <c r="J961" s="125">
        <v>987</v>
      </c>
      <c r="K961" s="125">
        <v>915.8</v>
      </c>
      <c r="L961" s="126">
        <v>20</v>
      </c>
      <c r="M961" s="124" t="s">
        <v>267</v>
      </c>
      <c r="N961" s="124" t="s">
        <v>271</v>
      </c>
      <c r="O961" s="127" t="s">
        <v>284</v>
      </c>
      <c r="P961" s="128">
        <v>4020786</v>
      </c>
      <c r="Q961" s="128">
        <v>0</v>
      </c>
      <c r="R961" s="128">
        <v>0</v>
      </c>
      <c r="S961" s="128">
        <f>P961-Q961-R961</f>
        <v>4020786</v>
      </c>
      <c r="T961" s="128">
        <f t="shared" si="278"/>
        <v>4073.744680851064</v>
      </c>
      <c r="U961" s="128">
        <v>4883.8361702127659</v>
      </c>
      <c r="V961" s="257">
        <f t="shared" si="275"/>
        <v>810.09148936170186</v>
      </c>
      <c r="W961" s="257">
        <f t="shared" ref="W961" si="303">X961+Y961+Z961+AA961+AB961+AD961+AF961+AH961+AJ961+AL961+AN961+AO961</f>
        <v>4867.2347517730495</v>
      </c>
      <c r="X961" s="257">
        <v>0</v>
      </c>
      <c r="Y961" s="258">
        <v>0</v>
      </c>
      <c r="Z961" s="258">
        <v>0</v>
      </c>
      <c r="AA961" s="258">
        <v>0</v>
      </c>
      <c r="AB961" s="258">
        <v>0</v>
      </c>
      <c r="AC961" s="258">
        <v>0</v>
      </c>
      <c r="AD961" s="258">
        <v>0</v>
      </c>
      <c r="AE961" s="258">
        <v>770</v>
      </c>
      <c r="AF961" s="257">
        <f>6238.91*AE961/I961</f>
        <v>4867.2347517730495</v>
      </c>
      <c r="AG961" s="258">
        <v>0</v>
      </c>
      <c r="AH961" s="257">
        <v>0</v>
      </c>
      <c r="AI961" s="258">
        <v>0</v>
      </c>
      <c r="AJ961" s="257">
        <v>0</v>
      </c>
      <c r="AK961" s="258">
        <v>0</v>
      </c>
      <c r="AL961" s="258">
        <v>0</v>
      </c>
      <c r="AM961" s="258">
        <v>0</v>
      </c>
      <c r="AN961" s="258"/>
      <c r="AO961" s="258">
        <v>0</v>
      </c>
    </row>
    <row r="962" spans="1:41" s="259" customFormat="1" ht="36" customHeight="1" x14ac:dyDescent="0.25">
      <c r="A962" s="259">
        <v>1</v>
      </c>
      <c r="B962" s="135">
        <f>SUBTOTAL(103,$A$552:A962)</f>
        <v>358</v>
      </c>
      <c r="C962" s="94" t="s">
        <v>95</v>
      </c>
      <c r="D962" s="124">
        <v>1971</v>
      </c>
      <c r="E962" s="124"/>
      <c r="F962" s="129" t="s">
        <v>269</v>
      </c>
      <c r="G962" s="124">
        <v>5</v>
      </c>
      <c r="H962" s="124" t="s">
        <v>310</v>
      </c>
      <c r="I962" s="125">
        <v>3414.98</v>
      </c>
      <c r="J962" s="125">
        <v>2564.1999999999998</v>
      </c>
      <c r="K962" s="125">
        <v>2564.1999999999998</v>
      </c>
      <c r="L962" s="126">
        <v>118</v>
      </c>
      <c r="M962" s="124" t="s">
        <v>267</v>
      </c>
      <c r="N962" s="124" t="s">
        <v>271</v>
      </c>
      <c r="O962" s="127" t="s">
        <v>282</v>
      </c>
      <c r="P962" s="128">
        <v>5002484.3999999994</v>
      </c>
      <c r="Q962" s="128">
        <v>0</v>
      </c>
      <c r="R962" s="128">
        <v>0</v>
      </c>
      <c r="S962" s="128">
        <f>P962-Q962-R962</f>
        <v>5002484.3999999994</v>
      </c>
      <c r="T962" s="128">
        <f t="shared" si="278"/>
        <v>1464.8649186818077</v>
      </c>
      <c r="U962" s="128">
        <v>1756.1631459042219</v>
      </c>
      <c r="V962" s="257">
        <f t="shared" ref="V962:V963" si="304">U962-T962</f>
        <v>291.2982272224142</v>
      </c>
      <c r="W962" s="257">
        <f t="shared" ref="W962:W963" si="305">X962+Y962+Z962+AA962+AB962+AD962+AF962+AH962+AJ962+AL962+AN962+AO962</f>
        <v>1750.1934945446239</v>
      </c>
      <c r="X962" s="257">
        <v>0</v>
      </c>
      <c r="Y962" s="258">
        <v>0</v>
      </c>
      <c r="Z962" s="258">
        <v>0</v>
      </c>
      <c r="AA962" s="258">
        <v>0</v>
      </c>
      <c r="AB962" s="258">
        <v>0</v>
      </c>
      <c r="AC962" s="258">
        <v>0</v>
      </c>
      <c r="AD962" s="258">
        <v>0</v>
      </c>
      <c r="AE962" s="258">
        <v>958</v>
      </c>
      <c r="AF962" s="257">
        <f>6238.91*AE962/I962</f>
        <v>1750.1934945446239</v>
      </c>
      <c r="AG962" s="258">
        <v>0</v>
      </c>
      <c r="AH962" s="257">
        <v>0</v>
      </c>
      <c r="AI962" s="258">
        <v>0</v>
      </c>
      <c r="AJ962" s="257">
        <v>0</v>
      </c>
      <c r="AK962" s="258">
        <v>0</v>
      </c>
      <c r="AL962" s="258">
        <v>0</v>
      </c>
      <c r="AM962" s="258">
        <v>0</v>
      </c>
      <c r="AN962" s="258"/>
      <c r="AO962" s="258">
        <v>0</v>
      </c>
    </row>
    <row r="963" spans="1:41" s="259" customFormat="1" ht="36" customHeight="1" x14ac:dyDescent="0.25">
      <c r="A963" s="259">
        <v>1</v>
      </c>
      <c r="B963" s="135">
        <f>SUBTOTAL(103,$A$552:A963)</f>
        <v>359</v>
      </c>
      <c r="C963" s="94" t="s">
        <v>1269</v>
      </c>
      <c r="D963" s="124">
        <v>1917</v>
      </c>
      <c r="E963" s="124"/>
      <c r="F963" s="129" t="s">
        <v>269</v>
      </c>
      <c r="G963" s="124">
        <v>2</v>
      </c>
      <c r="H963" s="124" t="s">
        <v>306</v>
      </c>
      <c r="I963" s="128">
        <v>319.3</v>
      </c>
      <c r="J963" s="128">
        <v>205.2</v>
      </c>
      <c r="K963" s="128">
        <v>152.19999999999999</v>
      </c>
      <c r="L963" s="126">
        <v>14</v>
      </c>
      <c r="M963" s="124" t="s">
        <v>267</v>
      </c>
      <c r="N963" s="124" t="s">
        <v>268</v>
      </c>
      <c r="O963" s="127" t="s">
        <v>270</v>
      </c>
      <c r="P963" s="128">
        <v>5782532.9099999992</v>
      </c>
      <c r="Q963" s="128">
        <v>0</v>
      </c>
      <c r="R963" s="128">
        <v>0</v>
      </c>
      <c r="S963" s="128">
        <f>P963-Q963-R963</f>
        <v>5782532.9099999992</v>
      </c>
      <c r="T963" s="128">
        <f t="shared" si="278"/>
        <v>18110.031036642653</v>
      </c>
      <c r="U963" s="128">
        <v>24013.858784215474</v>
      </c>
      <c r="V963" s="257">
        <f t="shared" si="304"/>
        <v>5903.827747572821</v>
      </c>
      <c r="W963" s="257">
        <f t="shared" si="305"/>
        <v>7003.2888261822736</v>
      </c>
      <c r="X963" s="257">
        <v>0</v>
      </c>
      <c r="Y963" s="258">
        <v>0</v>
      </c>
      <c r="Z963" s="258">
        <v>0</v>
      </c>
      <c r="AA963" s="258">
        <v>0</v>
      </c>
      <c r="AB963" s="258">
        <v>0</v>
      </c>
      <c r="AC963" s="258">
        <v>0</v>
      </c>
      <c r="AD963" s="258">
        <v>0</v>
      </c>
      <c r="AE963" s="258">
        <v>358.42</v>
      </c>
      <c r="AF963" s="257">
        <f>6238.91*AE963/I963</f>
        <v>7003.2888261822736</v>
      </c>
      <c r="AG963" s="258">
        <v>0</v>
      </c>
      <c r="AH963" s="257">
        <v>0</v>
      </c>
      <c r="AI963" s="258">
        <v>0</v>
      </c>
      <c r="AJ963" s="257">
        <v>0</v>
      </c>
      <c r="AK963" s="258">
        <v>0</v>
      </c>
      <c r="AL963" s="258">
        <v>0</v>
      </c>
      <c r="AM963" s="258">
        <v>0</v>
      </c>
      <c r="AN963" s="258"/>
      <c r="AO963" s="258">
        <v>0</v>
      </c>
    </row>
    <row r="964" spans="1:41" s="259" customFormat="1" ht="36" customHeight="1" x14ac:dyDescent="0.25">
      <c r="B964" s="94" t="s">
        <v>861</v>
      </c>
      <c r="C964" s="94"/>
      <c r="D964" s="124" t="s">
        <v>896</v>
      </c>
      <c r="E964" s="124" t="s">
        <v>896</v>
      </c>
      <c r="F964" s="124" t="s">
        <v>896</v>
      </c>
      <c r="G964" s="124" t="s">
        <v>896</v>
      </c>
      <c r="H964" s="124" t="s">
        <v>896</v>
      </c>
      <c r="I964" s="125">
        <f>I965</f>
        <v>708.1</v>
      </c>
      <c r="J964" s="125">
        <f>J965</f>
        <v>708.1</v>
      </c>
      <c r="K964" s="125">
        <f>K965</f>
        <v>650.9</v>
      </c>
      <c r="L964" s="126">
        <f>L965</f>
        <v>42</v>
      </c>
      <c r="M964" s="124" t="s">
        <v>896</v>
      </c>
      <c r="N964" s="124" t="s">
        <v>896</v>
      </c>
      <c r="O964" s="127" t="s">
        <v>896</v>
      </c>
      <c r="P964" s="128">
        <v>3019912.79</v>
      </c>
      <c r="Q964" s="128">
        <f>Q965</f>
        <v>0</v>
      </c>
      <c r="R964" s="128">
        <f>R965</f>
        <v>0</v>
      </c>
      <c r="S964" s="128">
        <f>S965</f>
        <v>3019912.79</v>
      </c>
      <c r="T964" s="128">
        <f t="shared" si="278"/>
        <v>4264.811170738596</v>
      </c>
      <c r="U964" s="128">
        <f>U965</f>
        <v>5216.0882643694385</v>
      </c>
      <c r="V964" s="257">
        <f t="shared" si="275"/>
        <v>951.2770936308425</v>
      </c>
      <c r="W964" s="257"/>
      <c r="X964" s="257"/>
      <c r="Y964" s="258"/>
      <c r="Z964" s="258"/>
      <c r="AA964" s="258"/>
      <c r="AB964" s="258"/>
      <c r="AC964" s="258"/>
      <c r="AD964" s="258"/>
      <c r="AE964" s="258"/>
      <c r="AF964" s="258"/>
      <c r="AG964" s="258"/>
      <c r="AH964" s="258"/>
      <c r="AI964" s="258"/>
      <c r="AJ964" s="258"/>
      <c r="AK964" s="258"/>
      <c r="AL964" s="258"/>
      <c r="AM964" s="258"/>
      <c r="AN964" s="258"/>
      <c r="AO964" s="258"/>
    </row>
    <row r="965" spans="1:41" s="259" customFormat="1" ht="36" customHeight="1" x14ac:dyDescent="0.25">
      <c r="A965" s="259">
        <v>1</v>
      </c>
      <c r="B965" s="135">
        <f>SUBTOTAL(103,$A$552:A965)</f>
        <v>360</v>
      </c>
      <c r="C965" s="94" t="s">
        <v>97</v>
      </c>
      <c r="D965" s="124">
        <v>1969</v>
      </c>
      <c r="E965" s="124"/>
      <c r="F965" s="129" t="s">
        <v>269</v>
      </c>
      <c r="G965" s="124">
        <v>2</v>
      </c>
      <c r="H965" s="124" t="s">
        <v>305</v>
      </c>
      <c r="I965" s="125">
        <v>708.1</v>
      </c>
      <c r="J965" s="125">
        <v>708.1</v>
      </c>
      <c r="K965" s="125">
        <v>650.9</v>
      </c>
      <c r="L965" s="126">
        <v>42</v>
      </c>
      <c r="M965" s="124" t="s">
        <v>267</v>
      </c>
      <c r="N965" s="124" t="s">
        <v>271</v>
      </c>
      <c r="O965" s="127" t="s">
        <v>1000</v>
      </c>
      <c r="P965" s="128">
        <v>3019912.79</v>
      </c>
      <c r="Q965" s="128">
        <v>0</v>
      </c>
      <c r="R965" s="128">
        <v>0</v>
      </c>
      <c r="S965" s="128">
        <f>P965-Q965-R965</f>
        <v>3019912.79</v>
      </c>
      <c r="T965" s="128">
        <f t="shared" si="278"/>
        <v>4264.811170738596</v>
      </c>
      <c r="U965" s="128">
        <v>5216.0882643694385</v>
      </c>
      <c r="V965" s="257">
        <f>U965-T965</f>
        <v>951.2770936308425</v>
      </c>
      <c r="W965" s="257">
        <f>X965+Y965+Z965+AA965+AB965+AD965+AF965+AH965+AJ965+AL965+AN965+AO965</f>
        <v>5198.3574353904814</v>
      </c>
      <c r="X965" s="257">
        <v>0</v>
      </c>
      <c r="Y965" s="258">
        <v>0</v>
      </c>
      <c r="Z965" s="258">
        <v>0</v>
      </c>
      <c r="AA965" s="258">
        <v>0</v>
      </c>
      <c r="AB965" s="258">
        <v>0</v>
      </c>
      <c r="AC965" s="258">
        <v>0</v>
      </c>
      <c r="AD965" s="258">
        <v>0</v>
      </c>
      <c r="AE965" s="258">
        <v>590</v>
      </c>
      <c r="AF965" s="257">
        <f>6238.91*AE965/I965</f>
        <v>5198.3574353904814</v>
      </c>
      <c r="AG965" s="258">
        <v>0</v>
      </c>
      <c r="AH965" s="257">
        <v>0</v>
      </c>
      <c r="AI965" s="258">
        <v>0</v>
      </c>
      <c r="AJ965" s="257">
        <v>0</v>
      </c>
      <c r="AK965" s="258">
        <v>0</v>
      </c>
      <c r="AL965" s="258">
        <v>0</v>
      </c>
      <c r="AM965" s="258">
        <v>0</v>
      </c>
      <c r="AN965" s="258"/>
      <c r="AO965" s="258">
        <v>0</v>
      </c>
    </row>
    <row r="966" spans="1:41" s="259" customFormat="1" ht="36" customHeight="1" x14ac:dyDescent="0.25">
      <c r="B966" s="94" t="s">
        <v>885</v>
      </c>
      <c r="C966" s="94"/>
      <c r="D966" s="124" t="s">
        <v>896</v>
      </c>
      <c r="E966" s="124" t="s">
        <v>896</v>
      </c>
      <c r="F966" s="124" t="s">
        <v>896</v>
      </c>
      <c r="G966" s="124" t="s">
        <v>896</v>
      </c>
      <c r="H966" s="124" t="s">
        <v>896</v>
      </c>
      <c r="I966" s="125">
        <f>I967</f>
        <v>788.3</v>
      </c>
      <c r="J966" s="125">
        <f>J967</f>
        <v>726.9</v>
      </c>
      <c r="K966" s="125">
        <f>K967</f>
        <v>726.9</v>
      </c>
      <c r="L966" s="126">
        <f>L967</f>
        <v>16</v>
      </c>
      <c r="M966" s="124" t="s">
        <v>896</v>
      </c>
      <c r="N966" s="124" t="s">
        <v>896</v>
      </c>
      <c r="O966" s="127" t="s">
        <v>896</v>
      </c>
      <c r="P966" s="128">
        <v>3567977.1799999997</v>
      </c>
      <c r="Q966" s="128">
        <f>Q967</f>
        <v>0</v>
      </c>
      <c r="R966" s="128">
        <f>R967</f>
        <v>0</v>
      </c>
      <c r="S966" s="128">
        <f>S967</f>
        <v>3567977.1799999997</v>
      </c>
      <c r="T966" s="128">
        <f t="shared" si="278"/>
        <v>4526.1666624381578</v>
      </c>
      <c r="U966" s="128">
        <f>U967</f>
        <v>5558.9661296460745</v>
      </c>
      <c r="V966" s="257">
        <f t="shared" si="275"/>
        <v>1032.7994672079167</v>
      </c>
      <c r="W966" s="257"/>
      <c r="X966" s="257"/>
      <c r="Y966" s="258"/>
      <c r="Z966" s="258"/>
      <c r="AA966" s="258"/>
      <c r="AB966" s="258"/>
      <c r="AC966" s="258"/>
      <c r="AD966" s="258"/>
      <c r="AE966" s="258"/>
      <c r="AF966" s="258"/>
      <c r="AG966" s="258"/>
      <c r="AH966" s="258"/>
      <c r="AI966" s="258"/>
      <c r="AJ966" s="258"/>
      <c r="AK966" s="258"/>
      <c r="AL966" s="258"/>
      <c r="AM966" s="258"/>
      <c r="AN966" s="258"/>
      <c r="AO966" s="258"/>
    </row>
    <row r="967" spans="1:41" s="259" customFormat="1" ht="36" customHeight="1" x14ac:dyDescent="0.25">
      <c r="A967" s="259">
        <v>1</v>
      </c>
      <c r="B967" s="135">
        <f>SUBTOTAL(103,$A$552:A967)</f>
        <v>361</v>
      </c>
      <c r="C967" s="94" t="s">
        <v>98</v>
      </c>
      <c r="D967" s="124">
        <v>1972</v>
      </c>
      <c r="E967" s="124"/>
      <c r="F967" s="129" t="s">
        <v>269</v>
      </c>
      <c r="G967" s="124">
        <v>2</v>
      </c>
      <c r="H967" s="124" t="s">
        <v>305</v>
      </c>
      <c r="I967" s="125">
        <v>788.3</v>
      </c>
      <c r="J967" s="125">
        <v>726.9</v>
      </c>
      <c r="K967" s="125">
        <v>726.9</v>
      </c>
      <c r="L967" s="126">
        <v>16</v>
      </c>
      <c r="M967" s="124" t="s">
        <v>267</v>
      </c>
      <c r="N967" s="124" t="s">
        <v>285</v>
      </c>
      <c r="O967" s="127" t="s">
        <v>270</v>
      </c>
      <c r="P967" s="128">
        <v>3567977.1799999997</v>
      </c>
      <c r="Q967" s="128">
        <v>0</v>
      </c>
      <c r="R967" s="128">
        <v>0</v>
      </c>
      <c r="S967" s="128">
        <f>P967-Q967-R967</f>
        <v>3567977.1799999997</v>
      </c>
      <c r="T967" s="128">
        <f t="shared" si="278"/>
        <v>4526.1666624381578</v>
      </c>
      <c r="U967" s="128">
        <v>5558.9661296460745</v>
      </c>
      <c r="V967" s="257">
        <f>U967-T967</f>
        <v>1032.7994672079167</v>
      </c>
      <c r="W967" s="257">
        <f>X967+Y967+Z967+AA967+AB967+AD967+AF967+AH967+AJ967+AL967+AN967+AO967</f>
        <v>5540.0697703919832</v>
      </c>
      <c r="X967" s="257">
        <v>0</v>
      </c>
      <c r="Y967" s="258">
        <v>0</v>
      </c>
      <c r="Z967" s="258">
        <v>0</v>
      </c>
      <c r="AA967" s="258">
        <v>0</v>
      </c>
      <c r="AB967" s="258">
        <v>0</v>
      </c>
      <c r="AC967" s="258">
        <v>0</v>
      </c>
      <c r="AD967" s="258">
        <v>0</v>
      </c>
      <c r="AE967" s="258">
        <v>700</v>
      </c>
      <c r="AF967" s="257">
        <f>6238.91*AE967/I967</f>
        <v>5540.0697703919832</v>
      </c>
      <c r="AG967" s="258">
        <v>0</v>
      </c>
      <c r="AH967" s="257">
        <v>0</v>
      </c>
      <c r="AI967" s="258">
        <v>0</v>
      </c>
      <c r="AJ967" s="257">
        <v>0</v>
      </c>
      <c r="AK967" s="258">
        <v>0</v>
      </c>
      <c r="AL967" s="258">
        <v>0</v>
      </c>
      <c r="AM967" s="258">
        <v>0</v>
      </c>
      <c r="AN967" s="258"/>
      <c r="AO967" s="258">
        <v>0</v>
      </c>
    </row>
    <row r="968" spans="1:41" s="259" customFormat="1" ht="36" customHeight="1" x14ac:dyDescent="0.25">
      <c r="B968" s="94" t="s">
        <v>862</v>
      </c>
      <c r="C968" s="94"/>
      <c r="D968" s="124" t="s">
        <v>896</v>
      </c>
      <c r="E968" s="124" t="s">
        <v>896</v>
      </c>
      <c r="F968" s="124" t="s">
        <v>896</v>
      </c>
      <c r="G968" s="124" t="s">
        <v>896</v>
      </c>
      <c r="H968" s="124" t="s">
        <v>896</v>
      </c>
      <c r="I968" s="125">
        <f>I969</f>
        <v>758.5</v>
      </c>
      <c r="J968" s="125">
        <f>J969</f>
        <v>758.5</v>
      </c>
      <c r="K968" s="125">
        <f>K969</f>
        <v>400</v>
      </c>
      <c r="L968" s="126">
        <f>L969</f>
        <v>31</v>
      </c>
      <c r="M968" s="124" t="s">
        <v>896</v>
      </c>
      <c r="N968" s="124" t="s">
        <v>896</v>
      </c>
      <c r="O968" s="127" t="s">
        <v>896</v>
      </c>
      <c r="P968" s="128">
        <v>877727.45000000007</v>
      </c>
      <c r="Q968" s="128">
        <f>Q969</f>
        <v>0</v>
      </c>
      <c r="R968" s="128">
        <f>R969</f>
        <v>0</v>
      </c>
      <c r="S968" s="128">
        <f>S969</f>
        <v>877727.45000000007</v>
      </c>
      <c r="T968" s="128">
        <f t="shared" si="278"/>
        <v>1157.1884640738301</v>
      </c>
      <c r="U968" s="128">
        <f>U969</f>
        <v>1147.3532102834542</v>
      </c>
      <c r="V968" s="257">
        <f t="shared" ref="V968" si="306">U968-T968</f>
        <v>-9.835253790375873</v>
      </c>
      <c r="W968" s="257"/>
      <c r="X968" s="257"/>
      <c r="Y968" s="258"/>
      <c r="Z968" s="258"/>
      <c r="AA968" s="258"/>
      <c r="AB968" s="258"/>
      <c r="AC968" s="258"/>
      <c r="AD968" s="258"/>
      <c r="AE968" s="258"/>
      <c r="AF968" s="258"/>
      <c r="AG968" s="258"/>
      <c r="AH968" s="258"/>
      <c r="AI968" s="258"/>
      <c r="AJ968" s="258"/>
      <c r="AK968" s="258"/>
      <c r="AL968" s="258"/>
      <c r="AM968" s="258"/>
      <c r="AN968" s="258"/>
      <c r="AO968" s="258"/>
    </row>
    <row r="969" spans="1:41" s="259" customFormat="1" ht="36" customHeight="1" x14ac:dyDescent="0.25">
      <c r="A969" s="259">
        <v>1</v>
      </c>
      <c r="B969" s="135">
        <f>SUBTOTAL(103,$A$552:A969)</f>
        <v>362</v>
      </c>
      <c r="C969" s="94" t="s">
        <v>1621</v>
      </c>
      <c r="D969" s="124">
        <v>1974</v>
      </c>
      <c r="E969" s="124"/>
      <c r="F969" s="129" t="s">
        <v>1348</v>
      </c>
      <c r="G969" s="124">
        <v>2</v>
      </c>
      <c r="H969" s="124" t="s">
        <v>314</v>
      </c>
      <c r="I969" s="125">
        <v>758.5</v>
      </c>
      <c r="J969" s="125">
        <v>758.5</v>
      </c>
      <c r="K969" s="125">
        <v>400</v>
      </c>
      <c r="L969" s="126">
        <v>31</v>
      </c>
      <c r="M969" s="124" t="s">
        <v>267</v>
      </c>
      <c r="N969" s="124" t="s">
        <v>268</v>
      </c>
      <c r="O969" s="127" t="s">
        <v>270</v>
      </c>
      <c r="P969" s="128">
        <v>877727.45000000007</v>
      </c>
      <c r="Q969" s="128">
        <v>0</v>
      </c>
      <c r="R969" s="128">
        <v>0</v>
      </c>
      <c r="S969" s="128">
        <f>P969-Q969-R969</f>
        <v>877727.45000000007</v>
      </c>
      <c r="T969" s="128">
        <f t="shared" si="278"/>
        <v>1157.1884640738301</v>
      </c>
      <c r="U969" s="128">
        <v>1147.3532102834542</v>
      </c>
      <c r="V969" s="257">
        <f>U969-T969</f>
        <v>-9.835253790375873</v>
      </c>
      <c r="W969" s="257">
        <f>X969+Y969+Z969+AA969+AB969+AD969+AF969+AH969+AJ969+AL969+AN969+AO969</f>
        <v>5757.7284113381675</v>
      </c>
      <c r="X969" s="257">
        <v>0</v>
      </c>
      <c r="Y969" s="258">
        <v>0</v>
      </c>
      <c r="Z969" s="258">
        <v>0</v>
      </c>
      <c r="AA969" s="258">
        <v>0</v>
      </c>
      <c r="AB969" s="258">
        <v>0</v>
      </c>
      <c r="AC969" s="258">
        <v>0</v>
      </c>
      <c r="AD969" s="258">
        <v>0</v>
      </c>
      <c r="AE969" s="258">
        <v>700</v>
      </c>
      <c r="AF969" s="257">
        <f>6238.91*AE969/I969</f>
        <v>5757.7284113381675</v>
      </c>
      <c r="AG969" s="258">
        <v>0</v>
      </c>
      <c r="AH969" s="257">
        <v>0</v>
      </c>
      <c r="AI969" s="258">
        <v>0</v>
      </c>
      <c r="AJ969" s="257">
        <v>0</v>
      </c>
      <c r="AK969" s="258">
        <v>0</v>
      </c>
      <c r="AL969" s="258">
        <v>0</v>
      </c>
      <c r="AM969" s="258">
        <v>0</v>
      </c>
      <c r="AN969" s="258"/>
      <c r="AO969" s="258">
        <v>0</v>
      </c>
    </row>
    <row r="970" spans="1:41" s="259" customFormat="1" ht="36" customHeight="1" x14ac:dyDescent="0.25">
      <c r="B970" s="94" t="s">
        <v>863</v>
      </c>
      <c r="C970" s="94"/>
      <c r="D970" s="124" t="s">
        <v>896</v>
      </c>
      <c r="E970" s="124" t="s">
        <v>896</v>
      </c>
      <c r="F970" s="124" t="s">
        <v>896</v>
      </c>
      <c r="G970" s="124" t="s">
        <v>896</v>
      </c>
      <c r="H970" s="124" t="s">
        <v>896</v>
      </c>
      <c r="I970" s="125">
        <f>I971</f>
        <v>707.1</v>
      </c>
      <c r="J970" s="125">
        <f>J971</f>
        <v>649.5</v>
      </c>
      <c r="K970" s="125">
        <f>K971</f>
        <v>464</v>
      </c>
      <c r="L970" s="126">
        <f>L971</f>
        <v>16</v>
      </c>
      <c r="M970" s="124" t="s">
        <v>896</v>
      </c>
      <c r="N970" s="124" t="s">
        <v>896</v>
      </c>
      <c r="O970" s="127" t="s">
        <v>896</v>
      </c>
      <c r="P970" s="128">
        <v>3108475.73</v>
      </c>
      <c r="Q970" s="128">
        <f>Q971</f>
        <v>0</v>
      </c>
      <c r="R970" s="128">
        <f>R971</f>
        <v>0</v>
      </c>
      <c r="S970" s="128">
        <f>S971</f>
        <v>3108475.73</v>
      </c>
      <c r="T970" s="128">
        <f t="shared" si="278"/>
        <v>4396.090694385518</v>
      </c>
      <c r="U970" s="128">
        <f>U971</f>
        <v>5223.4649978786583</v>
      </c>
      <c r="V970" s="257">
        <f t="shared" si="275"/>
        <v>827.37430349314036</v>
      </c>
      <c r="W970" s="257"/>
      <c r="X970" s="257"/>
      <c r="Y970" s="258"/>
      <c r="Z970" s="258"/>
      <c r="AA970" s="258"/>
      <c r="AB970" s="258"/>
      <c r="AC970" s="258"/>
      <c r="AD970" s="258"/>
      <c r="AE970" s="258"/>
      <c r="AF970" s="258"/>
      <c r="AG970" s="258"/>
      <c r="AH970" s="258"/>
      <c r="AI970" s="258"/>
      <c r="AJ970" s="258"/>
      <c r="AK970" s="258"/>
      <c r="AL970" s="258"/>
      <c r="AM970" s="258"/>
      <c r="AN970" s="258"/>
      <c r="AO970" s="258"/>
    </row>
    <row r="971" spans="1:41" s="259" customFormat="1" ht="36" customHeight="1" x14ac:dyDescent="0.25">
      <c r="A971" s="259">
        <v>1</v>
      </c>
      <c r="B971" s="135">
        <f>SUBTOTAL(103,$A$552:A971)</f>
        <v>363</v>
      </c>
      <c r="C971" s="94" t="s">
        <v>99</v>
      </c>
      <c r="D971" s="124">
        <v>1971</v>
      </c>
      <c r="E971" s="124"/>
      <c r="F971" s="129" t="s">
        <v>269</v>
      </c>
      <c r="G971" s="124">
        <v>2</v>
      </c>
      <c r="H971" s="124" t="s">
        <v>305</v>
      </c>
      <c r="I971" s="125">
        <v>707.1</v>
      </c>
      <c r="J971" s="125">
        <v>649.5</v>
      </c>
      <c r="K971" s="125">
        <v>464</v>
      </c>
      <c r="L971" s="126">
        <v>16</v>
      </c>
      <c r="M971" s="124" t="s">
        <v>267</v>
      </c>
      <c r="N971" s="124" t="s">
        <v>271</v>
      </c>
      <c r="O971" s="127" t="s">
        <v>284</v>
      </c>
      <c r="P971" s="128">
        <v>3108475.73</v>
      </c>
      <c r="Q971" s="128">
        <v>0</v>
      </c>
      <c r="R971" s="128">
        <v>0</v>
      </c>
      <c r="S971" s="128">
        <f>P971-Q971-R971</f>
        <v>3108475.73</v>
      </c>
      <c r="T971" s="128">
        <f t="shared" si="278"/>
        <v>4396.090694385518</v>
      </c>
      <c r="U971" s="128">
        <v>5223.4649978786583</v>
      </c>
      <c r="V971" s="257">
        <f>U971-T971</f>
        <v>827.37430349314036</v>
      </c>
      <c r="W971" s="257">
        <f>X971+Y971+Z971+AA971+AB971+AD971+AF971+AH971+AJ971+AL971+AN971+AO971</f>
        <v>5205.7090934804128</v>
      </c>
      <c r="X971" s="257">
        <v>0</v>
      </c>
      <c r="Y971" s="258">
        <v>0</v>
      </c>
      <c r="Z971" s="258">
        <v>0</v>
      </c>
      <c r="AA971" s="258">
        <v>0</v>
      </c>
      <c r="AB971" s="258">
        <v>0</v>
      </c>
      <c r="AC971" s="258">
        <v>0</v>
      </c>
      <c r="AD971" s="258">
        <v>0</v>
      </c>
      <c r="AE971" s="258">
        <v>590</v>
      </c>
      <c r="AF971" s="257">
        <f>6238.91*AE971/I971</f>
        <v>5205.7090934804128</v>
      </c>
      <c r="AG971" s="258">
        <v>0</v>
      </c>
      <c r="AH971" s="257">
        <v>0</v>
      </c>
      <c r="AI971" s="258">
        <v>0</v>
      </c>
      <c r="AJ971" s="257">
        <v>0</v>
      </c>
      <c r="AK971" s="258">
        <v>0</v>
      </c>
      <c r="AL971" s="258">
        <v>0</v>
      </c>
      <c r="AM971" s="258">
        <v>0</v>
      </c>
      <c r="AN971" s="258"/>
      <c r="AO971" s="258">
        <v>0</v>
      </c>
    </row>
    <row r="972" spans="1:41" s="259" customFormat="1" ht="36" customHeight="1" x14ac:dyDescent="0.25">
      <c r="B972" s="94" t="s">
        <v>864</v>
      </c>
      <c r="C972" s="261"/>
      <c r="D972" s="124" t="s">
        <v>896</v>
      </c>
      <c r="E972" s="124" t="s">
        <v>896</v>
      </c>
      <c r="F972" s="124" t="s">
        <v>896</v>
      </c>
      <c r="G972" s="124" t="s">
        <v>896</v>
      </c>
      <c r="H972" s="124" t="s">
        <v>896</v>
      </c>
      <c r="I972" s="125">
        <f>SUM(I973:I977)</f>
        <v>3679.7</v>
      </c>
      <c r="J972" s="125">
        <f>SUM(J973:J977)</f>
        <v>2952.8999999999996</v>
      </c>
      <c r="K972" s="125">
        <f>SUM(K973:K977)</f>
        <v>2497.2999999999997</v>
      </c>
      <c r="L972" s="126">
        <f>SUM(L973:L977)</f>
        <v>153</v>
      </c>
      <c r="M972" s="124" t="s">
        <v>896</v>
      </c>
      <c r="N972" s="124" t="s">
        <v>896</v>
      </c>
      <c r="O972" s="127" t="s">
        <v>896</v>
      </c>
      <c r="P972" s="128">
        <v>10106938.780000001</v>
      </c>
      <c r="Q972" s="128">
        <f>Q973+Q974+Q976</f>
        <v>0</v>
      </c>
      <c r="R972" s="128">
        <f>R973+R974+R976</f>
        <v>0</v>
      </c>
      <c r="S972" s="128">
        <f>SUM(S973:S977)</f>
        <v>10106938.780000001</v>
      </c>
      <c r="T972" s="128">
        <f t="shared" si="278"/>
        <v>2746.6746691306362</v>
      </c>
      <c r="U972" s="128">
        <f>MAX(U973:U977)</f>
        <v>8459.7162162162167</v>
      </c>
      <c r="V972" s="257">
        <f t="shared" si="275"/>
        <v>5713.0415470855805</v>
      </c>
      <c r="W972" s="257"/>
      <c r="X972" s="257"/>
      <c r="Y972" s="258"/>
      <c r="Z972" s="258"/>
      <c r="AA972" s="258"/>
      <c r="AB972" s="258"/>
      <c r="AC972" s="258"/>
      <c r="AD972" s="258"/>
      <c r="AE972" s="258"/>
      <c r="AF972" s="258"/>
      <c r="AG972" s="258"/>
      <c r="AH972" s="258"/>
      <c r="AI972" s="258"/>
      <c r="AJ972" s="258"/>
      <c r="AK972" s="258"/>
      <c r="AL972" s="258"/>
      <c r="AM972" s="258"/>
      <c r="AN972" s="258"/>
      <c r="AO972" s="258"/>
    </row>
    <row r="973" spans="1:41" s="259" customFormat="1" ht="36" customHeight="1" x14ac:dyDescent="0.25">
      <c r="A973" s="259">
        <v>1</v>
      </c>
      <c r="B973" s="135">
        <f>SUBTOTAL(103,$A$552:A973)</f>
        <v>364</v>
      </c>
      <c r="C973" s="94" t="s">
        <v>189</v>
      </c>
      <c r="D973" s="124" t="s">
        <v>311</v>
      </c>
      <c r="E973" s="124"/>
      <c r="F973" s="129" t="s">
        <v>269</v>
      </c>
      <c r="G973" s="124" t="s">
        <v>305</v>
      </c>
      <c r="H973" s="124" t="s">
        <v>305</v>
      </c>
      <c r="I973" s="125">
        <v>953.3</v>
      </c>
      <c r="J973" s="125">
        <v>668.7</v>
      </c>
      <c r="K973" s="125">
        <v>542.29999999999995</v>
      </c>
      <c r="L973" s="126">
        <v>31</v>
      </c>
      <c r="M973" s="124" t="s">
        <v>267</v>
      </c>
      <c r="N973" s="124" t="s">
        <v>268</v>
      </c>
      <c r="O973" s="127" t="s">
        <v>270</v>
      </c>
      <c r="P973" s="128">
        <v>3524909.29</v>
      </c>
      <c r="Q973" s="128">
        <v>0</v>
      </c>
      <c r="R973" s="128">
        <v>0</v>
      </c>
      <c r="S973" s="128">
        <f>P973-Q973-R973</f>
        <v>3524909.29</v>
      </c>
      <c r="T973" s="128">
        <f t="shared" si="278"/>
        <v>3697.5865834469737</v>
      </c>
      <c r="U973" s="128">
        <v>4570.5362844854708</v>
      </c>
      <c r="V973" s="257">
        <f t="shared" si="275"/>
        <v>872.9497010384971</v>
      </c>
      <c r="W973" s="257">
        <f t="shared" ref="W973:W977" si="307">X973+Y973+Z973+AA973+AB973+AD973+AF973+AH973+AJ973+AL973+AN973+AO973</f>
        <v>4554.9998531417186</v>
      </c>
      <c r="X973" s="257">
        <v>0</v>
      </c>
      <c r="Y973" s="258">
        <v>0</v>
      </c>
      <c r="Z973" s="258">
        <v>0</v>
      </c>
      <c r="AA973" s="258">
        <v>0</v>
      </c>
      <c r="AB973" s="258">
        <v>0</v>
      </c>
      <c r="AC973" s="258">
        <v>0</v>
      </c>
      <c r="AD973" s="258">
        <v>0</v>
      </c>
      <c r="AE973" s="258">
        <v>696</v>
      </c>
      <c r="AF973" s="257">
        <f>6238.91*AE973/I973</f>
        <v>4554.9998531417186</v>
      </c>
      <c r="AG973" s="258">
        <v>0</v>
      </c>
      <c r="AH973" s="257">
        <v>0</v>
      </c>
      <c r="AI973" s="258">
        <v>0</v>
      </c>
      <c r="AJ973" s="257">
        <v>0</v>
      </c>
      <c r="AK973" s="258">
        <v>0</v>
      </c>
      <c r="AL973" s="258">
        <v>0</v>
      </c>
      <c r="AM973" s="258">
        <v>0</v>
      </c>
      <c r="AN973" s="258"/>
      <c r="AO973" s="258">
        <v>0</v>
      </c>
    </row>
    <row r="974" spans="1:41" s="259" customFormat="1" ht="36" customHeight="1" x14ac:dyDescent="0.25">
      <c r="A974" s="259">
        <v>1</v>
      </c>
      <c r="B974" s="135">
        <f>SUBTOTAL(103,$A$552:A974)</f>
        <v>365</v>
      </c>
      <c r="C974" s="94" t="s">
        <v>190</v>
      </c>
      <c r="D974" s="124" t="s">
        <v>304</v>
      </c>
      <c r="E974" s="124"/>
      <c r="F974" s="129" t="s">
        <v>269</v>
      </c>
      <c r="G974" s="124" t="s">
        <v>305</v>
      </c>
      <c r="H974" s="124" t="s">
        <v>306</v>
      </c>
      <c r="I974" s="125">
        <v>377.4</v>
      </c>
      <c r="J974" s="125">
        <v>377.4</v>
      </c>
      <c r="K974" s="125">
        <v>278.10000000000002</v>
      </c>
      <c r="L974" s="126">
        <v>31</v>
      </c>
      <c r="M974" s="124" t="s">
        <v>267</v>
      </c>
      <c r="N974" s="124" t="s">
        <v>268</v>
      </c>
      <c r="O974" s="127" t="s">
        <v>270</v>
      </c>
      <c r="P974" s="128">
        <v>2601000</v>
      </c>
      <c r="Q974" s="128">
        <v>0</v>
      </c>
      <c r="R974" s="128">
        <v>0</v>
      </c>
      <c r="S974" s="128">
        <f>P974-Q974-R974</f>
        <v>2601000</v>
      </c>
      <c r="T974" s="128">
        <f t="shared" ref="T974:T1037" si="308">P974/I974</f>
        <v>6891.8918918918926</v>
      </c>
      <c r="U974" s="128">
        <v>8459.7162162162167</v>
      </c>
      <c r="V974" s="257">
        <f t="shared" si="275"/>
        <v>1567.8243243243242</v>
      </c>
      <c r="W974" s="257">
        <f t="shared" si="307"/>
        <v>8430.95945945946</v>
      </c>
      <c r="X974" s="257">
        <v>0</v>
      </c>
      <c r="Y974" s="258">
        <v>0</v>
      </c>
      <c r="Z974" s="258">
        <v>0</v>
      </c>
      <c r="AA974" s="258">
        <v>0</v>
      </c>
      <c r="AB974" s="258">
        <v>0</v>
      </c>
      <c r="AC974" s="258">
        <v>0</v>
      </c>
      <c r="AD974" s="258">
        <v>0</v>
      </c>
      <c r="AE974" s="258">
        <v>510</v>
      </c>
      <c r="AF974" s="257">
        <f>6238.91*AE974/I974</f>
        <v>8430.95945945946</v>
      </c>
      <c r="AG974" s="258">
        <v>0</v>
      </c>
      <c r="AH974" s="257">
        <v>0</v>
      </c>
      <c r="AI974" s="258">
        <v>0</v>
      </c>
      <c r="AJ974" s="257">
        <v>0</v>
      </c>
      <c r="AK974" s="258">
        <v>0</v>
      </c>
      <c r="AL974" s="258">
        <v>0</v>
      </c>
      <c r="AM974" s="258">
        <v>0</v>
      </c>
      <c r="AN974" s="258"/>
      <c r="AO974" s="258">
        <v>0</v>
      </c>
    </row>
    <row r="975" spans="1:41" s="259" customFormat="1" ht="36" customHeight="1" x14ac:dyDescent="0.25">
      <c r="A975" s="259">
        <v>1</v>
      </c>
      <c r="B975" s="135">
        <f>SUBTOTAL(103,$A$552:A975)</f>
        <v>366</v>
      </c>
      <c r="C975" s="94" t="s">
        <v>191</v>
      </c>
      <c r="D975" s="124" t="s">
        <v>309</v>
      </c>
      <c r="E975" s="124"/>
      <c r="F975" s="129" t="s">
        <v>320</v>
      </c>
      <c r="G975" s="124" t="s">
        <v>305</v>
      </c>
      <c r="H975" s="124" t="s">
        <v>305</v>
      </c>
      <c r="I975" s="125">
        <v>1058.5999999999999</v>
      </c>
      <c r="J975" s="125">
        <v>653.79999999999995</v>
      </c>
      <c r="K975" s="125">
        <v>608.29999999999995</v>
      </c>
      <c r="L975" s="126">
        <v>42</v>
      </c>
      <c r="M975" s="124" t="s">
        <v>267</v>
      </c>
      <c r="N975" s="124" t="s">
        <v>268</v>
      </c>
      <c r="O975" s="127" t="s">
        <v>270</v>
      </c>
      <c r="P975" s="128">
        <v>1603819.24</v>
      </c>
      <c r="Q975" s="128">
        <v>0</v>
      </c>
      <c r="R975" s="128">
        <v>0</v>
      </c>
      <c r="S975" s="128">
        <f>P975-Q975-R975</f>
        <v>1603819.24</v>
      </c>
      <c r="T975" s="128">
        <f t="shared" si="308"/>
        <v>1515.0380124692992</v>
      </c>
      <c r="U975" s="128">
        <v>3731.4964103532971</v>
      </c>
      <c r="V975" s="257">
        <f t="shared" ref="V975" si="309">U975-T975</f>
        <v>2216.4583978839978</v>
      </c>
      <c r="W975" s="257">
        <f t="shared" ref="W975" si="310">X975+Y975+Z975+AA975+AB975+AD975+AF975+AH975+AJ975+AL975+AN975+AO975</f>
        <v>3913.8351690912527</v>
      </c>
      <c r="X975" s="257">
        <v>0</v>
      </c>
      <c r="Y975" s="258">
        <v>0</v>
      </c>
      <c r="Z975" s="258">
        <v>0</v>
      </c>
      <c r="AA975" s="258">
        <v>0</v>
      </c>
      <c r="AB975" s="258">
        <v>0</v>
      </c>
      <c r="AC975" s="258">
        <v>0</v>
      </c>
      <c r="AD975" s="258">
        <v>0</v>
      </c>
      <c r="AE975" s="258">
        <v>0</v>
      </c>
      <c r="AF975" s="257">
        <v>0</v>
      </c>
      <c r="AG975" s="258">
        <v>0</v>
      </c>
      <c r="AH975" s="257">
        <v>0</v>
      </c>
      <c r="AI975" s="258">
        <v>531</v>
      </c>
      <c r="AJ975" s="257">
        <f>7802.61*AI975/I975</f>
        <v>3913.8351690912527</v>
      </c>
      <c r="AK975" s="258">
        <v>0</v>
      </c>
      <c r="AL975" s="258">
        <v>0</v>
      </c>
      <c r="AM975" s="258">
        <v>0</v>
      </c>
      <c r="AN975" s="258"/>
      <c r="AO975" s="258">
        <v>0</v>
      </c>
    </row>
    <row r="976" spans="1:41" s="259" customFormat="1" ht="36" customHeight="1" x14ac:dyDescent="0.25">
      <c r="A976" s="259">
        <v>1</v>
      </c>
      <c r="B976" s="135">
        <f>SUBTOTAL(103,$A$552:A976)</f>
        <v>367</v>
      </c>
      <c r="C976" s="94" t="s">
        <v>184</v>
      </c>
      <c r="D976" s="124" t="s">
        <v>304</v>
      </c>
      <c r="E976" s="124"/>
      <c r="F976" s="129" t="s">
        <v>269</v>
      </c>
      <c r="G976" s="124" t="s">
        <v>305</v>
      </c>
      <c r="H976" s="124" t="s">
        <v>306</v>
      </c>
      <c r="I976" s="125">
        <v>365</v>
      </c>
      <c r="J976" s="125">
        <v>328</v>
      </c>
      <c r="K976" s="125">
        <v>309.2</v>
      </c>
      <c r="L976" s="126">
        <v>21</v>
      </c>
      <c r="M976" s="124" t="s">
        <v>267</v>
      </c>
      <c r="N976" s="124" t="s">
        <v>268</v>
      </c>
      <c r="O976" s="127" t="s">
        <v>270</v>
      </c>
      <c r="P976" s="128">
        <v>1650705.4600000002</v>
      </c>
      <c r="Q976" s="128">
        <v>0</v>
      </c>
      <c r="R976" s="128">
        <v>0</v>
      </c>
      <c r="S976" s="128">
        <f>P976-Q976-R976</f>
        <v>1650705.4600000002</v>
      </c>
      <c r="T976" s="128">
        <f t="shared" si="308"/>
        <v>4522.4807123287674</v>
      </c>
      <c r="U976" s="128">
        <v>5179.6640547945199</v>
      </c>
      <c r="V976" s="257">
        <f t="shared" si="275"/>
        <v>657.1833424657525</v>
      </c>
      <c r="W976" s="257">
        <f t="shared" si="307"/>
        <v>11351.194273972602</v>
      </c>
      <c r="X976" s="257">
        <v>0</v>
      </c>
      <c r="Y976" s="258">
        <v>0</v>
      </c>
      <c r="Z976" s="258">
        <v>0</v>
      </c>
      <c r="AA976" s="258">
        <v>0</v>
      </c>
      <c r="AB976" s="258">
        <v>0</v>
      </c>
      <c r="AC976" s="258">
        <v>0</v>
      </c>
      <c r="AD976" s="258">
        <v>0</v>
      </c>
      <c r="AE976" s="258">
        <v>0</v>
      </c>
      <c r="AF976" s="257">
        <v>0</v>
      </c>
      <c r="AG976" s="258">
        <v>0</v>
      </c>
      <c r="AH976" s="257">
        <v>0</v>
      </c>
      <c r="AI976" s="258">
        <v>531</v>
      </c>
      <c r="AJ976" s="257">
        <f>7802.61*AI976/I976</f>
        <v>11351.194273972602</v>
      </c>
      <c r="AK976" s="258">
        <v>0</v>
      </c>
      <c r="AL976" s="258">
        <v>0</v>
      </c>
      <c r="AM976" s="258">
        <v>0</v>
      </c>
      <c r="AN976" s="258"/>
      <c r="AO976" s="258">
        <v>0</v>
      </c>
    </row>
    <row r="977" spans="1:41" s="259" customFormat="1" ht="36" customHeight="1" x14ac:dyDescent="0.25">
      <c r="A977" s="259">
        <v>1</v>
      </c>
      <c r="B977" s="135">
        <f>SUBTOTAL(103,$A$552:A977)</f>
        <v>368</v>
      </c>
      <c r="C977" s="94" t="s">
        <v>1276</v>
      </c>
      <c r="D977" s="124">
        <v>1967</v>
      </c>
      <c r="E977" s="124">
        <v>2014</v>
      </c>
      <c r="F977" s="129" t="s">
        <v>269</v>
      </c>
      <c r="G977" s="124">
        <v>2</v>
      </c>
      <c r="H977" s="124" t="s">
        <v>310</v>
      </c>
      <c r="I977" s="128">
        <v>925.4</v>
      </c>
      <c r="J977" s="128">
        <v>925</v>
      </c>
      <c r="K977" s="128">
        <v>759.4</v>
      </c>
      <c r="L977" s="126">
        <v>28</v>
      </c>
      <c r="M977" s="124" t="s">
        <v>267</v>
      </c>
      <c r="N977" s="124" t="s">
        <v>271</v>
      </c>
      <c r="O977" s="127" t="s">
        <v>1354</v>
      </c>
      <c r="P977" s="128">
        <v>726504.79</v>
      </c>
      <c r="Q977" s="128">
        <v>0</v>
      </c>
      <c r="R977" s="128">
        <v>0</v>
      </c>
      <c r="S977" s="128">
        <f>P977-Q977-R977</f>
        <v>726504.79</v>
      </c>
      <c r="T977" s="128">
        <f t="shared" si="308"/>
        <v>785.07109358115417</v>
      </c>
      <c r="U977" s="128">
        <v>810.46</v>
      </c>
      <c r="V977" s="257">
        <f t="shared" si="275"/>
        <v>25.388906418845863</v>
      </c>
      <c r="W977" s="257">
        <f t="shared" si="307"/>
        <v>2036.0393559541822</v>
      </c>
      <c r="X977" s="257">
        <v>0</v>
      </c>
      <c r="Y977" s="258">
        <v>0</v>
      </c>
      <c r="Z977" s="258">
        <v>0</v>
      </c>
      <c r="AA977" s="258">
        <v>0</v>
      </c>
      <c r="AB977" s="258">
        <v>0</v>
      </c>
      <c r="AC977" s="258">
        <v>0</v>
      </c>
      <c r="AD977" s="258">
        <v>0</v>
      </c>
      <c r="AE977" s="258">
        <v>302</v>
      </c>
      <c r="AF977" s="257">
        <f>6238.91*AE977/I977</f>
        <v>2036.0393559541822</v>
      </c>
      <c r="AG977" s="258">
        <v>0</v>
      </c>
      <c r="AH977" s="257">
        <v>0</v>
      </c>
      <c r="AI977" s="258">
        <v>0</v>
      </c>
      <c r="AJ977" s="257">
        <v>0</v>
      </c>
      <c r="AK977" s="258">
        <v>0</v>
      </c>
      <c r="AL977" s="258">
        <v>0</v>
      </c>
      <c r="AM977" s="258">
        <v>0</v>
      </c>
      <c r="AN977" s="258"/>
      <c r="AO977" s="258">
        <v>0</v>
      </c>
    </row>
    <row r="978" spans="1:41" s="259" customFormat="1" ht="36" customHeight="1" x14ac:dyDescent="0.25">
      <c r="B978" s="94" t="s">
        <v>866</v>
      </c>
      <c r="C978" s="94"/>
      <c r="D978" s="124" t="s">
        <v>896</v>
      </c>
      <c r="E978" s="124" t="s">
        <v>896</v>
      </c>
      <c r="F978" s="124" t="s">
        <v>896</v>
      </c>
      <c r="G978" s="124" t="s">
        <v>896</v>
      </c>
      <c r="H978" s="124" t="s">
        <v>896</v>
      </c>
      <c r="I978" s="125">
        <f>I979</f>
        <v>834.7</v>
      </c>
      <c r="J978" s="125">
        <f>J979</f>
        <v>476.3</v>
      </c>
      <c r="K978" s="125">
        <f>K979</f>
        <v>476.3</v>
      </c>
      <c r="L978" s="126">
        <f>L979</f>
        <v>56</v>
      </c>
      <c r="M978" s="124" t="s">
        <v>896</v>
      </c>
      <c r="N978" s="124" t="s">
        <v>896</v>
      </c>
      <c r="O978" s="127" t="s">
        <v>896</v>
      </c>
      <c r="P978" s="128">
        <v>4758057.87</v>
      </c>
      <c r="Q978" s="128">
        <f>Q979</f>
        <v>0</v>
      </c>
      <c r="R978" s="128">
        <f>R979</f>
        <v>0</v>
      </c>
      <c r="S978" s="128">
        <f>S979</f>
        <v>4758057.87</v>
      </c>
      <c r="T978" s="128">
        <f t="shared" si="308"/>
        <v>5700.3209176949804</v>
      </c>
      <c r="U978" s="128">
        <f>U979</f>
        <v>6287.4147390679282</v>
      </c>
      <c r="V978" s="257">
        <f t="shared" si="275"/>
        <v>587.09382137294779</v>
      </c>
      <c r="W978" s="257"/>
      <c r="X978" s="257"/>
      <c r="Y978" s="258"/>
      <c r="Z978" s="258"/>
      <c r="AA978" s="258"/>
      <c r="AB978" s="258"/>
      <c r="AC978" s="258"/>
      <c r="AD978" s="258"/>
      <c r="AE978" s="258"/>
      <c r="AF978" s="258"/>
      <c r="AG978" s="258"/>
      <c r="AH978" s="258"/>
      <c r="AI978" s="258"/>
      <c r="AJ978" s="258"/>
      <c r="AK978" s="258"/>
      <c r="AL978" s="258"/>
      <c r="AM978" s="258"/>
      <c r="AN978" s="258"/>
      <c r="AO978" s="258"/>
    </row>
    <row r="979" spans="1:41" s="259" customFormat="1" ht="36" customHeight="1" x14ac:dyDescent="0.25">
      <c r="A979" s="259">
        <v>1</v>
      </c>
      <c r="B979" s="135">
        <f>SUBTOTAL(103,$A$552:A979)</f>
        <v>369</v>
      </c>
      <c r="C979" s="94" t="s">
        <v>193</v>
      </c>
      <c r="D979" s="124" t="s">
        <v>312</v>
      </c>
      <c r="E979" s="124"/>
      <c r="F979" s="129" t="s">
        <v>313</v>
      </c>
      <c r="G979" s="124" t="s">
        <v>305</v>
      </c>
      <c r="H979" s="124" t="s">
        <v>314</v>
      </c>
      <c r="I979" s="125">
        <v>834.7</v>
      </c>
      <c r="J979" s="125">
        <v>476.3</v>
      </c>
      <c r="K979" s="125">
        <v>476.3</v>
      </c>
      <c r="L979" s="126">
        <v>56</v>
      </c>
      <c r="M979" s="124" t="s">
        <v>267</v>
      </c>
      <c r="N979" s="124" t="s">
        <v>268</v>
      </c>
      <c r="O979" s="127" t="s">
        <v>270</v>
      </c>
      <c r="P979" s="128">
        <v>4758057.87</v>
      </c>
      <c r="Q979" s="128">
        <v>0</v>
      </c>
      <c r="R979" s="128">
        <v>0</v>
      </c>
      <c r="S979" s="128">
        <f>P979-Q979-R979</f>
        <v>4758057.87</v>
      </c>
      <c r="T979" s="128">
        <f t="shared" si="308"/>
        <v>5700.3209176949804</v>
      </c>
      <c r="U979" s="128">
        <v>6287.4147390679282</v>
      </c>
      <c r="V979" s="257">
        <f>U979-T979</f>
        <v>587.09382137294779</v>
      </c>
      <c r="W979" s="257">
        <f>X979+Y979+Z979+AA979+AB979+AD979+AF979+AH979+AJ979+AL979+AN979+AO979</f>
        <v>6266.0421951599374</v>
      </c>
      <c r="X979" s="257">
        <v>0</v>
      </c>
      <c r="Y979" s="258">
        <v>0</v>
      </c>
      <c r="Z979" s="258">
        <v>0</v>
      </c>
      <c r="AA979" s="258">
        <v>0</v>
      </c>
      <c r="AB979" s="258">
        <v>0</v>
      </c>
      <c r="AC979" s="258">
        <v>0</v>
      </c>
      <c r="AD979" s="258">
        <v>0</v>
      </c>
      <c r="AE979" s="258">
        <v>838.33</v>
      </c>
      <c r="AF979" s="257">
        <f>6238.91*AE979/I979</f>
        <v>6266.0421951599374</v>
      </c>
      <c r="AG979" s="258">
        <v>0</v>
      </c>
      <c r="AH979" s="257">
        <v>0</v>
      </c>
      <c r="AI979" s="258">
        <v>0</v>
      </c>
      <c r="AJ979" s="257">
        <v>0</v>
      </c>
      <c r="AK979" s="258">
        <v>0</v>
      </c>
      <c r="AL979" s="258">
        <v>0</v>
      </c>
      <c r="AM979" s="258">
        <v>0</v>
      </c>
      <c r="AN979" s="258"/>
      <c r="AO979" s="258">
        <v>0</v>
      </c>
    </row>
    <row r="980" spans="1:41" s="259" customFormat="1" ht="36" customHeight="1" x14ac:dyDescent="0.25">
      <c r="B980" s="94" t="s">
        <v>867</v>
      </c>
      <c r="C980" s="94"/>
      <c r="D980" s="124" t="s">
        <v>896</v>
      </c>
      <c r="E980" s="124" t="s">
        <v>896</v>
      </c>
      <c r="F980" s="124" t="s">
        <v>896</v>
      </c>
      <c r="G980" s="124" t="s">
        <v>896</v>
      </c>
      <c r="H980" s="124" t="s">
        <v>896</v>
      </c>
      <c r="I980" s="125">
        <f>I981</f>
        <v>350.9</v>
      </c>
      <c r="J980" s="125">
        <f>J981</f>
        <v>350.9</v>
      </c>
      <c r="K980" s="125">
        <f>K981</f>
        <v>266.79999999999995</v>
      </c>
      <c r="L980" s="126">
        <f>L981</f>
        <v>18</v>
      </c>
      <c r="M980" s="124" t="s">
        <v>896</v>
      </c>
      <c r="N980" s="124" t="s">
        <v>896</v>
      </c>
      <c r="O980" s="127" t="s">
        <v>896</v>
      </c>
      <c r="P980" s="128">
        <v>1403643.06</v>
      </c>
      <c r="Q980" s="128">
        <f>Q981</f>
        <v>0</v>
      </c>
      <c r="R980" s="128">
        <f>R981</f>
        <v>0</v>
      </c>
      <c r="S980" s="128">
        <f>S981</f>
        <v>1403643.06</v>
      </c>
      <c r="T980" s="128">
        <f t="shared" si="308"/>
        <v>4000.1227130236539</v>
      </c>
      <c r="U980" s="128">
        <f>U981</f>
        <v>5953.8706432031922</v>
      </c>
      <c r="V980" s="257">
        <f t="shared" si="275"/>
        <v>1953.7479301795383</v>
      </c>
      <c r="W980" s="257"/>
      <c r="X980" s="257"/>
      <c r="Y980" s="258"/>
      <c r="Z980" s="258"/>
      <c r="AA980" s="258"/>
      <c r="AB980" s="258"/>
      <c r="AC980" s="258"/>
      <c r="AD980" s="258"/>
      <c r="AE980" s="258"/>
      <c r="AF980" s="258"/>
      <c r="AG980" s="258"/>
      <c r="AH980" s="258"/>
      <c r="AI980" s="258"/>
      <c r="AJ980" s="258"/>
      <c r="AK980" s="258"/>
      <c r="AL980" s="258"/>
      <c r="AM980" s="258"/>
      <c r="AN980" s="258"/>
      <c r="AO980" s="258"/>
    </row>
    <row r="981" spans="1:41" s="259" customFormat="1" ht="36" customHeight="1" x14ac:dyDescent="0.25">
      <c r="A981" s="259">
        <v>1</v>
      </c>
      <c r="B981" s="135">
        <f>SUBTOTAL(103,$A$552:A981)</f>
        <v>370</v>
      </c>
      <c r="C981" s="94" t="s">
        <v>800</v>
      </c>
      <c r="D981" s="124">
        <v>1930</v>
      </c>
      <c r="E981" s="124"/>
      <c r="F981" s="129" t="s">
        <v>269</v>
      </c>
      <c r="G981" s="124">
        <v>2</v>
      </c>
      <c r="H981" s="124" t="s">
        <v>306</v>
      </c>
      <c r="I981" s="125">
        <v>350.9</v>
      </c>
      <c r="J981" s="125">
        <v>350.9</v>
      </c>
      <c r="K981" s="125">
        <v>266.79999999999995</v>
      </c>
      <c r="L981" s="126">
        <v>18</v>
      </c>
      <c r="M981" s="124" t="s">
        <v>267</v>
      </c>
      <c r="N981" s="124" t="s">
        <v>268</v>
      </c>
      <c r="O981" s="127" t="s">
        <v>270</v>
      </c>
      <c r="P981" s="128">
        <v>1403643.06</v>
      </c>
      <c r="Q981" s="128">
        <v>0</v>
      </c>
      <c r="R981" s="128">
        <v>0</v>
      </c>
      <c r="S981" s="128">
        <f>P981-Q981-R981</f>
        <v>1403643.06</v>
      </c>
      <c r="T981" s="128">
        <f t="shared" si="308"/>
        <v>4000.1227130236539</v>
      </c>
      <c r="U981" s="128">
        <v>5953.8706432031922</v>
      </c>
      <c r="V981" s="257">
        <f>U981-T981</f>
        <v>1953.7479301795383</v>
      </c>
      <c r="W981" s="257">
        <f>X981+Y981+Z981+AA981+AB981+AD981+AF981+AH981+AJ981+AL981+AN981+AO981</f>
        <v>5933.6319016813914</v>
      </c>
      <c r="X981" s="257">
        <v>0</v>
      </c>
      <c r="Y981" s="258">
        <v>0</v>
      </c>
      <c r="Z981" s="258">
        <v>0</v>
      </c>
      <c r="AA981" s="258">
        <v>0</v>
      </c>
      <c r="AB981" s="258">
        <v>0</v>
      </c>
      <c r="AC981" s="258">
        <v>0</v>
      </c>
      <c r="AD981" s="258">
        <v>0</v>
      </c>
      <c r="AE981" s="258">
        <v>333.73</v>
      </c>
      <c r="AF981" s="257">
        <f>6238.91*AE981/I981</f>
        <v>5933.6319016813914</v>
      </c>
      <c r="AG981" s="258">
        <v>0</v>
      </c>
      <c r="AH981" s="257">
        <v>0</v>
      </c>
      <c r="AI981" s="258">
        <v>0</v>
      </c>
      <c r="AJ981" s="257">
        <v>0</v>
      </c>
      <c r="AK981" s="258">
        <v>0</v>
      </c>
      <c r="AL981" s="258">
        <v>0</v>
      </c>
      <c r="AM981" s="258">
        <v>0</v>
      </c>
      <c r="AN981" s="258"/>
      <c r="AO981" s="258">
        <v>0</v>
      </c>
    </row>
    <row r="982" spans="1:41" s="259" customFormat="1" ht="36" customHeight="1" x14ac:dyDescent="0.25">
      <c r="B982" s="94" t="s">
        <v>868</v>
      </c>
      <c r="C982" s="261"/>
      <c r="D982" s="124" t="s">
        <v>896</v>
      </c>
      <c r="E982" s="124" t="s">
        <v>896</v>
      </c>
      <c r="F982" s="124" t="s">
        <v>896</v>
      </c>
      <c r="G982" s="124" t="s">
        <v>896</v>
      </c>
      <c r="H982" s="124" t="s">
        <v>896</v>
      </c>
      <c r="I982" s="125">
        <f>SUM(I983:I988)</f>
        <v>6896.38</v>
      </c>
      <c r="J982" s="125">
        <f t="shared" ref="J982:L982" si="311">SUM(J983:J988)</f>
        <v>5761.48</v>
      </c>
      <c r="K982" s="125">
        <f t="shared" si="311"/>
        <v>4965.5</v>
      </c>
      <c r="L982" s="126">
        <f t="shared" si="311"/>
        <v>316</v>
      </c>
      <c r="M982" s="124" t="s">
        <v>896</v>
      </c>
      <c r="N982" s="124" t="s">
        <v>896</v>
      </c>
      <c r="O982" s="127" t="s">
        <v>896</v>
      </c>
      <c r="P982" s="128">
        <v>15229676.24</v>
      </c>
      <c r="Q982" s="128">
        <f t="shared" ref="Q982:S982" si="312">SUM(Q983:Q988)</f>
        <v>0</v>
      </c>
      <c r="R982" s="128">
        <f t="shared" si="312"/>
        <v>0</v>
      </c>
      <c r="S982" s="128">
        <f t="shared" si="312"/>
        <v>15229676.24</v>
      </c>
      <c r="T982" s="128">
        <f t="shared" si="308"/>
        <v>2208.3580429152685</v>
      </c>
      <c r="U982" s="128">
        <f>MAX(U983:U988)</f>
        <v>4877.2024546424755</v>
      </c>
      <c r="V982" s="257">
        <f t="shared" si="275"/>
        <v>2668.844411727207</v>
      </c>
      <c r="W982" s="257"/>
      <c r="X982" s="257"/>
      <c r="Y982" s="258"/>
      <c r="Z982" s="258"/>
      <c r="AA982" s="258"/>
      <c r="AB982" s="258"/>
      <c r="AC982" s="258"/>
      <c r="AD982" s="258"/>
      <c r="AE982" s="258"/>
      <c r="AF982" s="258"/>
      <c r="AG982" s="258"/>
      <c r="AH982" s="258"/>
      <c r="AI982" s="258"/>
      <c r="AJ982" s="258"/>
      <c r="AK982" s="258"/>
      <c r="AL982" s="258"/>
      <c r="AM982" s="258"/>
      <c r="AN982" s="258"/>
      <c r="AO982" s="258"/>
    </row>
    <row r="983" spans="1:41" s="259" customFormat="1" ht="36" customHeight="1" x14ac:dyDescent="0.25">
      <c r="A983" s="259">
        <v>1</v>
      </c>
      <c r="B983" s="135">
        <f>SUBTOTAL(103,$A$552:A983)</f>
        <v>371</v>
      </c>
      <c r="C983" s="94" t="s">
        <v>212</v>
      </c>
      <c r="D983" s="124">
        <v>1938</v>
      </c>
      <c r="E983" s="124"/>
      <c r="F983" s="129" t="s">
        <v>269</v>
      </c>
      <c r="G983" s="124">
        <v>3</v>
      </c>
      <c r="H983" s="124" t="s">
        <v>310</v>
      </c>
      <c r="I983" s="125">
        <v>1645.1</v>
      </c>
      <c r="J983" s="125">
        <v>1444.2</v>
      </c>
      <c r="K983" s="125">
        <v>1029.4000000000001</v>
      </c>
      <c r="L983" s="126">
        <v>58</v>
      </c>
      <c r="M983" s="124" t="s">
        <v>267</v>
      </c>
      <c r="N983" s="124" t="s">
        <v>268</v>
      </c>
      <c r="O983" s="127" t="s">
        <v>270</v>
      </c>
      <c r="P983" s="128">
        <v>6058289.959999999</v>
      </c>
      <c r="Q983" s="128">
        <v>0</v>
      </c>
      <c r="R983" s="128">
        <v>0</v>
      </c>
      <c r="S983" s="128">
        <f>P983-Q983-R983</f>
        <v>6058289.959999999</v>
      </c>
      <c r="T983" s="128">
        <f t="shared" si="308"/>
        <v>3682.6271716005103</v>
      </c>
      <c r="U983" s="128">
        <v>4577.8424229530119</v>
      </c>
      <c r="V983" s="257">
        <f t="shared" si="275"/>
        <v>895.21525135250158</v>
      </c>
      <c r="W983" s="257">
        <f t="shared" ref="W983:W988" si="313">X983+Y983+Z983+AA983+AB983+AD983+AF983+AH983+AJ983+AL983+AN983+AO983</f>
        <v>4562.2811561607195</v>
      </c>
      <c r="X983" s="257">
        <v>0</v>
      </c>
      <c r="Y983" s="258">
        <v>0</v>
      </c>
      <c r="Z983" s="258">
        <v>0</v>
      </c>
      <c r="AA983" s="258">
        <v>0</v>
      </c>
      <c r="AB983" s="258">
        <v>0</v>
      </c>
      <c r="AC983" s="258">
        <v>0</v>
      </c>
      <c r="AD983" s="258">
        <v>0</v>
      </c>
      <c r="AE983" s="258">
        <v>1203</v>
      </c>
      <c r="AF983" s="257">
        <f>6238.91*AE983/I983</f>
        <v>4562.2811561607195</v>
      </c>
      <c r="AG983" s="258">
        <v>0</v>
      </c>
      <c r="AH983" s="257">
        <v>0</v>
      </c>
      <c r="AI983" s="258">
        <v>0</v>
      </c>
      <c r="AJ983" s="257">
        <v>0</v>
      </c>
      <c r="AK983" s="258">
        <v>0</v>
      </c>
      <c r="AL983" s="258">
        <v>0</v>
      </c>
      <c r="AM983" s="258">
        <v>0</v>
      </c>
      <c r="AN983" s="258"/>
      <c r="AO983" s="258">
        <v>0</v>
      </c>
    </row>
    <row r="984" spans="1:41" s="259" customFormat="1" ht="36" customHeight="1" x14ac:dyDescent="0.25">
      <c r="A984" s="259">
        <v>1</v>
      </c>
      <c r="B984" s="135">
        <f>SUBTOTAL(103,$A$552:A984)</f>
        <v>372</v>
      </c>
      <c r="C984" s="94" t="s">
        <v>213</v>
      </c>
      <c r="D984" s="124">
        <v>1974</v>
      </c>
      <c r="E984" s="124"/>
      <c r="F984" s="129" t="s">
        <v>269</v>
      </c>
      <c r="G984" s="124">
        <v>2</v>
      </c>
      <c r="H984" s="124" t="s">
        <v>305</v>
      </c>
      <c r="I984" s="125">
        <v>749.6</v>
      </c>
      <c r="J984" s="125">
        <v>685.4</v>
      </c>
      <c r="K984" s="125">
        <v>685.4</v>
      </c>
      <c r="L984" s="126">
        <v>36</v>
      </c>
      <c r="M984" s="124" t="s">
        <v>267</v>
      </c>
      <c r="N984" s="124" t="s">
        <v>271</v>
      </c>
      <c r="O984" s="127" t="s">
        <v>334</v>
      </c>
      <c r="P984" s="128">
        <v>2944222.6500000004</v>
      </c>
      <c r="Q984" s="128">
        <v>0</v>
      </c>
      <c r="R984" s="128">
        <v>0</v>
      </c>
      <c r="S984" s="128">
        <f>P984-Q984-R984</f>
        <v>2944222.6500000004</v>
      </c>
      <c r="T984" s="128">
        <f t="shared" si="308"/>
        <v>3927.7249866595521</v>
      </c>
      <c r="U984" s="128">
        <v>4877.2024546424755</v>
      </c>
      <c r="V984" s="257">
        <f t="shared" si="275"/>
        <v>949.47746798292337</v>
      </c>
      <c r="W984" s="257">
        <f t="shared" si="313"/>
        <v>4860.6235859124863</v>
      </c>
      <c r="X984" s="257">
        <v>0</v>
      </c>
      <c r="Y984" s="258">
        <v>0</v>
      </c>
      <c r="Z984" s="258">
        <v>0</v>
      </c>
      <c r="AA984" s="258">
        <v>0</v>
      </c>
      <c r="AB984" s="258">
        <v>0</v>
      </c>
      <c r="AC984" s="258">
        <v>0</v>
      </c>
      <c r="AD984" s="258">
        <v>0</v>
      </c>
      <c r="AE984" s="258">
        <v>584</v>
      </c>
      <c r="AF984" s="257">
        <f>6238.91*AE984/I984</f>
        <v>4860.6235859124863</v>
      </c>
      <c r="AG984" s="258">
        <v>0</v>
      </c>
      <c r="AH984" s="257">
        <v>0</v>
      </c>
      <c r="AI984" s="258">
        <v>0</v>
      </c>
      <c r="AJ984" s="257">
        <v>0</v>
      </c>
      <c r="AK984" s="258">
        <v>0</v>
      </c>
      <c r="AL984" s="258">
        <v>0</v>
      </c>
      <c r="AM984" s="258">
        <v>0</v>
      </c>
      <c r="AN984" s="258"/>
      <c r="AO984" s="258">
        <v>0</v>
      </c>
    </row>
    <row r="985" spans="1:41" s="259" customFormat="1" ht="36" customHeight="1" x14ac:dyDescent="0.25">
      <c r="A985" s="259">
        <v>1</v>
      </c>
      <c r="B985" s="135">
        <f>SUBTOTAL(103,$A$552:A985)</f>
        <v>373</v>
      </c>
      <c r="C985" s="94" t="s">
        <v>218</v>
      </c>
      <c r="D985" s="124">
        <v>1992</v>
      </c>
      <c r="E985" s="124"/>
      <c r="F985" s="129" t="s">
        <v>313</v>
      </c>
      <c r="G985" s="124">
        <v>2</v>
      </c>
      <c r="H985" s="124" t="s">
        <v>305</v>
      </c>
      <c r="I985" s="128">
        <v>690.3</v>
      </c>
      <c r="J985" s="128">
        <v>630.29999999999995</v>
      </c>
      <c r="K985" s="128">
        <v>630.29999999999995</v>
      </c>
      <c r="L985" s="126">
        <v>29</v>
      </c>
      <c r="M985" s="124" t="s">
        <v>267</v>
      </c>
      <c r="N985" s="124" t="s">
        <v>271</v>
      </c>
      <c r="O985" s="127" t="s">
        <v>334</v>
      </c>
      <c r="P985" s="128">
        <v>653859.32000000007</v>
      </c>
      <c r="Q985" s="128">
        <v>0</v>
      </c>
      <c r="R985" s="128">
        <v>0</v>
      </c>
      <c r="S985" s="128">
        <f>P985-Q985-R985</f>
        <v>653859.32000000007</v>
      </c>
      <c r="T985" s="128">
        <f t="shared" si="308"/>
        <v>947.21037230189791</v>
      </c>
      <c r="U985" s="128">
        <v>3259.66</v>
      </c>
      <c r="V985" s="257">
        <f t="shared" ref="V985" si="314">U985-T985</f>
        <v>2312.4496276981017</v>
      </c>
      <c r="W985" s="257">
        <f t="shared" ref="W985" si="315">X985+Y985+Z985+AA985+AB985+AD985+AF985+AH985+AJ985+AL985+AN985+AO985</f>
        <v>3259.66</v>
      </c>
      <c r="X985" s="257">
        <v>0</v>
      </c>
      <c r="Y985" s="258">
        <v>0</v>
      </c>
      <c r="Z985" s="258">
        <v>3259.66</v>
      </c>
      <c r="AA985" s="258">
        <v>0</v>
      </c>
      <c r="AB985" s="258">
        <v>0</v>
      </c>
      <c r="AC985" s="258">
        <v>0</v>
      </c>
      <c r="AD985" s="258">
        <v>0</v>
      </c>
      <c r="AE985" s="258">
        <v>0</v>
      </c>
      <c r="AF985" s="257">
        <v>0</v>
      </c>
      <c r="AG985" s="258">
        <v>0</v>
      </c>
      <c r="AH985" s="257">
        <v>0</v>
      </c>
      <c r="AI985" s="258">
        <v>0</v>
      </c>
      <c r="AJ985" s="257">
        <v>0</v>
      </c>
      <c r="AK985" s="258">
        <v>0</v>
      </c>
      <c r="AL985" s="258">
        <v>0</v>
      </c>
      <c r="AM985" s="258">
        <v>0</v>
      </c>
      <c r="AN985" s="258"/>
      <c r="AO985" s="258">
        <v>0</v>
      </c>
    </row>
    <row r="986" spans="1:41" s="259" customFormat="1" ht="36" customHeight="1" x14ac:dyDescent="0.25">
      <c r="A986" s="259">
        <v>1</v>
      </c>
      <c r="B986" s="135">
        <f>SUBTOTAL(103,$A$552:A986)</f>
        <v>374</v>
      </c>
      <c r="C986" s="94" t="s">
        <v>1570</v>
      </c>
      <c r="D986" s="124">
        <v>1981</v>
      </c>
      <c r="E986" s="124"/>
      <c r="F986" s="129" t="s">
        <v>1585</v>
      </c>
      <c r="G986" s="124">
        <v>2</v>
      </c>
      <c r="H986" s="124" t="s">
        <v>314</v>
      </c>
      <c r="I986" s="128">
        <v>922.9</v>
      </c>
      <c r="J986" s="128">
        <v>838.7</v>
      </c>
      <c r="K986" s="128">
        <v>838.7</v>
      </c>
      <c r="L986" s="126">
        <v>43</v>
      </c>
      <c r="M986" s="124" t="s">
        <v>267</v>
      </c>
      <c r="N986" s="124" t="s">
        <v>268</v>
      </c>
      <c r="O986" s="127" t="s">
        <v>270</v>
      </c>
      <c r="P986" s="128">
        <v>1015000</v>
      </c>
      <c r="Q986" s="128">
        <v>0</v>
      </c>
      <c r="R986" s="128">
        <v>0</v>
      </c>
      <c r="S986" s="128">
        <f>P986-Q986-R986</f>
        <v>1015000</v>
      </c>
      <c r="T986" s="128">
        <f t="shared" si="308"/>
        <v>1099.7941272077148</v>
      </c>
      <c r="U986" s="128">
        <v>3259.66</v>
      </c>
      <c r="V986" s="257">
        <f t="shared" si="275"/>
        <v>2159.8658727922848</v>
      </c>
      <c r="W986" s="257">
        <f t="shared" si="313"/>
        <v>3259.66</v>
      </c>
      <c r="X986" s="257">
        <v>0</v>
      </c>
      <c r="Y986" s="258">
        <v>0</v>
      </c>
      <c r="Z986" s="258">
        <v>3259.66</v>
      </c>
      <c r="AA986" s="258">
        <v>0</v>
      </c>
      <c r="AB986" s="258">
        <v>0</v>
      </c>
      <c r="AC986" s="258">
        <v>0</v>
      </c>
      <c r="AD986" s="258">
        <v>0</v>
      </c>
      <c r="AE986" s="258">
        <v>0</v>
      </c>
      <c r="AF986" s="257">
        <v>0</v>
      </c>
      <c r="AG986" s="258">
        <v>0</v>
      </c>
      <c r="AH986" s="257">
        <v>0</v>
      </c>
      <c r="AI986" s="258">
        <v>0</v>
      </c>
      <c r="AJ986" s="257">
        <v>0</v>
      </c>
      <c r="AK986" s="258">
        <v>0</v>
      </c>
      <c r="AL986" s="258">
        <v>0</v>
      </c>
      <c r="AM986" s="258">
        <v>0</v>
      </c>
      <c r="AN986" s="258"/>
      <c r="AO986" s="258">
        <v>0</v>
      </c>
    </row>
    <row r="987" spans="1:41" s="259" customFormat="1" ht="36" customHeight="1" x14ac:dyDescent="0.25">
      <c r="A987" s="259">
        <v>1</v>
      </c>
      <c r="B987" s="135">
        <f>SUBTOTAL(103,$A$552:A987)</f>
        <v>375</v>
      </c>
      <c r="C987" s="94" t="s">
        <v>1571</v>
      </c>
      <c r="D987" s="124">
        <v>1980</v>
      </c>
      <c r="E987" s="124"/>
      <c r="F987" s="129" t="s">
        <v>1585</v>
      </c>
      <c r="G987" s="124">
        <v>2</v>
      </c>
      <c r="H987" s="124" t="s">
        <v>314</v>
      </c>
      <c r="I987" s="128">
        <v>1035.4000000000001</v>
      </c>
      <c r="J987" s="128">
        <v>947.5</v>
      </c>
      <c r="K987" s="128">
        <v>795.4</v>
      </c>
      <c r="L987" s="126">
        <v>35</v>
      </c>
      <c r="M987" s="124" t="s">
        <v>267</v>
      </c>
      <c r="N987" s="124" t="s">
        <v>268</v>
      </c>
      <c r="O987" s="127" t="s">
        <v>270</v>
      </c>
      <c r="P987" s="128">
        <v>964250</v>
      </c>
      <c r="Q987" s="128">
        <v>0</v>
      </c>
      <c r="R987" s="128">
        <v>0</v>
      </c>
      <c r="S987" s="128">
        <f>P987-R987-Q987</f>
        <v>964250</v>
      </c>
      <c r="T987" s="128">
        <f t="shared" si="308"/>
        <v>931.28259609812619</v>
      </c>
      <c r="U987" s="128">
        <v>3259.66</v>
      </c>
      <c r="V987" s="257">
        <f t="shared" ref="V987:V988" si="316">U987-T987</f>
        <v>2328.3774039018735</v>
      </c>
      <c r="W987" s="257">
        <f t="shared" si="313"/>
        <v>3259.66</v>
      </c>
      <c r="X987" s="257">
        <v>0</v>
      </c>
      <c r="Y987" s="258">
        <v>0</v>
      </c>
      <c r="Z987" s="258">
        <v>3259.66</v>
      </c>
      <c r="AA987" s="258">
        <v>0</v>
      </c>
      <c r="AB987" s="258">
        <v>0</v>
      </c>
      <c r="AC987" s="258">
        <v>0</v>
      </c>
      <c r="AD987" s="258">
        <v>0</v>
      </c>
      <c r="AE987" s="258">
        <v>0</v>
      </c>
      <c r="AF987" s="257">
        <v>0</v>
      </c>
      <c r="AG987" s="258">
        <v>0</v>
      </c>
      <c r="AH987" s="257">
        <v>0</v>
      </c>
      <c r="AI987" s="258">
        <v>0</v>
      </c>
      <c r="AJ987" s="257">
        <v>0</v>
      </c>
      <c r="AK987" s="258">
        <v>0</v>
      </c>
      <c r="AL987" s="258">
        <v>0</v>
      </c>
      <c r="AM987" s="258">
        <v>0</v>
      </c>
      <c r="AN987" s="258"/>
      <c r="AO987" s="258">
        <v>0</v>
      </c>
    </row>
    <row r="988" spans="1:41" s="259" customFormat="1" ht="36" customHeight="1" x14ac:dyDescent="0.25">
      <c r="A988" s="259">
        <v>1</v>
      </c>
      <c r="B988" s="135">
        <f>SUBTOTAL(103,$A$552:A988)</f>
        <v>376</v>
      </c>
      <c r="C988" s="94" t="s">
        <v>1280</v>
      </c>
      <c r="D988" s="124">
        <v>1964</v>
      </c>
      <c r="E988" s="124"/>
      <c r="F988" s="129" t="s">
        <v>269</v>
      </c>
      <c r="G988" s="124">
        <v>2</v>
      </c>
      <c r="H988" s="124" t="s">
        <v>310</v>
      </c>
      <c r="I988" s="128">
        <v>1853.08</v>
      </c>
      <c r="J988" s="128">
        <v>1215.3800000000001</v>
      </c>
      <c r="K988" s="128">
        <v>986.3</v>
      </c>
      <c r="L988" s="126">
        <v>115</v>
      </c>
      <c r="M988" s="124" t="s">
        <v>267</v>
      </c>
      <c r="N988" s="124" t="s">
        <v>271</v>
      </c>
      <c r="O988" s="127" t="s">
        <v>1305</v>
      </c>
      <c r="P988" s="128">
        <v>3594054.31</v>
      </c>
      <c r="Q988" s="128">
        <v>0</v>
      </c>
      <c r="R988" s="128">
        <v>0</v>
      </c>
      <c r="S988" s="128">
        <f>P988-R988-Q988</f>
        <v>3594054.31</v>
      </c>
      <c r="T988" s="128">
        <f t="shared" si="308"/>
        <v>1939.5030489779178</v>
      </c>
      <c r="U988" s="128">
        <v>3259.66</v>
      </c>
      <c r="V988" s="257">
        <f t="shared" si="316"/>
        <v>1320.156951022082</v>
      </c>
      <c r="W988" s="257">
        <f t="shared" si="313"/>
        <v>3259.66</v>
      </c>
      <c r="X988" s="257">
        <v>0</v>
      </c>
      <c r="Y988" s="258">
        <v>0</v>
      </c>
      <c r="Z988" s="258">
        <v>3259.66</v>
      </c>
      <c r="AA988" s="258">
        <v>0</v>
      </c>
      <c r="AB988" s="258">
        <v>0</v>
      </c>
      <c r="AC988" s="258">
        <v>0</v>
      </c>
      <c r="AD988" s="258">
        <v>0</v>
      </c>
      <c r="AE988" s="258">
        <v>0</v>
      </c>
      <c r="AF988" s="257">
        <v>0</v>
      </c>
      <c r="AG988" s="258">
        <v>0</v>
      </c>
      <c r="AH988" s="257">
        <v>0</v>
      </c>
      <c r="AI988" s="258">
        <v>0</v>
      </c>
      <c r="AJ988" s="257">
        <v>0</v>
      </c>
      <c r="AK988" s="258">
        <v>0</v>
      </c>
      <c r="AL988" s="258">
        <v>0</v>
      </c>
      <c r="AM988" s="258">
        <v>0</v>
      </c>
      <c r="AN988" s="258"/>
      <c r="AO988" s="258">
        <v>0</v>
      </c>
    </row>
    <row r="989" spans="1:41" s="259" customFormat="1" ht="36" customHeight="1" x14ac:dyDescent="0.25">
      <c r="B989" s="94" t="s">
        <v>869</v>
      </c>
      <c r="C989" s="94"/>
      <c r="D989" s="124" t="s">
        <v>896</v>
      </c>
      <c r="E989" s="124" t="s">
        <v>896</v>
      </c>
      <c r="F989" s="124" t="s">
        <v>896</v>
      </c>
      <c r="G989" s="124" t="s">
        <v>896</v>
      </c>
      <c r="H989" s="124" t="s">
        <v>896</v>
      </c>
      <c r="I989" s="125">
        <f>SUM(I990:I993)</f>
        <v>2986.5999999999995</v>
      </c>
      <c r="J989" s="125">
        <f t="shared" ref="J989:L989" si="317">SUM(J990:J993)</f>
        <v>2755.5999999999995</v>
      </c>
      <c r="K989" s="125">
        <f t="shared" si="317"/>
        <v>2730.5999999999995</v>
      </c>
      <c r="L989" s="126">
        <f t="shared" si="317"/>
        <v>122</v>
      </c>
      <c r="M989" s="124" t="s">
        <v>896</v>
      </c>
      <c r="N989" s="124" t="s">
        <v>896</v>
      </c>
      <c r="O989" s="127" t="s">
        <v>896</v>
      </c>
      <c r="P989" s="128">
        <v>8045705.7599999988</v>
      </c>
      <c r="Q989" s="128">
        <f t="shared" ref="Q989:S989" si="318">SUM(Q990:Q993)</f>
        <v>0</v>
      </c>
      <c r="R989" s="128">
        <f t="shared" si="318"/>
        <v>0</v>
      </c>
      <c r="S989" s="128">
        <f t="shared" si="318"/>
        <v>8045705.7599999988</v>
      </c>
      <c r="T989" s="128">
        <f t="shared" si="308"/>
        <v>2693.934828902431</v>
      </c>
      <c r="U989" s="128">
        <f>MAX(U990:U993)</f>
        <v>5278.3804572271383</v>
      </c>
      <c r="V989" s="257">
        <f t="shared" ref="V989:V1055" si="319">U989-T989</f>
        <v>2584.4456283247073</v>
      </c>
      <c r="W989" s="257"/>
      <c r="X989" s="257"/>
      <c r="Y989" s="258"/>
      <c r="Z989" s="258"/>
      <c r="AA989" s="258"/>
      <c r="AB989" s="258"/>
      <c r="AC989" s="258"/>
      <c r="AD989" s="258"/>
      <c r="AE989" s="258"/>
      <c r="AF989" s="258"/>
      <c r="AG989" s="258"/>
      <c r="AH989" s="258"/>
      <c r="AI989" s="258"/>
      <c r="AJ989" s="258"/>
      <c r="AK989" s="258"/>
      <c r="AL989" s="258"/>
      <c r="AM989" s="258"/>
      <c r="AN989" s="258"/>
      <c r="AO989" s="258"/>
    </row>
    <row r="990" spans="1:41" s="259" customFormat="1" ht="36" customHeight="1" x14ac:dyDescent="0.25">
      <c r="A990" s="259">
        <v>1</v>
      </c>
      <c r="B990" s="135">
        <f>SUBTOTAL(103,$A$552:A990)</f>
        <v>377</v>
      </c>
      <c r="C990" s="94" t="s">
        <v>225</v>
      </c>
      <c r="D990" s="124">
        <v>1973</v>
      </c>
      <c r="E990" s="124"/>
      <c r="F990" s="129" t="s">
        <v>269</v>
      </c>
      <c r="G990" s="124">
        <v>2</v>
      </c>
      <c r="H990" s="124" t="s">
        <v>305</v>
      </c>
      <c r="I990" s="128">
        <v>813.6</v>
      </c>
      <c r="J990" s="128">
        <v>752.3</v>
      </c>
      <c r="K990" s="128">
        <v>752.3</v>
      </c>
      <c r="L990" s="126">
        <v>39</v>
      </c>
      <c r="M990" s="124" t="s">
        <v>267</v>
      </c>
      <c r="N990" s="124" t="s">
        <v>268</v>
      </c>
      <c r="O990" s="127" t="s">
        <v>270</v>
      </c>
      <c r="P990" s="128">
        <v>3575027.3</v>
      </c>
      <c r="Q990" s="128">
        <v>0</v>
      </c>
      <c r="R990" s="128">
        <v>0</v>
      </c>
      <c r="S990" s="128">
        <f>P990-Q990-R990</f>
        <v>3575027.3</v>
      </c>
      <c r="T990" s="128">
        <f t="shared" si="308"/>
        <v>4394.0846853490657</v>
      </c>
      <c r="U990" s="128">
        <v>5278.3804572271383</v>
      </c>
      <c r="V990" s="257">
        <f t="shared" si="319"/>
        <v>884.29577187807263</v>
      </c>
      <c r="W990" s="257">
        <f t="shared" ref="W990:W992" si="320">X990+Y990+Z990+AA990+AB990+AD990+AF990+AH990+AJ990+AL990+AN990+AO990</f>
        <v>3259.66</v>
      </c>
      <c r="X990" s="257">
        <v>0</v>
      </c>
      <c r="Y990" s="258">
        <v>0</v>
      </c>
      <c r="Z990" s="258">
        <v>3259.66</v>
      </c>
      <c r="AA990" s="258">
        <v>0</v>
      </c>
      <c r="AB990" s="258">
        <v>0</v>
      </c>
      <c r="AC990" s="258">
        <v>0</v>
      </c>
      <c r="AD990" s="258">
        <v>0</v>
      </c>
      <c r="AE990" s="258">
        <v>0</v>
      </c>
      <c r="AF990" s="257">
        <v>0</v>
      </c>
      <c r="AG990" s="258">
        <v>0</v>
      </c>
      <c r="AH990" s="257">
        <v>0</v>
      </c>
      <c r="AI990" s="258">
        <v>0</v>
      </c>
      <c r="AJ990" s="257">
        <v>0</v>
      </c>
      <c r="AK990" s="258">
        <v>0</v>
      </c>
      <c r="AL990" s="258">
        <v>0</v>
      </c>
      <c r="AM990" s="258">
        <v>0</v>
      </c>
      <c r="AN990" s="258"/>
      <c r="AO990" s="258">
        <v>0</v>
      </c>
    </row>
    <row r="991" spans="1:41" s="259" customFormat="1" ht="36" customHeight="1" x14ac:dyDescent="0.25">
      <c r="A991" s="259">
        <v>1</v>
      </c>
      <c r="B991" s="135">
        <f>SUBTOTAL(103,$A$552:A991)</f>
        <v>378</v>
      </c>
      <c r="C991" s="94" t="s">
        <v>220</v>
      </c>
      <c r="D991" s="124">
        <v>1973</v>
      </c>
      <c r="E991" s="124"/>
      <c r="F991" s="129" t="s">
        <v>269</v>
      </c>
      <c r="G991" s="124">
        <v>2</v>
      </c>
      <c r="H991" s="124" t="s">
        <v>305</v>
      </c>
      <c r="I991" s="128">
        <v>775.5</v>
      </c>
      <c r="J991" s="128">
        <v>715.8</v>
      </c>
      <c r="K991" s="128">
        <v>715.8</v>
      </c>
      <c r="L991" s="126">
        <v>31</v>
      </c>
      <c r="M991" s="124" t="s">
        <v>267</v>
      </c>
      <c r="N991" s="124" t="s">
        <v>271</v>
      </c>
      <c r="O991" s="127" t="s">
        <v>334</v>
      </c>
      <c r="P991" s="128">
        <v>400289.33999999997</v>
      </c>
      <c r="Q991" s="128">
        <v>0</v>
      </c>
      <c r="R991" s="128">
        <v>0</v>
      </c>
      <c r="S991" s="128">
        <f>P991-R991-Q991</f>
        <v>400289.33999999997</v>
      </c>
      <c r="T991" s="128">
        <f t="shared" si="308"/>
        <v>516.16936170212762</v>
      </c>
      <c r="U991" s="128">
        <v>516.16936170212762</v>
      </c>
      <c r="V991" s="257">
        <f t="shared" si="319"/>
        <v>0</v>
      </c>
      <c r="W991" s="257">
        <f t="shared" si="320"/>
        <v>3259.66</v>
      </c>
      <c r="X991" s="257">
        <v>0</v>
      </c>
      <c r="Y991" s="258">
        <v>0</v>
      </c>
      <c r="Z991" s="258">
        <v>3259.66</v>
      </c>
      <c r="AA991" s="258">
        <v>0</v>
      </c>
      <c r="AB991" s="258">
        <v>0</v>
      </c>
      <c r="AC991" s="258">
        <v>0</v>
      </c>
      <c r="AD991" s="258">
        <v>0</v>
      </c>
      <c r="AE991" s="258">
        <v>0</v>
      </c>
      <c r="AF991" s="257">
        <v>0</v>
      </c>
      <c r="AG991" s="258">
        <v>0</v>
      </c>
      <c r="AH991" s="257">
        <v>0</v>
      </c>
      <c r="AI991" s="258">
        <v>0</v>
      </c>
      <c r="AJ991" s="257">
        <v>0</v>
      </c>
      <c r="AK991" s="258">
        <v>0</v>
      </c>
      <c r="AL991" s="258">
        <v>0</v>
      </c>
      <c r="AM991" s="258">
        <v>0</v>
      </c>
      <c r="AN991" s="258"/>
      <c r="AO991" s="258">
        <v>0</v>
      </c>
    </row>
    <row r="992" spans="1:41" s="259" customFormat="1" ht="36" customHeight="1" x14ac:dyDescent="0.25">
      <c r="A992" s="259">
        <v>1</v>
      </c>
      <c r="B992" s="135">
        <f>SUBTOTAL(103,$A$552:A992)</f>
        <v>379</v>
      </c>
      <c r="C992" s="94" t="s">
        <v>226</v>
      </c>
      <c r="D992" s="124">
        <v>1978</v>
      </c>
      <c r="E992" s="124"/>
      <c r="F992" s="129" t="s">
        <v>313</v>
      </c>
      <c r="G992" s="124">
        <v>3</v>
      </c>
      <c r="H992" s="124" t="s">
        <v>305</v>
      </c>
      <c r="I992" s="128">
        <v>1015.3</v>
      </c>
      <c r="J992" s="128">
        <v>929.3</v>
      </c>
      <c r="K992" s="128">
        <v>929.3</v>
      </c>
      <c r="L992" s="126">
        <v>37</v>
      </c>
      <c r="M992" s="124" t="s">
        <v>267</v>
      </c>
      <c r="N992" s="124" t="s">
        <v>271</v>
      </c>
      <c r="O992" s="127" t="s">
        <v>334</v>
      </c>
      <c r="P992" s="128">
        <v>3386066.8299999996</v>
      </c>
      <c r="Q992" s="128">
        <v>0</v>
      </c>
      <c r="R992" s="128">
        <v>0</v>
      </c>
      <c r="S992" s="128">
        <f>P992-R992-Q992</f>
        <v>3386066.8299999996</v>
      </c>
      <c r="T992" s="128">
        <f t="shared" si="308"/>
        <v>3335.0407071801437</v>
      </c>
      <c r="U992" s="128">
        <v>3446.2236875800254</v>
      </c>
      <c r="V992" s="257">
        <f t="shared" si="319"/>
        <v>111.18298039988167</v>
      </c>
      <c r="W992" s="257">
        <f t="shared" si="320"/>
        <v>3259.66</v>
      </c>
      <c r="X992" s="257">
        <v>0</v>
      </c>
      <c r="Y992" s="258">
        <v>0</v>
      </c>
      <c r="Z992" s="258">
        <v>3259.66</v>
      </c>
      <c r="AA992" s="258">
        <v>0</v>
      </c>
      <c r="AB992" s="258">
        <v>0</v>
      </c>
      <c r="AC992" s="258">
        <v>0</v>
      </c>
      <c r="AD992" s="258">
        <v>0</v>
      </c>
      <c r="AE992" s="258">
        <v>0</v>
      </c>
      <c r="AF992" s="257">
        <v>0</v>
      </c>
      <c r="AG992" s="258">
        <v>0</v>
      </c>
      <c r="AH992" s="257">
        <v>0</v>
      </c>
      <c r="AI992" s="258">
        <v>0</v>
      </c>
      <c r="AJ992" s="257">
        <v>0</v>
      </c>
      <c r="AK992" s="258">
        <v>0</v>
      </c>
      <c r="AL992" s="258">
        <v>0</v>
      </c>
      <c r="AM992" s="258">
        <v>0</v>
      </c>
      <c r="AN992" s="258"/>
      <c r="AO992" s="258">
        <v>0</v>
      </c>
    </row>
    <row r="993" spans="1:41" s="259" customFormat="1" ht="36" customHeight="1" x14ac:dyDescent="0.25">
      <c r="A993" s="259">
        <v>1</v>
      </c>
      <c r="B993" s="135">
        <f>SUBTOTAL(103,$A$552:A993)</f>
        <v>380</v>
      </c>
      <c r="C993" s="94" t="s">
        <v>1281</v>
      </c>
      <c r="D993" s="124">
        <v>1970</v>
      </c>
      <c r="E993" s="124"/>
      <c r="F993" s="129" t="s">
        <v>269</v>
      </c>
      <c r="G993" s="124">
        <v>2</v>
      </c>
      <c r="H993" s="124" t="s">
        <v>306</v>
      </c>
      <c r="I993" s="125">
        <v>382.2</v>
      </c>
      <c r="J993" s="125">
        <v>358.2</v>
      </c>
      <c r="K993" s="125">
        <v>333.2</v>
      </c>
      <c r="L993" s="126">
        <v>15</v>
      </c>
      <c r="M993" s="124" t="s">
        <v>267</v>
      </c>
      <c r="N993" s="124" t="s">
        <v>271</v>
      </c>
      <c r="O993" s="127" t="s">
        <v>1355</v>
      </c>
      <c r="P993" s="128">
        <v>684322.28999999992</v>
      </c>
      <c r="Q993" s="128">
        <v>0</v>
      </c>
      <c r="R993" s="128">
        <v>0</v>
      </c>
      <c r="S993" s="128">
        <f>P993-Q993-R993</f>
        <v>684322.28999999992</v>
      </c>
      <c r="T993" s="128">
        <f t="shared" si="308"/>
        <v>1790.4821821036105</v>
      </c>
      <c r="U993" s="128">
        <v>1790.4821821036105</v>
      </c>
      <c r="V993" s="257">
        <f>U993-T993</f>
        <v>0</v>
      </c>
      <c r="W993" s="257">
        <f>X993+Y993+Z993+AA993+AB993+AD993+AF993+AH993+AJ993+AL993+AN993+AO993</f>
        <v>11198.043589743589</v>
      </c>
      <c r="X993" s="257">
        <v>0</v>
      </c>
      <c r="Y993" s="258">
        <v>0</v>
      </c>
      <c r="Z993" s="258">
        <v>0</v>
      </c>
      <c r="AA993" s="258">
        <v>0</v>
      </c>
      <c r="AB993" s="258">
        <v>0</v>
      </c>
      <c r="AC993" s="258">
        <v>0</v>
      </c>
      <c r="AD993" s="258">
        <v>0</v>
      </c>
      <c r="AE993" s="258">
        <v>686</v>
      </c>
      <c r="AF993" s="257">
        <f>6238.91*AE993/I993</f>
        <v>11198.043589743589</v>
      </c>
      <c r="AG993" s="258">
        <v>0</v>
      </c>
      <c r="AH993" s="257">
        <v>0</v>
      </c>
      <c r="AI993" s="258">
        <v>0</v>
      </c>
      <c r="AJ993" s="257">
        <v>0</v>
      </c>
      <c r="AK993" s="258">
        <v>0</v>
      </c>
      <c r="AL993" s="258">
        <v>0</v>
      </c>
      <c r="AM993" s="258">
        <v>0</v>
      </c>
      <c r="AN993" s="258"/>
      <c r="AO993" s="258">
        <v>0</v>
      </c>
    </row>
    <row r="994" spans="1:41" s="259" customFormat="1" ht="36" customHeight="1" x14ac:dyDescent="0.25">
      <c r="B994" s="94" t="s">
        <v>871</v>
      </c>
      <c r="C994" s="94"/>
      <c r="D994" s="124" t="s">
        <v>896</v>
      </c>
      <c r="E994" s="124" t="s">
        <v>896</v>
      </c>
      <c r="F994" s="124" t="s">
        <v>896</v>
      </c>
      <c r="G994" s="124" t="s">
        <v>896</v>
      </c>
      <c r="H994" s="124" t="s">
        <v>896</v>
      </c>
      <c r="I994" s="125">
        <f>I995</f>
        <v>791.9</v>
      </c>
      <c r="J994" s="125">
        <f>J995</f>
        <v>736.9</v>
      </c>
      <c r="K994" s="125">
        <f>K995</f>
        <v>695.3</v>
      </c>
      <c r="L994" s="126">
        <f>L995</f>
        <v>27</v>
      </c>
      <c r="M994" s="124" t="s">
        <v>896</v>
      </c>
      <c r="N994" s="124" t="s">
        <v>896</v>
      </c>
      <c r="O994" s="127" t="s">
        <v>896</v>
      </c>
      <c r="P994" s="128">
        <v>3415978.9200000004</v>
      </c>
      <c r="Q994" s="128">
        <f>Q995</f>
        <v>0</v>
      </c>
      <c r="R994" s="128">
        <f>R995</f>
        <v>0</v>
      </c>
      <c r="S994" s="128">
        <f>S995</f>
        <v>3415978.9200000004</v>
      </c>
      <c r="T994" s="128">
        <f t="shared" si="308"/>
        <v>4313.649349665362</v>
      </c>
      <c r="U994" s="128">
        <f>U995</f>
        <v>5007.2033665866893</v>
      </c>
      <c r="V994" s="257">
        <f t="shared" ref="V994" si="321">U994-T994</f>
        <v>693.55401692132727</v>
      </c>
      <c r="W994" s="257"/>
      <c r="X994" s="257"/>
      <c r="Y994" s="258"/>
      <c r="Z994" s="258"/>
      <c r="AA994" s="258"/>
      <c r="AB994" s="258"/>
      <c r="AC994" s="258"/>
      <c r="AD994" s="258"/>
      <c r="AE994" s="258"/>
      <c r="AF994" s="258"/>
      <c r="AG994" s="258"/>
      <c r="AH994" s="258"/>
      <c r="AI994" s="258"/>
      <c r="AJ994" s="258"/>
      <c r="AK994" s="258"/>
      <c r="AL994" s="258"/>
      <c r="AM994" s="258"/>
      <c r="AN994" s="258"/>
      <c r="AO994" s="258"/>
    </row>
    <row r="995" spans="1:41" s="259" customFormat="1" ht="36" customHeight="1" x14ac:dyDescent="0.25">
      <c r="A995" s="259">
        <v>1</v>
      </c>
      <c r="B995" s="135">
        <f>SUBTOTAL(103,$A$552:A995)</f>
        <v>381</v>
      </c>
      <c r="C995" s="94" t="s">
        <v>219</v>
      </c>
      <c r="D995" s="124">
        <v>1979</v>
      </c>
      <c r="E995" s="124"/>
      <c r="F995" s="129" t="s">
        <v>269</v>
      </c>
      <c r="G995" s="124">
        <v>2</v>
      </c>
      <c r="H995" s="124" t="s">
        <v>305</v>
      </c>
      <c r="I995" s="125">
        <v>791.9</v>
      </c>
      <c r="J995" s="125">
        <v>736.9</v>
      </c>
      <c r="K995" s="125">
        <v>695.3</v>
      </c>
      <c r="L995" s="126">
        <v>27</v>
      </c>
      <c r="M995" s="124" t="s">
        <v>267</v>
      </c>
      <c r="N995" s="124" t="s">
        <v>268</v>
      </c>
      <c r="O995" s="127" t="s">
        <v>270</v>
      </c>
      <c r="P995" s="128">
        <v>3415978.9200000004</v>
      </c>
      <c r="Q995" s="128">
        <v>0</v>
      </c>
      <c r="R995" s="128">
        <v>0</v>
      </c>
      <c r="S995" s="128">
        <f>P995-Q995-R995</f>
        <v>3415978.9200000004</v>
      </c>
      <c r="T995" s="128">
        <f t="shared" si="308"/>
        <v>4313.649349665362</v>
      </c>
      <c r="U995" s="128">
        <v>5007.2033665866893</v>
      </c>
      <c r="V995" s="257">
        <f>U995-T995</f>
        <v>693.55401692132727</v>
      </c>
      <c r="W995" s="257">
        <f>X995+Y995+Z995+AA995+AB995+AD995+AF995+AH995+AJ995+AL995+AN995+AO995</f>
        <v>4990.1825912362665</v>
      </c>
      <c r="X995" s="257">
        <v>0</v>
      </c>
      <c r="Y995" s="258">
        <v>0</v>
      </c>
      <c r="Z995" s="258">
        <v>0</v>
      </c>
      <c r="AA995" s="258">
        <v>0</v>
      </c>
      <c r="AB995" s="258">
        <v>0</v>
      </c>
      <c r="AC995" s="258">
        <v>0</v>
      </c>
      <c r="AD995" s="258">
        <v>0</v>
      </c>
      <c r="AE995" s="258">
        <v>633.4</v>
      </c>
      <c r="AF995" s="257">
        <f>6238.91*AE995/I995</f>
        <v>4990.1825912362665</v>
      </c>
      <c r="AG995" s="258">
        <v>0</v>
      </c>
      <c r="AH995" s="257">
        <v>0</v>
      </c>
      <c r="AI995" s="258">
        <v>0</v>
      </c>
      <c r="AJ995" s="257">
        <v>0</v>
      </c>
      <c r="AK995" s="258">
        <v>0</v>
      </c>
      <c r="AL995" s="258">
        <v>0</v>
      </c>
      <c r="AM995" s="258">
        <v>0</v>
      </c>
      <c r="AN995" s="258"/>
      <c r="AO995" s="258">
        <v>0</v>
      </c>
    </row>
    <row r="996" spans="1:41" s="259" customFormat="1" ht="36" customHeight="1" x14ac:dyDescent="0.25">
      <c r="B996" s="94" t="s">
        <v>870</v>
      </c>
      <c r="C996" s="94"/>
      <c r="D996" s="124" t="s">
        <v>896</v>
      </c>
      <c r="E996" s="124" t="s">
        <v>896</v>
      </c>
      <c r="F996" s="124" t="s">
        <v>896</v>
      </c>
      <c r="G996" s="124" t="s">
        <v>896</v>
      </c>
      <c r="H996" s="124" t="s">
        <v>896</v>
      </c>
      <c r="I996" s="125">
        <f>I997</f>
        <v>212.1</v>
      </c>
      <c r="J996" s="125">
        <f>J997</f>
        <v>212.1</v>
      </c>
      <c r="K996" s="125">
        <f>K997</f>
        <v>187.1</v>
      </c>
      <c r="L996" s="126">
        <f>L997</f>
        <v>7</v>
      </c>
      <c r="M996" s="124" t="s">
        <v>896</v>
      </c>
      <c r="N996" s="124" t="s">
        <v>896</v>
      </c>
      <c r="O996" s="127" t="s">
        <v>896</v>
      </c>
      <c r="P996" s="128">
        <v>236034.47</v>
      </c>
      <c r="Q996" s="128">
        <f>Q997</f>
        <v>0</v>
      </c>
      <c r="R996" s="128">
        <f>R997</f>
        <v>0</v>
      </c>
      <c r="S996" s="128">
        <f>S997</f>
        <v>236034.47</v>
      </c>
      <c r="T996" s="128">
        <f t="shared" si="308"/>
        <v>1112.8452145214521</v>
      </c>
      <c r="U996" s="128">
        <f>U997</f>
        <v>1112.8452145214521</v>
      </c>
      <c r="V996" s="257">
        <f t="shared" si="319"/>
        <v>0</v>
      </c>
      <c r="W996" s="257"/>
      <c r="X996" s="257"/>
      <c r="Y996" s="258"/>
      <c r="Z996" s="258"/>
      <c r="AA996" s="258"/>
      <c r="AB996" s="258"/>
      <c r="AC996" s="258"/>
      <c r="AD996" s="258"/>
      <c r="AE996" s="258"/>
      <c r="AF996" s="258"/>
      <c r="AG996" s="258"/>
      <c r="AH996" s="258"/>
      <c r="AI996" s="258"/>
      <c r="AJ996" s="258"/>
      <c r="AK996" s="258"/>
      <c r="AL996" s="258"/>
      <c r="AM996" s="258"/>
      <c r="AN996" s="258"/>
      <c r="AO996" s="258"/>
    </row>
    <row r="997" spans="1:41" s="259" customFormat="1" ht="36" customHeight="1" x14ac:dyDescent="0.25">
      <c r="A997" s="259">
        <v>1</v>
      </c>
      <c r="B997" s="135">
        <f>SUBTOTAL(103,$A$552:A997)</f>
        <v>382</v>
      </c>
      <c r="C997" s="94" t="s">
        <v>224</v>
      </c>
      <c r="D997" s="124">
        <v>1962</v>
      </c>
      <c r="E997" s="124"/>
      <c r="F997" s="129" t="s">
        <v>269</v>
      </c>
      <c r="G997" s="124">
        <v>2</v>
      </c>
      <c r="H997" s="124" t="s">
        <v>306</v>
      </c>
      <c r="I997" s="125">
        <v>212.1</v>
      </c>
      <c r="J997" s="125">
        <v>212.1</v>
      </c>
      <c r="K997" s="125">
        <v>187.1</v>
      </c>
      <c r="L997" s="126">
        <v>7</v>
      </c>
      <c r="M997" s="124" t="s">
        <v>267</v>
      </c>
      <c r="N997" s="124" t="s">
        <v>268</v>
      </c>
      <c r="O997" s="127" t="s">
        <v>270</v>
      </c>
      <c r="P997" s="128">
        <v>236034.47</v>
      </c>
      <c r="Q997" s="128">
        <v>0</v>
      </c>
      <c r="R997" s="128">
        <v>0</v>
      </c>
      <c r="S997" s="128">
        <f>P997-Q997-R997</f>
        <v>236034.47</v>
      </c>
      <c r="T997" s="128">
        <f t="shared" si="308"/>
        <v>1112.8452145214521</v>
      </c>
      <c r="U997" s="128">
        <v>1112.8452145214521</v>
      </c>
      <c r="V997" s="257">
        <f>U997-T997</f>
        <v>0</v>
      </c>
      <c r="W997" s="257">
        <f>X997+Y997+Z997+AA997+AB997+AD997+AF997+AH997+AJ997+AL997+AN997+AO997</f>
        <v>18631.426657237153</v>
      </c>
      <c r="X997" s="257">
        <v>0</v>
      </c>
      <c r="Y997" s="258">
        <v>0</v>
      </c>
      <c r="Z997" s="258">
        <v>0</v>
      </c>
      <c r="AA997" s="258">
        <v>0</v>
      </c>
      <c r="AB997" s="258">
        <v>0</v>
      </c>
      <c r="AC997" s="258">
        <v>0</v>
      </c>
      <c r="AD997" s="258">
        <v>0</v>
      </c>
      <c r="AE997" s="258">
        <v>633.4</v>
      </c>
      <c r="AF997" s="257">
        <f>6238.91*AE997/I997</f>
        <v>18631.426657237153</v>
      </c>
      <c r="AG997" s="258">
        <v>0</v>
      </c>
      <c r="AH997" s="257">
        <v>0</v>
      </c>
      <c r="AI997" s="258">
        <v>0</v>
      </c>
      <c r="AJ997" s="257">
        <v>0</v>
      </c>
      <c r="AK997" s="258">
        <v>0</v>
      </c>
      <c r="AL997" s="258">
        <v>0</v>
      </c>
      <c r="AM997" s="258">
        <v>0</v>
      </c>
      <c r="AN997" s="258"/>
      <c r="AO997" s="258">
        <v>0</v>
      </c>
    </row>
    <row r="998" spans="1:41" s="259" customFormat="1" ht="36" customHeight="1" x14ac:dyDescent="0.25">
      <c r="B998" s="94" t="s">
        <v>761</v>
      </c>
      <c r="C998" s="256"/>
      <c r="D998" s="124" t="s">
        <v>896</v>
      </c>
      <c r="E998" s="124" t="s">
        <v>896</v>
      </c>
      <c r="F998" s="124" t="s">
        <v>896</v>
      </c>
      <c r="G998" s="124" t="s">
        <v>896</v>
      </c>
      <c r="H998" s="124" t="s">
        <v>896</v>
      </c>
      <c r="I998" s="125">
        <f>I999+I1062+I1077+I1104+I1116+I1119+I1128+I1131+I1135+I1138+I1140+I1142+I1145+I1147+I1149+I1156+I1160+I1162+I1164+I1166+I1169+I1172+I1174+I1176+I1178+I1185+I1188+I1192+I1195+I1197+I1201+I1203+I1205+I1207+I1209+I1211+I1213+I1217+I1219+I1221+I1223+I1227+I1229+I1231+I1233+I1236+I1240+I1244+I1248+I1251+I1253+I1255+I1258+I1262+I1264+I1266+I1268+I1272</f>
        <v>539373.54</v>
      </c>
      <c r="J998" s="125">
        <f>J999+J1062+J1077+J1104+J1116+J1119+J1128+J1131+J1135+J1138+J1140+J1142+J1145+J1147+J1149+J1156+J1160+J1162+J1164+J1166+J1169+J1172+J1174+J1176+J1178+J1185+J1188+J1192+J1195+J1197+J1201+J1203+J1205+J1207+J1209+J1211+J1213+J1217+J1219+J1221+J1223+J1227+J1229+J1231+J1233+J1236+J1240+J1244+J1248+J1251+J1253+J1255+J1258+J1262+J1264+J1266+J1268+J1272</f>
        <v>448632.93</v>
      </c>
      <c r="K998" s="125">
        <f>K999+K1062+K1077+K1104+K1116+K1119+K1128+K1131+K1135+K1138+K1140+K1142+K1145+K1147+K1149+K1156+K1160+K1162+K1164+K1166+K1169+K1172+K1174+K1176+K1178+K1185+K1188+K1192+K1195+K1197+K1201+K1203+K1205+K1207+K1209+K1211+K1213+K1217+K1219+K1221+K1223+K1227+K1229+K1231+K1233+K1236+K1240+K1244+K1248+K1251+K1253+K1255+K1258+K1262+K1264+K1266+K1268+K1272</f>
        <v>380635.3</v>
      </c>
      <c r="L998" s="126">
        <f>L999+L1062+L1077+L1104+L1116+L1119+L1128+L1131+L1135+L1138+L1140+L1142+L1145+L1147+L1149+L1156+L1160+L1162+L1164+L1166+L1169+L1172+L1174+L1176+L1178+L1185+L1188+L1192+L1195+L1197+L1201+L1203+L1205+L1207+L1209+L1211+L1213+L1217+L1219+L1221+L1223+L1227+L1229+L1231+L1233+L1236+L1240+L1244+L1248+L1251+L1253+L1255+L1258+L1262+L1264+L1266+L1268+L1272</f>
        <v>20582</v>
      </c>
      <c r="M998" s="124" t="s">
        <v>896</v>
      </c>
      <c r="N998" s="124" t="s">
        <v>896</v>
      </c>
      <c r="O998" s="127" t="s">
        <v>896</v>
      </c>
      <c r="P998" s="125">
        <v>814479561.79999995</v>
      </c>
      <c r="Q998" s="125">
        <f>Q999+Q1062+Q1077+Q1104+Q1116+Q1119+Q1128+Q1131+Q1135+Q1138+Q1140+Q1142+Q1145+Q1147+Q1149+Q1156+Q1160+Q1162+Q1164+Q1166+Q1169+Q1172+Q1174+Q1176+Q1178+Q1185+Q1188+Q1192+Q1195+Q1197+Q1201+Q1203+Q1205+Q1207+Q1209+Q1211+Q1213+Q1217+Q1219+Q1221+Q1223+Q1227+Q1229+Q1231+Q1233+Q1236+Q1240+Q1244+Q1248+Q1251+Q1253+Q1255+Q1258+Q1262+Q1264+Q1266+Q1268+Q1272</f>
        <v>0</v>
      </c>
      <c r="R998" s="125">
        <f>R999+R1062+R1077+R1104+R1116+R1119+R1128+R1131+R1135+R1138+R1140+R1142+R1145+R1147+R1149+R1156+R1160+R1162+R1164+R1166+R1169+R1172+R1174+R1176+R1178+R1185+R1188+R1192+R1195+R1197+R1201+R1203+R1205+R1207+R1209+R1211+R1213+R1217+R1219+R1221+R1223+R1227+R1229+R1231+R1233+R1236+R1240+R1244+R1248+R1251+R1253+R1255+R1258+R1262+R1264+R1266+R1268+R1272</f>
        <v>1851570.68</v>
      </c>
      <c r="S998" s="125">
        <f>S999+S1062+S1077+S1104+S1116+S1119+S1128+S1131+S1135+S1138+S1140+S1142+S1145+S1147+S1149+S1156+S1160+S1162+S1164+S1166+S1169+S1172+S1174+S1176+S1178+S1185+S1188+S1192+S1195+S1197+S1201+S1203+S1205+S1207+S1209+S1211+S1213+S1217+S1219+S1221+S1223+S1227+S1229+S1231+S1233+S1236+S1240+S1244+S1248+S1251+S1253+S1255+S1258+S1262+S1264+S1266+S1268+S1272</f>
        <v>812627991.12</v>
      </c>
      <c r="T998" s="128">
        <f t="shared" si="308"/>
        <v>1510.0473074745191</v>
      </c>
      <c r="U998" s="128">
        <f>MAX(U999:U1272)</f>
        <v>10261.043032202908</v>
      </c>
      <c r="V998" s="257">
        <f t="shared" si="319"/>
        <v>8750.9957247283892</v>
      </c>
      <c r="W998" s="257"/>
      <c r="X998" s="257"/>
      <c r="Y998" s="258"/>
      <c r="Z998" s="258"/>
      <c r="AA998" s="258"/>
      <c r="AB998" s="258"/>
      <c r="AC998" s="258"/>
      <c r="AD998" s="258"/>
      <c r="AE998" s="258"/>
      <c r="AF998" s="258"/>
      <c r="AG998" s="258"/>
      <c r="AH998" s="258"/>
      <c r="AI998" s="258"/>
      <c r="AJ998" s="258"/>
      <c r="AK998" s="258"/>
      <c r="AL998" s="258"/>
      <c r="AM998" s="258"/>
      <c r="AN998" s="258"/>
      <c r="AO998" s="258"/>
    </row>
    <row r="999" spans="1:41" s="259" customFormat="1" ht="36" customHeight="1" x14ac:dyDescent="0.25">
      <c r="B999" s="94" t="s">
        <v>1094</v>
      </c>
      <c r="C999" s="261"/>
      <c r="D999" s="124" t="s">
        <v>896</v>
      </c>
      <c r="E999" s="124" t="s">
        <v>896</v>
      </c>
      <c r="F999" s="124" t="s">
        <v>896</v>
      </c>
      <c r="G999" s="124" t="s">
        <v>896</v>
      </c>
      <c r="H999" s="124" t="s">
        <v>896</v>
      </c>
      <c r="I999" s="125">
        <f>SUM(I1000:I1061)</f>
        <v>231782.3</v>
      </c>
      <c r="J999" s="125">
        <f>SUM(J1000:J1061)</f>
        <v>188587.13999999998</v>
      </c>
      <c r="K999" s="125">
        <f>SUM(K1000:K1061)</f>
        <v>160359.69000000003</v>
      </c>
      <c r="L999" s="126">
        <f>SUM(L1000:L1061)</f>
        <v>8634</v>
      </c>
      <c r="M999" s="124" t="s">
        <v>896</v>
      </c>
      <c r="N999" s="124" t="s">
        <v>896</v>
      </c>
      <c r="O999" s="127" t="s">
        <v>896</v>
      </c>
      <c r="P999" s="125">
        <v>250058047.12</v>
      </c>
      <c r="Q999" s="125">
        <f>SUM(Q1000:Q1061)</f>
        <v>0</v>
      </c>
      <c r="R999" s="125">
        <f>SUM(R1000:R1061)</f>
        <v>0</v>
      </c>
      <c r="S999" s="125">
        <f>SUM(S1000:S1061)</f>
        <v>250058047.12</v>
      </c>
      <c r="T999" s="128">
        <f t="shared" si="308"/>
        <v>1078.8487607552433</v>
      </c>
      <c r="U999" s="128">
        <f>MAX(U1000:U1061)</f>
        <v>7399.6240147991557</v>
      </c>
      <c r="V999" s="257">
        <f t="shared" si="319"/>
        <v>6320.7752540439124</v>
      </c>
      <c r="W999" s="257"/>
      <c r="X999" s="257"/>
      <c r="Y999" s="258"/>
      <c r="Z999" s="258"/>
      <c r="AA999" s="258"/>
      <c r="AB999" s="258"/>
      <c r="AC999" s="258"/>
      <c r="AD999" s="258"/>
      <c r="AE999" s="258"/>
      <c r="AF999" s="258"/>
      <c r="AG999" s="258"/>
      <c r="AH999" s="258"/>
      <c r="AI999" s="258"/>
      <c r="AJ999" s="258"/>
      <c r="AK999" s="258"/>
      <c r="AL999" s="258"/>
      <c r="AM999" s="258"/>
      <c r="AN999" s="258"/>
      <c r="AO999" s="258"/>
    </row>
    <row r="1000" spans="1:41" s="259" customFormat="1" ht="36" customHeight="1" x14ac:dyDescent="0.25">
      <c r="A1000" s="259">
        <v>1</v>
      </c>
      <c r="B1000" s="135">
        <f>SUBTOTAL(103,$A1000:A$1000)</f>
        <v>1</v>
      </c>
      <c r="C1000" s="94" t="s">
        <v>1072</v>
      </c>
      <c r="D1000" s="124">
        <v>1962</v>
      </c>
      <c r="E1000" s="124"/>
      <c r="F1000" s="129" t="s">
        <v>269</v>
      </c>
      <c r="G1000" s="124">
        <v>3</v>
      </c>
      <c r="H1000" s="124" t="s">
        <v>305</v>
      </c>
      <c r="I1000" s="125">
        <v>970.2</v>
      </c>
      <c r="J1000" s="125">
        <v>615</v>
      </c>
      <c r="K1000" s="125">
        <v>615</v>
      </c>
      <c r="L1000" s="126">
        <v>53</v>
      </c>
      <c r="M1000" s="124" t="s">
        <v>267</v>
      </c>
      <c r="N1000" s="124" t="s">
        <v>271</v>
      </c>
      <c r="O1000" s="127" t="s">
        <v>1659</v>
      </c>
      <c r="P1000" s="128">
        <v>2200000</v>
      </c>
      <c r="Q1000" s="128">
        <v>0</v>
      </c>
      <c r="R1000" s="128">
        <v>0</v>
      </c>
      <c r="S1000" s="128">
        <f t="shared" ref="S1000:S1061" si="322">P1000-Q1000-R1000</f>
        <v>2200000</v>
      </c>
      <c r="T1000" s="128">
        <f t="shared" si="308"/>
        <v>2267.5736961451248</v>
      </c>
      <c r="U1000" s="128">
        <v>2658.4191713048854</v>
      </c>
      <c r="V1000" s="257">
        <f t="shared" si="319"/>
        <v>390.84547515976055</v>
      </c>
      <c r="W1000" s="257">
        <f t="shared" ref="W1000:W1061" si="323">X1000+Y1000+Z1000+AA1000+AB1000+AD1000+AF1000+AH1000+AJ1000+AL1000+AN1000+AO1000</f>
        <v>4732.8775097917951</v>
      </c>
      <c r="X1000" s="257">
        <v>0</v>
      </c>
      <c r="Y1000" s="258">
        <v>0</v>
      </c>
      <c r="Z1000" s="258">
        <v>0</v>
      </c>
      <c r="AA1000" s="258">
        <v>0</v>
      </c>
      <c r="AB1000" s="258">
        <v>0</v>
      </c>
      <c r="AC1000" s="258">
        <v>0</v>
      </c>
      <c r="AD1000" s="258">
        <v>0</v>
      </c>
      <c r="AE1000" s="258">
        <v>736</v>
      </c>
      <c r="AF1000" s="257">
        <f t="shared" ref="AF1000:AF1022" si="324">6238.91*AE1000/I1000</f>
        <v>4732.8775097917951</v>
      </c>
      <c r="AG1000" s="258">
        <v>0</v>
      </c>
      <c r="AH1000" s="257">
        <v>0</v>
      </c>
      <c r="AI1000" s="258">
        <v>0</v>
      </c>
      <c r="AJ1000" s="257">
        <v>0</v>
      </c>
      <c r="AK1000" s="258">
        <v>0</v>
      </c>
      <c r="AL1000" s="258">
        <v>0</v>
      </c>
      <c r="AM1000" s="258">
        <v>0</v>
      </c>
      <c r="AN1000" s="258"/>
      <c r="AO1000" s="258">
        <v>0</v>
      </c>
    </row>
    <row r="1001" spans="1:41" s="259" customFormat="1" ht="36" customHeight="1" x14ac:dyDescent="0.25">
      <c r="A1001" s="259">
        <v>1</v>
      </c>
      <c r="B1001" s="135">
        <f>SUBTOTAL(103,$A$1000:A1001)</f>
        <v>2</v>
      </c>
      <c r="C1001" s="94" t="s">
        <v>572</v>
      </c>
      <c r="D1001" s="124" t="s">
        <v>316</v>
      </c>
      <c r="E1001" s="124"/>
      <c r="F1001" s="129" t="s">
        <v>313</v>
      </c>
      <c r="G1001" s="124" t="s">
        <v>353</v>
      </c>
      <c r="H1001" s="124" t="s">
        <v>314</v>
      </c>
      <c r="I1001" s="125">
        <v>2819.1</v>
      </c>
      <c r="J1001" s="125">
        <v>2572.5</v>
      </c>
      <c r="K1001" s="125">
        <v>1698</v>
      </c>
      <c r="L1001" s="126">
        <v>109</v>
      </c>
      <c r="M1001" s="124" t="s">
        <v>267</v>
      </c>
      <c r="N1001" s="124" t="s">
        <v>271</v>
      </c>
      <c r="O1001" s="127" t="s">
        <v>1078</v>
      </c>
      <c r="P1001" s="128">
        <v>3283875.94</v>
      </c>
      <c r="Q1001" s="128">
        <v>0</v>
      </c>
      <c r="R1001" s="128">
        <v>0</v>
      </c>
      <c r="S1001" s="128">
        <f t="shared" si="322"/>
        <v>3283875.94</v>
      </c>
      <c r="T1001" s="128">
        <f t="shared" si="308"/>
        <v>1164.8667801780709</v>
      </c>
      <c r="U1001" s="128">
        <v>1603.2979248696392</v>
      </c>
      <c r="V1001" s="257">
        <f t="shared" si="319"/>
        <v>438.43114469156831</v>
      </c>
      <c r="W1001" s="257">
        <f t="shared" si="323"/>
        <v>509.0097194139974</v>
      </c>
      <c r="X1001" s="257">
        <v>0</v>
      </c>
      <c r="Y1001" s="258">
        <v>0</v>
      </c>
      <c r="Z1001" s="258">
        <v>0</v>
      </c>
      <c r="AA1001" s="258">
        <v>0</v>
      </c>
      <c r="AB1001" s="258">
        <v>0</v>
      </c>
      <c r="AC1001" s="258">
        <v>0</v>
      </c>
      <c r="AD1001" s="258">
        <v>0</v>
      </c>
      <c r="AE1001" s="258">
        <v>230</v>
      </c>
      <c r="AF1001" s="257">
        <f t="shared" si="324"/>
        <v>509.0097194139974</v>
      </c>
      <c r="AG1001" s="258">
        <v>0</v>
      </c>
      <c r="AH1001" s="257">
        <v>0</v>
      </c>
      <c r="AI1001" s="258">
        <v>0</v>
      </c>
      <c r="AJ1001" s="257">
        <v>0</v>
      </c>
      <c r="AK1001" s="258">
        <v>0</v>
      </c>
      <c r="AL1001" s="258">
        <v>0</v>
      </c>
      <c r="AM1001" s="258">
        <v>0</v>
      </c>
      <c r="AN1001" s="258"/>
      <c r="AO1001" s="258">
        <v>0</v>
      </c>
    </row>
    <row r="1002" spans="1:41" s="259" customFormat="1" ht="36" customHeight="1" x14ac:dyDescent="0.25">
      <c r="A1002" s="259">
        <v>1</v>
      </c>
      <c r="B1002" s="135">
        <f>SUBTOTAL(103,$A$1000:A1002)</f>
        <v>3</v>
      </c>
      <c r="C1002" s="94" t="s">
        <v>573</v>
      </c>
      <c r="D1002" s="124" t="s">
        <v>316</v>
      </c>
      <c r="E1002" s="124"/>
      <c r="F1002" s="129" t="s">
        <v>313</v>
      </c>
      <c r="G1002" s="124" t="s">
        <v>353</v>
      </c>
      <c r="H1002" s="124" t="s">
        <v>353</v>
      </c>
      <c r="I1002" s="125">
        <v>5771.6</v>
      </c>
      <c r="J1002" s="125">
        <v>4780.3999999999996</v>
      </c>
      <c r="K1002" s="125">
        <v>4455.8999999999996</v>
      </c>
      <c r="L1002" s="126">
        <v>241</v>
      </c>
      <c r="M1002" s="124" t="s">
        <v>267</v>
      </c>
      <c r="N1002" s="124" t="s">
        <v>271</v>
      </c>
      <c r="O1002" s="127" t="s">
        <v>1078</v>
      </c>
      <c r="P1002" s="128">
        <v>5491207.6599999992</v>
      </c>
      <c r="Q1002" s="128">
        <v>0</v>
      </c>
      <c r="R1002" s="128">
        <v>0</v>
      </c>
      <c r="S1002" s="128">
        <f t="shared" si="322"/>
        <v>5491207.6599999992</v>
      </c>
      <c r="T1002" s="128">
        <f t="shared" si="308"/>
        <v>951.41861182341097</v>
      </c>
      <c r="U1002" s="128">
        <v>1301.5850024256704</v>
      </c>
      <c r="V1002" s="257">
        <f t="shared" si="319"/>
        <v>350.16639060225941</v>
      </c>
      <c r="W1002" s="257">
        <f t="shared" si="323"/>
        <v>445.35846559013095</v>
      </c>
      <c r="X1002" s="257">
        <v>0</v>
      </c>
      <c r="Y1002" s="258">
        <v>0</v>
      </c>
      <c r="Z1002" s="258">
        <v>0</v>
      </c>
      <c r="AA1002" s="258">
        <v>0</v>
      </c>
      <c r="AB1002" s="258">
        <v>0</v>
      </c>
      <c r="AC1002" s="258">
        <v>0</v>
      </c>
      <c r="AD1002" s="258">
        <v>0</v>
      </c>
      <c r="AE1002" s="258">
        <v>412</v>
      </c>
      <c r="AF1002" s="257">
        <f t="shared" si="324"/>
        <v>445.35846559013095</v>
      </c>
      <c r="AG1002" s="258">
        <v>0</v>
      </c>
      <c r="AH1002" s="257">
        <v>0</v>
      </c>
      <c r="AI1002" s="258">
        <v>0</v>
      </c>
      <c r="AJ1002" s="257">
        <v>0</v>
      </c>
      <c r="AK1002" s="258">
        <v>0</v>
      </c>
      <c r="AL1002" s="258">
        <v>0</v>
      </c>
      <c r="AM1002" s="258">
        <v>0</v>
      </c>
      <c r="AN1002" s="258"/>
      <c r="AO1002" s="258">
        <v>0</v>
      </c>
    </row>
    <row r="1003" spans="1:41" s="259" customFormat="1" ht="36" customHeight="1" x14ac:dyDescent="0.25">
      <c r="A1003" s="259">
        <v>1</v>
      </c>
      <c r="B1003" s="135">
        <f>SUBTOTAL(103,$A$1000:A1003)</f>
        <v>4</v>
      </c>
      <c r="C1003" s="94" t="s">
        <v>574</v>
      </c>
      <c r="D1003" s="124" t="s">
        <v>354</v>
      </c>
      <c r="E1003" s="124"/>
      <c r="F1003" s="129" t="s">
        <v>269</v>
      </c>
      <c r="G1003" s="124" t="s">
        <v>359</v>
      </c>
      <c r="H1003" s="124" t="s">
        <v>306</v>
      </c>
      <c r="I1003" s="125">
        <v>2826.2</v>
      </c>
      <c r="J1003" s="125">
        <v>2826.2</v>
      </c>
      <c r="K1003" s="125">
        <v>1324.2</v>
      </c>
      <c r="L1003" s="126">
        <v>97</v>
      </c>
      <c r="M1003" s="124" t="s">
        <v>267</v>
      </c>
      <c r="N1003" s="124" t="s">
        <v>271</v>
      </c>
      <c r="O1003" s="127" t="s">
        <v>1078</v>
      </c>
      <c r="P1003" s="128">
        <v>1996320.0799999998</v>
      </c>
      <c r="Q1003" s="128">
        <v>0</v>
      </c>
      <c r="R1003" s="128">
        <v>0</v>
      </c>
      <c r="S1003" s="128">
        <f t="shared" si="322"/>
        <v>1996320.0799999998</v>
      </c>
      <c r="T1003" s="128">
        <f t="shared" si="308"/>
        <v>706.36192767673913</v>
      </c>
      <c r="U1003" s="128">
        <v>930.32333168211733</v>
      </c>
      <c r="V1003" s="257">
        <f t="shared" si="319"/>
        <v>223.9614040053782</v>
      </c>
      <c r="W1003" s="257">
        <f t="shared" si="323"/>
        <v>1593.8337768027741</v>
      </c>
      <c r="X1003" s="257">
        <v>0</v>
      </c>
      <c r="Y1003" s="258">
        <v>0</v>
      </c>
      <c r="Z1003" s="258">
        <v>0</v>
      </c>
      <c r="AA1003" s="258">
        <v>0</v>
      </c>
      <c r="AB1003" s="258">
        <v>0</v>
      </c>
      <c r="AC1003" s="258">
        <v>0</v>
      </c>
      <c r="AD1003" s="258">
        <v>0</v>
      </c>
      <c r="AE1003" s="258">
        <v>722</v>
      </c>
      <c r="AF1003" s="257">
        <f t="shared" si="324"/>
        <v>1593.8337768027741</v>
      </c>
      <c r="AG1003" s="258">
        <v>0</v>
      </c>
      <c r="AH1003" s="257">
        <v>0</v>
      </c>
      <c r="AI1003" s="258">
        <v>0</v>
      </c>
      <c r="AJ1003" s="257">
        <v>0</v>
      </c>
      <c r="AK1003" s="258">
        <v>0</v>
      </c>
      <c r="AL1003" s="258">
        <v>0</v>
      </c>
      <c r="AM1003" s="258">
        <v>0</v>
      </c>
      <c r="AN1003" s="258"/>
      <c r="AO1003" s="258">
        <v>0</v>
      </c>
    </row>
    <row r="1004" spans="1:41" s="259" customFormat="1" ht="36" customHeight="1" x14ac:dyDescent="0.25">
      <c r="A1004" s="259">
        <v>1</v>
      </c>
      <c r="B1004" s="135">
        <f>SUBTOTAL(103,$A$1000:A1004)</f>
        <v>5</v>
      </c>
      <c r="C1004" s="94" t="s">
        <v>575</v>
      </c>
      <c r="D1004" s="124" t="s">
        <v>319</v>
      </c>
      <c r="E1004" s="124"/>
      <c r="F1004" s="129" t="s">
        <v>313</v>
      </c>
      <c r="G1004" s="124" t="s">
        <v>353</v>
      </c>
      <c r="H1004" s="124" t="s">
        <v>314</v>
      </c>
      <c r="I1004" s="125">
        <v>2495.6</v>
      </c>
      <c r="J1004" s="125">
        <v>2297</v>
      </c>
      <c r="K1004" s="125">
        <v>2070.8000000000002</v>
      </c>
      <c r="L1004" s="126">
        <v>117</v>
      </c>
      <c r="M1004" s="124" t="s">
        <v>267</v>
      </c>
      <c r="N1004" s="124" t="s">
        <v>271</v>
      </c>
      <c r="O1004" s="127" t="s">
        <v>1662</v>
      </c>
      <c r="P1004" s="128">
        <v>2818609.5</v>
      </c>
      <c r="Q1004" s="128">
        <v>0</v>
      </c>
      <c r="R1004" s="128">
        <v>0</v>
      </c>
      <c r="S1004" s="128">
        <f t="shared" si="322"/>
        <v>2818609.5</v>
      </c>
      <c r="T1004" s="128">
        <f t="shared" si="308"/>
        <v>1129.431599615323</v>
      </c>
      <c r="U1004" s="128">
        <v>1487.5351298284982</v>
      </c>
      <c r="V1004" s="257">
        <f t="shared" si="319"/>
        <v>358.10353021317519</v>
      </c>
      <c r="W1004" s="257">
        <f t="shared" si="323"/>
        <v>2999.9567238339478</v>
      </c>
      <c r="X1004" s="257">
        <v>0</v>
      </c>
      <c r="Y1004" s="258">
        <v>0</v>
      </c>
      <c r="Z1004" s="258">
        <v>0</v>
      </c>
      <c r="AA1004" s="258">
        <v>0</v>
      </c>
      <c r="AB1004" s="258">
        <v>0</v>
      </c>
      <c r="AC1004" s="258">
        <v>0</v>
      </c>
      <c r="AD1004" s="258">
        <v>0</v>
      </c>
      <c r="AE1004" s="258">
        <v>1200</v>
      </c>
      <c r="AF1004" s="257">
        <f t="shared" si="324"/>
        <v>2999.9567238339478</v>
      </c>
      <c r="AG1004" s="258">
        <v>0</v>
      </c>
      <c r="AH1004" s="257">
        <v>0</v>
      </c>
      <c r="AI1004" s="258">
        <v>0</v>
      </c>
      <c r="AJ1004" s="257">
        <v>0</v>
      </c>
      <c r="AK1004" s="258">
        <v>0</v>
      </c>
      <c r="AL1004" s="258">
        <v>0</v>
      </c>
      <c r="AM1004" s="258">
        <v>0</v>
      </c>
      <c r="AN1004" s="258"/>
      <c r="AO1004" s="258">
        <v>0</v>
      </c>
    </row>
    <row r="1005" spans="1:41" s="259" customFormat="1" ht="36" customHeight="1" x14ac:dyDescent="0.25">
      <c r="A1005" s="259">
        <v>1</v>
      </c>
      <c r="B1005" s="135">
        <f>SUBTOTAL(103,$A$1000:A1005)</f>
        <v>6</v>
      </c>
      <c r="C1005" s="94" t="s">
        <v>1641</v>
      </c>
      <c r="D1005" s="124">
        <v>1986</v>
      </c>
      <c r="E1005" s="124"/>
      <c r="F1005" s="129" t="s">
        <v>313</v>
      </c>
      <c r="G1005" s="124">
        <v>9</v>
      </c>
      <c r="H1005" s="124" t="s">
        <v>305</v>
      </c>
      <c r="I1005" s="125">
        <v>4308.3999999999996</v>
      </c>
      <c r="J1005" s="125">
        <v>3920.4</v>
      </c>
      <c r="K1005" s="125">
        <v>3608.2</v>
      </c>
      <c r="L1005" s="126">
        <v>108</v>
      </c>
      <c r="M1005" s="124" t="s">
        <v>267</v>
      </c>
      <c r="N1005" s="124" t="s">
        <v>271</v>
      </c>
      <c r="O1005" s="127" t="s">
        <v>1388</v>
      </c>
      <c r="P1005" s="128">
        <v>2963862.9899999998</v>
      </c>
      <c r="Q1005" s="128">
        <v>0</v>
      </c>
      <c r="R1005" s="128">
        <v>0</v>
      </c>
      <c r="S1005" s="128">
        <f t="shared" si="322"/>
        <v>2963862.9899999998</v>
      </c>
      <c r="T1005" s="128">
        <f t="shared" si="308"/>
        <v>687.92660616470152</v>
      </c>
      <c r="U1005" s="128">
        <v>812.23800250673105</v>
      </c>
      <c r="V1005" s="257">
        <f t="shared" si="319"/>
        <v>124.31139634202952</v>
      </c>
      <c r="W1005" s="257">
        <f t="shared" si="323"/>
        <v>608.19380744591956</v>
      </c>
      <c r="X1005" s="257">
        <v>0</v>
      </c>
      <c r="Y1005" s="258">
        <v>0</v>
      </c>
      <c r="Z1005" s="258">
        <v>0</v>
      </c>
      <c r="AA1005" s="258">
        <v>0</v>
      </c>
      <c r="AB1005" s="258">
        <v>0</v>
      </c>
      <c r="AC1005" s="258">
        <v>0</v>
      </c>
      <c r="AD1005" s="258">
        <v>0</v>
      </c>
      <c r="AE1005" s="258">
        <v>420</v>
      </c>
      <c r="AF1005" s="257">
        <f t="shared" si="324"/>
        <v>608.19380744591956</v>
      </c>
      <c r="AG1005" s="258">
        <v>0</v>
      </c>
      <c r="AH1005" s="257">
        <v>0</v>
      </c>
      <c r="AI1005" s="258">
        <v>0</v>
      </c>
      <c r="AJ1005" s="257">
        <v>0</v>
      </c>
      <c r="AK1005" s="258">
        <v>0</v>
      </c>
      <c r="AL1005" s="258">
        <v>0</v>
      </c>
      <c r="AM1005" s="258">
        <v>0</v>
      </c>
      <c r="AN1005" s="258"/>
      <c r="AO1005" s="258">
        <v>0</v>
      </c>
    </row>
    <row r="1006" spans="1:41" s="259" customFormat="1" ht="36" customHeight="1" x14ac:dyDescent="0.25">
      <c r="A1006" s="259">
        <v>1</v>
      </c>
      <c r="B1006" s="135">
        <f>SUBTOTAL(103,$A$1000:A1006)</f>
        <v>7</v>
      </c>
      <c r="C1006" s="94" t="s">
        <v>576</v>
      </c>
      <c r="D1006" s="124" t="s">
        <v>371</v>
      </c>
      <c r="E1006" s="124"/>
      <c r="F1006" s="129" t="s">
        <v>269</v>
      </c>
      <c r="G1006" s="124" t="s">
        <v>359</v>
      </c>
      <c r="H1006" s="124" t="s">
        <v>306</v>
      </c>
      <c r="I1006" s="125">
        <v>6352.8</v>
      </c>
      <c r="J1006" s="125">
        <v>4687.3999999999996</v>
      </c>
      <c r="K1006" s="125">
        <v>2543.4</v>
      </c>
      <c r="L1006" s="126">
        <v>201</v>
      </c>
      <c r="M1006" s="124" t="s">
        <v>267</v>
      </c>
      <c r="N1006" s="124" t="s">
        <v>271</v>
      </c>
      <c r="O1006" s="127" t="s">
        <v>1093</v>
      </c>
      <c r="P1006" s="128">
        <v>3753990.26</v>
      </c>
      <c r="Q1006" s="128">
        <v>0</v>
      </c>
      <c r="R1006" s="128">
        <v>0</v>
      </c>
      <c r="S1006" s="128">
        <f t="shared" si="322"/>
        <v>3753990.26</v>
      </c>
      <c r="T1006" s="128">
        <f t="shared" si="308"/>
        <v>590.91900579272124</v>
      </c>
      <c r="U1006" s="128">
        <v>782.42520778239509</v>
      </c>
      <c r="V1006" s="257">
        <f t="shared" si="319"/>
        <v>191.50620198967385</v>
      </c>
      <c r="W1006" s="257">
        <f t="shared" si="323"/>
        <v>582.36897588464922</v>
      </c>
      <c r="X1006" s="257">
        <v>0</v>
      </c>
      <c r="Y1006" s="258">
        <v>0</v>
      </c>
      <c r="Z1006" s="258">
        <v>0</v>
      </c>
      <c r="AA1006" s="258">
        <v>0</v>
      </c>
      <c r="AB1006" s="258">
        <v>0</v>
      </c>
      <c r="AC1006" s="258">
        <v>0</v>
      </c>
      <c r="AD1006" s="258">
        <v>0</v>
      </c>
      <c r="AE1006" s="258">
        <v>593</v>
      </c>
      <c r="AF1006" s="257">
        <f t="shared" si="324"/>
        <v>582.36897588464922</v>
      </c>
      <c r="AG1006" s="258">
        <v>0</v>
      </c>
      <c r="AH1006" s="257">
        <v>0</v>
      </c>
      <c r="AI1006" s="258">
        <v>0</v>
      </c>
      <c r="AJ1006" s="257">
        <v>0</v>
      </c>
      <c r="AK1006" s="258">
        <v>0</v>
      </c>
      <c r="AL1006" s="258">
        <v>0</v>
      </c>
      <c r="AM1006" s="258">
        <v>0</v>
      </c>
      <c r="AN1006" s="258"/>
      <c r="AO1006" s="258">
        <v>0</v>
      </c>
    </row>
    <row r="1007" spans="1:41" s="259" customFormat="1" ht="36" customHeight="1" x14ac:dyDescent="0.25">
      <c r="A1007" s="259">
        <v>1</v>
      </c>
      <c r="B1007" s="135">
        <f>SUBTOTAL(103,$A$1000:A1007)</f>
        <v>8</v>
      </c>
      <c r="C1007" s="94" t="s">
        <v>1642</v>
      </c>
      <c r="D1007" s="124">
        <v>1986</v>
      </c>
      <c r="E1007" s="124"/>
      <c r="F1007" s="129" t="s">
        <v>269</v>
      </c>
      <c r="G1007" s="124">
        <v>5</v>
      </c>
      <c r="H1007" s="124" t="s">
        <v>373</v>
      </c>
      <c r="I1007" s="125">
        <v>5760.4</v>
      </c>
      <c r="J1007" s="125">
        <v>4094.2</v>
      </c>
      <c r="K1007" s="125">
        <v>3478.1</v>
      </c>
      <c r="L1007" s="126">
        <v>194</v>
      </c>
      <c r="M1007" s="124" t="s">
        <v>267</v>
      </c>
      <c r="N1007" s="124" t="s">
        <v>271</v>
      </c>
      <c r="O1007" s="127" t="s">
        <v>1093</v>
      </c>
      <c r="P1007" s="128">
        <v>5682500</v>
      </c>
      <c r="Q1007" s="128">
        <v>0</v>
      </c>
      <c r="R1007" s="128">
        <v>0</v>
      </c>
      <c r="S1007" s="128">
        <f t="shared" si="322"/>
        <v>5682500</v>
      </c>
      <c r="T1007" s="128">
        <f t="shared" si="308"/>
        <v>986.47663356711348</v>
      </c>
      <c r="U1007" s="128">
        <v>1454.0889903478926</v>
      </c>
      <c r="V1007" s="257">
        <f t="shared" si="319"/>
        <v>467.61235678077912</v>
      </c>
      <c r="W1007" s="257">
        <f t="shared" si="323"/>
        <v>605.43550621484621</v>
      </c>
      <c r="X1007" s="257">
        <v>0</v>
      </c>
      <c r="Y1007" s="258">
        <v>0</v>
      </c>
      <c r="Z1007" s="258">
        <v>0</v>
      </c>
      <c r="AA1007" s="258">
        <v>0</v>
      </c>
      <c r="AB1007" s="258">
        <v>0</v>
      </c>
      <c r="AC1007" s="258">
        <v>0</v>
      </c>
      <c r="AD1007" s="258">
        <v>0</v>
      </c>
      <c r="AE1007" s="258">
        <v>559</v>
      </c>
      <c r="AF1007" s="257">
        <f t="shared" si="324"/>
        <v>605.43550621484621</v>
      </c>
      <c r="AG1007" s="258">
        <v>0</v>
      </c>
      <c r="AH1007" s="257">
        <v>0</v>
      </c>
      <c r="AI1007" s="258">
        <v>0</v>
      </c>
      <c r="AJ1007" s="257">
        <v>0</v>
      </c>
      <c r="AK1007" s="258">
        <v>0</v>
      </c>
      <c r="AL1007" s="258">
        <v>0</v>
      </c>
      <c r="AM1007" s="258">
        <v>0</v>
      </c>
      <c r="AN1007" s="258"/>
      <c r="AO1007" s="258">
        <v>0</v>
      </c>
    </row>
    <row r="1008" spans="1:41" s="259" customFormat="1" ht="36" customHeight="1" x14ac:dyDescent="0.25">
      <c r="A1008" s="259">
        <v>1</v>
      </c>
      <c r="B1008" s="135">
        <f>SUBTOTAL(103,$A$1000:A1008)</f>
        <v>9</v>
      </c>
      <c r="C1008" s="94" t="s">
        <v>577</v>
      </c>
      <c r="D1008" s="124" t="s">
        <v>372</v>
      </c>
      <c r="E1008" s="124"/>
      <c r="F1008" s="129" t="s">
        <v>313</v>
      </c>
      <c r="G1008" s="124" t="s">
        <v>353</v>
      </c>
      <c r="H1008" s="124" t="s">
        <v>310</v>
      </c>
      <c r="I1008" s="125">
        <v>4042.4</v>
      </c>
      <c r="J1008" s="125">
        <v>3045.4</v>
      </c>
      <c r="K1008" s="125">
        <v>2978.7</v>
      </c>
      <c r="L1008" s="126">
        <v>118</v>
      </c>
      <c r="M1008" s="124" t="s">
        <v>267</v>
      </c>
      <c r="N1008" s="124" t="s">
        <v>271</v>
      </c>
      <c r="O1008" s="127" t="s">
        <v>1326</v>
      </c>
      <c r="P1008" s="128">
        <v>3593332.35</v>
      </c>
      <c r="Q1008" s="128">
        <v>0</v>
      </c>
      <c r="R1008" s="128">
        <v>0</v>
      </c>
      <c r="S1008" s="128">
        <f t="shared" si="322"/>
        <v>3593332.35</v>
      </c>
      <c r="T1008" s="128">
        <f t="shared" si="308"/>
        <v>888.91063477142291</v>
      </c>
      <c r="U1008" s="128">
        <v>1177.2700470017812</v>
      </c>
      <c r="V1008" s="257">
        <f t="shared" si="319"/>
        <v>288.35941223035832</v>
      </c>
      <c r="W1008" s="257">
        <f t="shared" si="323"/>
        <v>1225.434034237087</v>
      </c>
      <c r="X1008" s="257">
        <v>0</v>
      </c>
      <c r="Y1008" s="258">
        <v>0</v>
      </c>
      <c r="Z1008" s="258">
        <v>0</v>
      </c>
      <c r="AA1008" s="258">
        <v>0</v>
      </c>
      <c r="AB1008" s="258">
        <v>0</v>
      </c>
      <c r="AC1008" s="258">
        <v>0</v>
      </c>
      <c r="AD1008" s="258">
        <v>0</v>
      </c>
      <c r="AE1008" s="258">
        <v>794</v>
      </c>
      <c r="AF1008" s="257">
        <f t="shared" si="324"/>
        <v>1225.434034237087</v>
      </c>
      <c r="AG1008" s="258">
        <v>0</v>
      </c>
      <c r="AH1008" s="257">
        <v>0</v>
      </c>
      <c r="AI1008" s="258">
        <v>0</v>
      </c>
      <c r="AJ1008" s="257">
        <v>0</v>
      </c>
      <c r="AK1008" s="258">
        <v>0</v>
      </c>
      <c r="AL1008" s="258">
        <v>0</v>
      </c>
      <c r="AM1008" s="258">
        <v>0</v>
      </c>
      <c r="AN1008" s="258"/>
      <c r="AO1008" s="258">
        <v>0</v>
      </c>
    </row>
    <row r="1009" spans="1:41" s="259" customFormat="1" ht="36" customHeight="1" x14ac:dyDescent="0.25">
      <c r="A1009" s="259">
        <v>1</v>
      </c>
      <c r="B1009" s="135">
        <f>SUBTOTAL(103,$A$1000:A1009)</f>
        <v>10</v>
      </c>
      <c r="C1009" s="94" t="s">
        <v>578</v>
      </c>
      <c r="D1009" s="124">
        <v>1971</v>
      </c>
      <c r="E1009" s="124"/>
      <c r="F1009" s="129" t="s">
        <v>269</v>
      </c>
      <c r="G1009" s="124">
        <v>5</v>
      </c>
      <c r="H1009" s="124" t="s">
        <v>373</v>
      </c>
      <c r="I1009" s="125">
        <v>4541.8</v>
      </c>
      <c r="J1009" s="125">
        <v>4541.8</v>
      </c>
      <c r="K1009" s="125">
        <v>4403.2</v>
      </c>
      <c r="L1009" s="126">
        <v>240</v>
      </c>
      <c r="M1009" s="124" t="s">
        <v>267</v>
      </c>
      <c r="N1009" s="124" t="s">
        <v>271</v>
      </c>
      <c r="O1009" s="127" t="s">
        <v>1389</v>
      </c>
      <c r="P1009" s="128">
        <v>5851539.1200000001</v>
      </c>
      <c r="Q1009" s="128">
        <v>0</v>
      </c>
      <c r="R1009" s="128">
        <v>0</v>
      </c>
      <c r="S1009" s="128">
        <f t="shared" si="322"/>
        <v>5851539.1200000001</v>
      </c>
      <c r="T1009" s="128">
        <f t="shared" si="308"/>
        <v>1288.3744594654102</v>
      </c>
      <c r="U1009" s="128">
        <v>1737.2723316746662</v>
      </c>
      <c r="V1009" s="257">
        <f t="shared" si="319"/>
        <v>448.89787220925609</v>
      </c>
      <c r="W1009" s="257">
        <f t="shared" si="323"/>
        <v>1837.9632700691354</v>
      </c>
      <c r="X1009" s="257">
        <v>0</v>
      </c>
      <c r="Y1009" s="258">
        <v>0</v>
      </c>
      <c r="Z1009" s="258">
        <v>0</v>
      </c>
      <c r="AA1009" s="258">
        <v>0</v>
      </c>
      <c r="AB1009" s="258">
        <v>0</v>
      </c>
      <c r="AC1009" s="258">
        <v>0</v>
      </c>
      <c r="AD1009" s="258">
        <v>0</v>
      </c>
      <c r="AE1009" s="258">
        <v>1338</v>
      </c>
      <c r="AF1009" s="257">
        <f t="shared" si="324"/>
        <v>1837.9632700691354</v>
      </c>
      <c r="AG1009" s="258">
        <v>0</v>
      </c>
      <c r="AH1009" s="257">
        <v>0</v>
      </c>
      <c r="AI1009" s="258">
        <v>0</v>
      </c>
      <c r="AJ1009" s="257">
        <v>0</v>
      </c>
      <c r="AK1009" s="258">
        <v>0</v>
      </c>
      <c r="AL1009" s="258">
        <v>0</v>
      </c>
      <c r="AM1009" s="258">
        <v>0</v>
      </c>
      <c r="AN1009" s="258"/>
      <c r="AO1009" s="258">
        <v>0</v>
      </c>
    </row>
    <row r="1010" spans="1:41" s="259" customFormat="1" ht="36" customHeight="1" x14ac:dyDescent="0.25">
      <c r="A1010" s="259">
        <v>1</v>
      </c>
      <c r="B1010" s="135">
        <f>SUBTOTAL(103,$A$1000:A1010)</f>
        <v>11</v>
      </c>
      <c r="C1010" s="94" t="s">
        <v>579</v>
      </c>
      <c r="D1010" s="124" t="s">
        <v>311</v>
      </c>
      <c r="E1010" s="124"/>
      <c r="F1010" s="129" t="s">
        <v>313</v>
      </c>
      <c r="G1010" s="124" t="s">
        <v>353</v>
      </c>
      <c r="H1010" s="124" t="s">
        <v>373</v>
      </c>
      <c r="I1010" s="125">
        <v>6071.1</v>
      </c>
      <c r="J1010" s="125">
        <v>4547.3999999999996</v>
      </c>
      <c r="K1010" s="125">
        <v>4155.2</v>
      </c>
      <c r="L1010" s="126">
        <v>218</v>
      </c>
      <c r="M1010" s="124" t="s">
        <v>267</v>
      </c>
      <c r="N1010" s="124" t="s">
        <v>271</v>
      </c>
      <c r="O1010" s="127" t="s">
        <v>1326</v>
      </c>
      <c r="P1010" s="128">
        <v>5450859.3200000003</v>
      </c>
      <c r="Q1010" s="128">
        <v>0</v>
      </c>
      <c r="R1010" s="128">
        <v>0</v>
      </c>
      <c r="S1010" s="128">
        <f t="shared" si="322"/>
        <v>5450859.3200000003</v>
      </c>
      <c r="T1010" s="128">
        <f t="shared" si="308"/>
        <v>897.83718271812359</v>
      </c>
      <c r="U1010" s="128">
        <v>1186.8489548846171</v>
      </c>
      <c r="V1010" s="257">
        <f t="shared" si="319"/>
        <v>289.01177216649353</v>
      </c>
      <c r="W1010" s="257">
        <f t="shared" si="323"/>
        <v>781.21252853683848</v>
      </c>
      <c r="X1010" s="257">
        <v>0</v>
      </c>
      <c r="Y1010" s="258">
        <v>0</v>
      </c>
      <c r="Z1010" s="258">
        <v>0</v>
      </c>
      <c r="AA1010" s="258">
        <v>0</v>
      </c>
      <c r="AB1010" s="258">
        <v>0</v>
      </c>
      <c r="AC1010" s="258">
        <v>0</v>
      </c>
      <c r="AD1010" s="258">
        <v>0</v>
      </c>
      <c r="AE1010" s="258">
        <v>760.2</v>
      </c>
      <c r="AF1010" s="257">
        <f t="shared" si="324"/>
        <v>781.21252853683848</v>
      </c>
      <c r="AG1010" s="258">
        <v>0</v>
      </c>
      <c r="AH1010" s="257">
        <v>0</v>
      </c>
      <c r="AI1010" s="258">
        <v>0</v>
      </c>
      <c r="AJ1010" s="257">
        <v>0</v>
      </c>
      <c r="AK1010" s="258">
        <v>0</v>
      </c>
      <c r="AL1010" s="258">
        <v>0</v>
      </c>
      <c r="AM1010" s="258">
        <v>0</v>
      </c>
      <c r="AN1010" s="258"/>
      <c r="AO1010" s="258">
        <v>0</v>
      </c>
    </row>
    <row r="1011" spans="1:41" s="259" customFormat="1" ht="36" customHeight="1" x14ac:dyDescent="0.25">
      <c r="A1011" s="259">
        <v>1</v>
      </c>
      <c r="B1011" s="135">
        <f>SUBTOTAL(103,$A$1000:A1011)</f>
        <v>12</v>
      </c>
      <c r="C1011" s="94" t="s">
        <v>580</v>
      </c>
      <c r="D1011" s="124" t="s">
        <v>370</v>
      </c>
      <c r="E1011" s="124"/>
      <c r="F1011" s="129" t="s">
        <v>313</v>
      </c>
      <c r="G1011" s="124" t="s">
        <v>373</v>
      </c>
      <c r="H1011" s="124" t="s">
        <v>305</v>
      </c>
      <c r="I1011" s="125">
        <v>2963</v>
      </c>
      <c r="J1011" s="125">
        <v>2176.9</v>
      </c>
      <c r="K1011" s="125">
        <v>2084.1</v>
      </c>
      <c r="L1011" s="126">
        <v>138</v>
      </c>
      <c r="M1011" s="124" t="s">
        <v>267</v>
      </c>
      <c r="N1011" s="124" t="s">
        <v>271</v>
      </c>
      <c r="O1011" s="127" t="s">
        <v>1326</v>
      </c>
      <c r="P1011" s="128">
        <v>2859341.54</v>
      </c>
      <c r="Q1011" s="128">
        <v>0</v>
      </c>
      <c r="R1011" s="128">
        <v>0</v>
      </c>
      <c r="S1011" s="128">
        <f t="shared" si="322"/>
        <v>2859341.54</v>
      </c>
      <c r="T1011" s="128">
        <f t="shared" si="308"/>
        <v>965.0157070536618</v>
      </c>
      <c r="U1011" s="128">
        <v>981.81245123185943</v>
      </c>
      <c r="V1011" s="257">
        <f t="shared" si="319"/>
        <v>16.796744178197628</v>
      </c>
      <c r="W1011" s="257">
        <f t="shared" si="323"/>
        <v>2653.9055565305434</v>
      </c>
      <c r="X1011" s="257">
        <v>0</v>
      </c>
      <c r="Y1011" s="258">
        <v>0</v>
      </c>
      <c r="Z1011" s="258">
        <v>0</v>
      </c>
      <c r="AA1011" s="258">
        <v>0</v>
      </c>
      <c r="AB1011" s="258">
        <v>0</v>
      </c>
      <c r="AC1011" s="258">
        <v>0</v>
      </c>
      <c r="AD1011" s="258">
        <v>0</v>
      </c>
      <c r="AE1011" s="258">
        <v>1260.4000000000001</v>
      </c>
      <c r="AF1011" s="257">
        <f t="shared" si="324"/>
        <v>2653.9055565305434</v>
      </c>
      <c r="AG1011" s="258">
        <v>0</v>
      </c>
      <c r="AH1011" s="257">
        <v>0</v>
      </c>
      <c r="AI1011" s="258">
        <v>0</v>
      </c>
      <c r="AJ1011" s="257">
        <v>0</v>
      </c>
      <c r="AK1011" s="258">
        <v>0</v>
      </c>
      <c r="AL1011" s="258">
        <v>0</v>
      </c>
      <c r="AM1011" s="258">
        <v>0</v>
      </c>
      <c r="AN1011" s="258"/>
      <c r="AO1011" s="258">
        <v>0</v>
      </c>
    </row>
    <row r="1012" spans="1:41" s="259" customFormat="1" ht="36" customHeight="1" x14ac:dyDescent="0.25">
      <c r="A1012" s="259">
        <v>1</v>
      </c>
      <c r="B1012" s="135">
        <f>SUBTOTAL(103,$A$1000:A1012)</f>
        <v>13</v>
      </c>
      <c r="C1012" s="94" t="s">
        <v>581</v>
      </c>
      <c r="D1012" s="124" t="s">
        <v>315</v>
      </c>
      <c r="E1012" s="124"/>
      <c r="F1012" s="129" t="s">
        <v>313</v>
      </c>
      <c r="G1012" s="124" t="s">
        <v>373</v>
      </c>
      <c r="H1012" s="124" t="s">
        <v>305</v>
      </c>
      <c r="I1012" s="125">
        <v>2482.1</v>
      </c>
      <c r="J1012" s="125">
        <v>2181.1</v>
      </c>
      <c r="K1012" s="125">
        <v>1858.6</v>
      </c>
      <c r="L1012" s="126">
        <v>130</v>
      </c>
      <c r="M1012" s="124" t="s">
        <v>267</v>
      </c>
      <c r="N1012" s="124" t="s">
        <v>271</v>
      </c>
      <c r="O1012" s="127" t="s">
        <v>1387</v>
      </c>
      <c r="P1012" s="128">
        <v>2859341.54</v>
      </c>
      <c r="Q1012" s="128">
        <v>0</v>
      </c>
      <c r="R1012" s="128">
        <v>0</v>
      </c>
      <c r="S1012" s="128">
        <f t="shared" si="322"/>
        <v>2859341.54</v>
      </c>
      <c r="T1012" s="128">
        <f t="shared" si="308"/>
        <v>1151.9848273639257</v>
      </c>
      <c r="U1012" s="128">
        <v>1171.9854515128318</v>
      </c>
      <c r="V1012" s="257">
        <f t="shared" si="319"/>
        <v>20.000624148906127</v>
      </c>
      <c r="W1012" s="257">
        <f t="shared" si="323"/>
        <v>2893.1088231739254</v>
      </c>
      <c r="X1012" s="257">
        <v>0</v>
      </c>
      <c r="Y1012" s="258">
        <v>0</v>
      </c>
      <c r="Z1012" s="258">
        <v>0</v>
      </c>
      <c r="AA1012" s="258">
        <v>0</v>
      </c>
      <c r="AB1012" s="258">
        <v>0</v>
      </c>
      <c r="AC1012" s="258">
        <v>0</v>
      </c>
      <c r="AD1012" s="258">
        <v>0</v>
      </c>
      <c r="AE1012" s="258">
        <v>1151</v>
      </c>
      <c r="AF1012" s="257">
        <f t="shared" si="324"/>
        <v>2893.1088231739254</v>
      </c>
      <c r="AG1012" s="258">
        <v>0</v>
      </c>
      <c r="AH1012" s="257">
        <v>0</v>
      </c>
      <c r="AI1012" s="258">
        <v>0</v>
      </c>
      <c r="AJ1012" s="257">
        <v>0</v>
      </c>
      <c r="AK1012" s="258">
        <v>0</v>
      </c>
      <c r="AL1012" s="258">
        <v>0</v>
      </c>
      <c r="AM1012" s="258">
        <v>0</v>
      </c>
      <c r="AN1012" s="258"/>
      <c r="AO1012" s="258">
        <v>0</v>
      </c>
    </row>
    <row r="1013" spans="1:41" s="259" customFormat="1" ht="36" customHeight="1" x14ac:dyDescent="0.25">
      <c r="A1013" s="259">
        <v>1</v>
      </c>
      <c r="B1013" s="135">
        <f>SUBTOTAL(103,$A$1000:A1013)</f>
        <v>14</v>
      </c>
      <c r="C1013" s="94" t="s">
        <v>1643</v>
      </c>
      <c r="D1013" s="124">
        <v>1962</v>
      </c>
      <c r="E1013" s="124"/>
      <c r="F1013" s="129" t="s">
        <v>269</v>
      </c>
      <c r="G1013" s="124">
        <v>4</v>
      </c>
      <c r="H1013" s="124" t="s">
        <v>314</v>
      </c>
      <c r="I1013" s="125">
        <v>2743</v>
      </c>
      <c r="J1013" s="125">
        <v>2000.4</v>
      </c>
      <c r="K1013" s="125">
        <v>1836.7</v>
      </c>
      <c r="L1013" s="126">
        <v>91</v>
      </c>
      <c r="M1013" s="124" t="s">
        <v>267</v>
      </c>
      <c r="N1013" s="124" t="s">
        <v>271</v>
      </c>
      <c r="O1013" s="127" t="s">
        <v>1093</v>
      </c>
      <c r="P1013" s="128">
        <v>4261500</v>
      </c>
      <c r="Q1013" s="128">
        <v>0</v>
      </c>
      <c r="R1013" s="128">
        <v>0</v>
      </c>
      <c r="S1013" s="128">
        <f t="shared" si="322"/>
        <v>4261500</v>
      </c>
      <c r="T1013" s="128">
        <f t="shared" si="308"/>
        <v>1553.5909588042289</v>
      </c>
      <c r="U1013" s="128">
        <v>1889.6964345606998</v>
      </c>
      <c r="V1013" s="257">
        <f t="shared" si="319"/>
        <v>336.10547575647092</v>
      </c>
      <c r="W1013" s="257">
        <f t="shared" si="323"/>
        <v>1056.9527805322639</v>
      </c>
      <c r="X1013" s="257">
        <v>0</v>
      </c>
      <c r="Y1013" s="258">
        <v>0</v>
      </c>
      <c r="Z1013" s="258">
        <v>0</v>
      </c>
      <c r="AA1013" s="258">
        <v>0</v>
      </c>
      <c r="AB1013" s="258">
        <v>0</v>
      </c>
      <c r="AC1013" s="258">
        <v>0</v>
      </c>
      <c r="AD1013" s="258">
        <v>0</v>
      </c>
      <c r="AE1013" s="258">
        <v>464.7</v>
      </c>
      <c r="AF1013" s="257">
        <f t="shared" si="324"/>
        <v>1056.9527805322639</v>
      </c>
      <c r="AG1013" s="258">
        <v>0</v>
      </c>
      <c r="AH1013" s="257">
        <v>0</v>
      </c>
      <c r="AI1013" s="258">
        <v>0</v>
      </c>
      <c r="AJ1013" s="257">
        <v>0</v>
      </c>
      <c r="AK1013" s="258">
        <v>0</v>
      </c>
      <c r="AL1013" s="258">
        <v>0</v>
      </c>
      <c r="AM1013" s="258">
        <v>0</v>
      </c>
      <c r="AN1013" s="258"/>
      <c r="AO1013" s="258">
        <v>0</v>
      </c>
    </row>
    <row r="1014" spans="1:41" s="259" customFormat="1" ht="36" customHeight="1" x14ac:dyDescent="0.25">
      <c r="A1014" s="259">
        <v>1</v>
      </c>
      <c r="B1014" s="135">
        <f>SUBTOTAL(103,$A$1000:A1014)</f>
        <v>15</v>
      </c>
      <c r="C1014" s="94" t="s">
        <v>583</v>
      </c>
      <c r="D1014" s="124" t="s">
        <v>374</v>
      </c>
      <c r="E1014" s="124"/>
      <c r="F1014" s="129" t="s">
        <v>269</v>
      </c>
      <c r="G1014" s="124" t="s">
        <v>314</v>
      </c>
      <c r="H1014" s="124" t="s">
        <v>306</v>
      </c>
      <c r="I1014" s="125">
        <v>1637</v>
      </c>
      <c r="J1014" s="125">
        <v>1066.9000000000001</v>
      </c>
      <c r="K1014" s="125">
        <v>768.5</v>
      </c>
      <c r="L1014" s="126">
        <v>61</v>
      </c>
      <c r="M1014" s="124" t="s">
        <v>267</v>
      </c>
      <c r="N1014" s="124" t="s">
        <v>271</v>
      </c>
      <c r="O1014" s="127" t="s">
        <v>1387</v>
      </c>
      <c r="P1014" s="128">
        <v>3614995.2</v>
      </c>
      <c r="Q1014" s="128">
        <v>0</v>
      </c>
      <c r="R1014" s="128">
        <v>0</v>
      </c>
      <c r="S1014" s="128">
        <f t="shared" si="322"/>
        <v>3614995.2</v>
      </c>
      <c r="T1014" s="128">
        <f t="shared" si="308"/>
        <v>2208.3049480757486</v>
      </c>
      <c r="U1014" s="128">
        <v>2963.7429749541843</v>
      </c>
      <c r="V1014" s="257">
        <f t="shared" si="319"/>
        <v>755.43802687843572</v>
      </c>
      <c r="W1014" s="257">
        <f t="shared" si="323"/>
        <v>1770.9814897984118</v>
      </c>
      <c r="X1014" s="257">
        <v>0</v>
      </c>
      <c r="Y1014" s="258">
        <v>0</v>
      </c>
      <c r="Z1014" s="258">
        <v>0</v>
      </c>
      <c r="AA1014" s="258">
        <v>0</v>
      </c>
      <c r="AB1014" s="258">
        <v>0</v>
      </c>
      <c r="AC1014" s="258">
        <v>0</v>
      </c>
      <c r="AD1014" s="258">
        <v>0</v>
      </c>
      <c r="AE1014" s="258">
        <v>464.68</v>
      </c>
      <c r="AF1014" s="257">
        <f t="shared" si="324"/>
        <v>1770.9814897984118</v>
      </c>
      <c r="AG1014" s="258">
        <v>0</v>
      </c>
      <c r="AH1014" s="257">
        <v>0</v>
      </c>
      <c r="AI1014" s="258">
        <v>0</v>
      </c>
      <c r="AJ1014" s="257">
        <v>0</v>
      </c>
      <c r="AK1014" s="258">
        <v>0</v>
      </c>
      <c r="AL1014" s="258">
        <v>0</v>
      </c>
      <c r="AM1014" s="258">
        <v>0</v>
      </c>
      <c r="AN1014" s="258"/>
      <c r="AO1014" s="258">
        <v>0</v>
      </c>
    </row>
    <row r="1015" spans="1:41" s="259" customFormat="1" ht="36" customHeight="1" x14ac:dyDescent="0.25">
      <c r="A1015" s="259">
        <v>1</v>
      </c>
      <c r="B1015" s="135">
        <f>SUBTOTAL(103,$A$1000:A1015)</f>
        <v>16</v>
      </c>
      <c r="C1015" s="94" t="s">
        <v>585</v>
      </c>
      <c r="D1015" s="124" t="s">
        <v>312</v>
      </c>
      <c r="E1015" s="124"/>
      <c r="F1015" s="129" t="s">
        <v>269</v>
      </c>
      <c r="G1015" s="124" t="s">
        <v>353</v>
      </c>
      <c r="H1015" s="124" t="s">
        <v>306</v>
      </c>
      <c r="I1015" s="125">
        <v>867.9</v>
      </c>
      <c r="J1015" s="125">
        <v>809.2</v>
      </c>
      <c r="K1015" s="125">
        <v>766.2</v>
      </c>
      <c r="L1015" s="126">
        <v>39</v>
      </c>
      <c r="M1015" s="124" t="s">
        <v>267</v>
      </c>
      <c r="N1015" s="124" t="s">
        <v>271</v>
      </c>
      <c r="O1015" s="127" t="s">
        <v>1401</v>
      </c>
      <c r="P1015" s="128">
        <v>1074208.6600000001</v>
      </c>
      <c r="Q1015" s="128">
        <v>0</v>
      </c>
      <c r="R1015" s="128">
        <v>0</v>
      </c>
      <c r="S1015" s="128">
        <f t="shared" si="322"/>
        <v>1074208.6600000001</v>
      </c>
      <c r="T1015" s="128">
        <f t="shared" si="308"/>
        <v>1237.710173983178</v>
      </c>
      <c r="U1015" s="128">
        <v>1630.145108883512</v>
      </c>
      <c r="V1015" s="257">
        <f t="shared" si="319"/>
        <v>392.43493490033393</v>
      </c>
      <c r="W1015" s="257">
        <f t="shared" si="323"/>
        <v>5952.0883511925331</v>
      </c>
      <c r="X1015" s="257">
        <v>0</v>
      </c>
      <c r="Y1015" s="258">
        <v>0</v>
      </c>
      <c r="Z1015" s="258">
        <v>0</v>
      </c>
      <c r="AA1015" s="258">
        <v>0</v>
      </c>
      <c r="AB1015" s="258">
        <v>0</v>
      </c>
      <c r="AC1015" s="258">
        <v>0</v>
      </c>
      <c r="AD1015" s="258">
        <v>0</v>
      </c>
      <c r="AE1015" s="258">
        <v>828</v>
      </c>
      <c r="AF1015" s="257">
        <f t="shared" si="324"/>
        <v>5952.0883511925331</v>
      </c>
      <c r="AG1015" s="258">
        <v>0</v>
      </c>
      <c r="AH1015" s="257">
        <v>0</v>
      </c>
      <c r="AI1015" s="258">
        <v>0</v>
      </c>
      <c r="AJ1015" s="257">
        <v>0</v>
      </c>
      <c r="AK1015" s="258">
        <v>0</v>
      </c>
      <c r="AL1015" s="258">
        <v>0</v>
      </c>
      <c r="AM1015" s="258">
        <v>0</v>
      </c>
      <c r="AN1015" s="258"/>
      <c r="AO1015" s="258">
        <v>0</v>
      </c>
    </row>
    <row r="1016" spans="1:41" s="259" customFormat="1" ht="36" customHeight="1" x14ac:dyDescent="0.25">
      <c r="A1016" s="259">
        <v>1</v>
      </c>
      <c r="B1016" s="135">
        <f>SUBTOTAL(103,$A$1000:A1016)</f>
        <v>17</v>
      </c>
      <c r="C1016" s="94" t="s">
        <v>586</v>
      </c>
      <c r="D1016" s="124" t="s">
        <v>375</v>
      </c>
      <c r="E1016" s="124"/>
      <c r="F1016" s="129" t="s">
        <v>313</v>
      </c>
      <c r="G1016" s="124" t="s">
        <v>353</v>
      </c>
      <c r="H1016" s="124" t="s">
        <v>314</v>
      </c>
      <c r="I1016" s="125">
        <v>2653.8</v>
      </c>
      <c r="J1016" s="125">
        <v>2355.5</v>
      </c>
      <c r="K1016" s="125">
        <v>2354.1</v>
      </c>
      <c r="L1016" s="126">
        <v>102</v>
      </c>
      <c r="M1016" s="124" t="s">
        <v>267</v>
      </c>
      <c r="N1016" s="124" t="s">
        <v>271</v>
      </c>
      <c r="O1016" s="127" t="s">
        <v>1078</v>
      </c>
      <c r="P1016" s="128">
        <v>2983983.08</v>
      </c>
      <c r="Q1016" s="128">
        <v>0</v>
      </c>
      <c r="R1016" s="128">
        <v>0</v>
      </c>
      <c r="S1016" s="128">
        <f t="shared" si="322"/>
        <v>2983983.08</v>
      </c>
      <c r="T1016" s="128">
        <f t="shared" si="308"/>
        <v>1124.4189765619112</v>
      </c>
      <c r="U1016" s="128">
        <v>1490.8584218855979</v>
      </c>
      <c r="V1016" s="257">
        <f t="shared" si="319"/>
        <v>366.43944532368664</v>
      </c>
      <c r="W1016" s="257">
        <f t="shared" si="323"/>
        <v>1821.9742444796141</v>
      </c>
      <c r="X1016" s="257">
        <v>0</v>
      </c>
      <c r="Y1016" s="258">
        <v>0</v>
      </c>
      <c r="Z1016" s="258">
        <v>0</v>
      </c>
      <c r="AA1016" s="258">
        <v>0</v>
      </c>
      <c r="AB1016" s="258">
        <v>0</v>
      </c>
      <c r="AC1016" s="258">
        <v>0</v>
      </c>
      <c r="AD1016" s="258">
        <v>0</v>
      </c>
      <c r="AE1016" s="258">
        <v>775</v>
      </c>
      <c r="AF1016" s="257">
        <f t="shared" si="324"/>
        <v>1821.9742444796141</v>
      </c>
      <c r="AG1016" s="258">
        <v>0</v>
      </c>
      <c r="AH1016" s="257">
        <v>0</v>
      </c>
      <c r="AI1016" s="258">
        <v>0</v>
      </c>
      <c r="AJ1016" s="257">
        <v>0</v>
      </c>
      <c r="AK1016" s="258">
        <v>0</v>
      </c>
      <c r="AL1016" s="258">
        <v>0</v>
      </c>
      <c r="AM1016" s="258">
        <v>0</v>
      </c>
      <c r="AN1016" s="258"/>
      <c r="AO1016" s="258">
        <v>0</v>
      </c>
    </row>
    <row r="1017" spans="1:41" s="259" customFormat="1" ht="36" customHeight="1" x14ac:dyDescent="0.25">
      <c r="A1017" s="259">
        <v>1</v>
      </c>
      <c r="B1017" s="135">
        <f>SUBTOTAL(103,$A$1000:A1017)</f>
        <v>18</v>
      </c>
      <c r="C1017" s="94" t="s">
        <v>587</v>
      </c>
      <c r="D1017" s="130" t="s">
        <v>375</v>
      </c>
      <c r="E1017" s="124"/>
      <c r="F1017" s="129" t="s">
        <v>313</v>
      </c>
      <c r="G1017" s="124" t="s">
        <v>353</v>
      </c>
      <c r="H1017" s="124" t="s">
        <v>314</v>
      </c>
      <c r="I1017" s="125">
        <v>2632.8</v>
      </c>
      <c r="J1017" s="125">
        <v>2335.8000000000002</v>
      </c>
      <c r="K1017" s="125">
        <v>2335.8000000000002</v>
      </c>
      <c r="L1017" s="126">
        <v>107</v>
      </c>
      <c r="M1017" s="124" t="s">
        <v>267</v>
      </c>
      <c r="N1017" s="124" t="s">
        <v>271</v>
      </c>
      <c r="O1017" s="127" t="s">
        <v>1078</v>
      </c>
      <c r="P1017" s="128">
        <v>2983983.08</v>
      </c>
      <c r="Q1017" s="128">
        <v>0</v>
      </c>
      <c r="R1017" s="128">
        <v>0</v>
      </c>
      <c r="S1017" s="128">
        <f t="shared" si="322"/>
        <v>2983983.08</v>
      </c>
      <c r="T1017" s="128">
        <f t="shared" si="308"/>
        <v>1133.3876785171681</v>
      </c>
      <c r="U1017" s="128">
        <v>1502.7499544211482</v>
      </c>
      <c r="V1017" s="257">
        <f t="shared" si="319"/>
        <v>369.36227590398016</v>
      </c>
      <c r="W1017" s="257">
        <f t="shared" si="323"/>
        <v>1319.9152499240352</v>
      </c>
      <c r="X1017" s="257">
        <v>0</v>
      </c>
      <c r="Y1017" s="258">
        <v>0</v>
      </c>
      <c r="Z1017" s="258">
        <v>0</v>
      </c>
      <c r="AA1017" s="258">
        <v>0</v>
      </c>
      <c r="AB1017" s="258">
        <v>0</v>
      </c>
      <c r="AC1017" s="258">
        <v>0</v>
      </c>
      <c r="AD1017" s="258">
        <v>0</v>
      </c>
      <c r="AE1017" s="258">
        <v>557</v>
      </c>
      <c r="AF1017" s="257">
        <f t="shared" si="324"/>
        <v>1319.9152499240352</v>
      </c>
      <c r="AG1017" s="258">
        <v>0</v>
      </c>
      <c r="AH1017" s="257">
        <v>0</v>
      </c>
      <c r="AI1017" s="258">
        <v>0</v>
      </c>
      <c r="AJ1017" s="257">
        <v>0</v>
      </c>
      <c r="AK1017" s="258">
        <v>0</v>
      </c>
      <c r="AL1017" s="258">
        <v>0</v>
      </c>
      <c r="AM1017" s="258">
        <v>0</v>
      </c>
      <c r="AN1017" s="258"/>
      <c r="AO1017" s="258">
        <v>0</v>
      </c>
    </row>
    <row r="1018" spans="1:41" s="259" customFormat="1" ht="36" customHeight="1" x14ac:dyDescent="0.25">
      <c r="A1018" s="259">
        <v>1</v>
      </c>
      <c r="B1018" s="135">
        <f>SUBTOTAL(103,$A$1000:A1018)</f>
        <v>19</v>
      </c>
      <c r="C1018" s="94" t="s">
        <v>588</v>
      </c>
      <c r="D1018" s="130" t="s">
        <v>312</v>
      </c>
      <c r="E1018" s="124"/>
      <c r="F1018" s="129" t="s">
        <v>269</v>
      </c>
      <c r="G1018" s="124" t="s">
        <v>359</v>
      </c>
      <c r="H1018" s="124" t="s">
        <v>306</v>
      </c>
      <c r="I1018" s="125">
        <v>3626.2</v>
      </c>
      <c r="J1018" s="125">
        <v>3177.9</v>
      </c>
      <c r="K1018" s="125">
        <v>3152.1</v>
      </c>
      <c r="L1018" s="126">
        <v>152</v>
      </c>
      <c r="M1018" s="124" t="s">
        <v>267</v>
      </c>
      <c r="N1018" s="124" t="s">
        <v>271</v>
      </c>
      <c r="O1018" s="127" t="s">
        <v>1078</v>
      </c>
      <c r="P1018" s="128">
        <v>3402263</v>
      </c>
      <c r="Q1018" s="128">
        <v>0</v>
      </c>
      <c r="R1018" s="128">
        <v>0</v>
      </c>
      <c r="S1018" s="128">
        <f t="shared" si="322"/>
        <v>3402263</v>
      </c>
      <c r="T1018" s="128">
        <f t="shared" si="308"/>
        <v>938.24471898957586</v>
      </c>
      <c r="U1018" s="128">
        <v>1242.991782030776</v>
      </c>
      <c r="V1018" s="257">
        <f t="shared" si="319"/>
        <v>304.74706304120014</v>
      </c>
      <c r="W1018" s="257">
        <f t="shared" si="323"/>
        <v>388.83505046605262</v>
      </c>
      <c r="X1018" s="257">
        <v>0</v>
      </c>
      <c r="Y1018" s="258">
        <v>0</v>
      </c>
      <c r="Z1018" s="258">
        <v>0</v>
      </c>
      <c r="AA1018" s="258">
        <v>0</v>
      </c>
      <c r="AB1018" s="258">
        <v>0</v>
      </c>
      <c r="AC1018" s="258">
        <v>0</v>
      </c>
      <c r="AD1018" s="258">
        <v>0</v>
      </c>
      <c r="AE1018" s="258">
        <v>226</v>
      </c>
      <c r="AF1018" s="257">
        <f t="shared" si="324"/>
        <v>388.83505046605262</v>
      </c>
      <c r="AG1018" s="258">
        <v>0</v>
      </c>
      <c r="AH1018" s="257">
        <v>0</v>
      </c>
      <c r="AI1018" s="258">
        <v>0</v>
      </c>
      <c r="AJ1018" s="257">
        <v>0</v>
      </c>
      <c r="AK1018" s="258">
        <v>0</v>
      </c>
      <c r="AL1018" s="258">
        <v>0</v>
      </c>
      <c r="AM1018" s="258">
        <v>0</v>
      </c>
      <c r="AN1018" s="258"/>
      <c r="AO1018" s="258">
        <v>0</v>
      </c>
    </row>
    <row r="1019" spans="1:41" s="259" customFormat="1" ht="36" customHeight="1" x14ac:dyDescent="0.25">
      <c r="A1019" s="259">
        <v>1</v>
      </c>
      <c r="B1019" s="135">
        <f>SUBTOTAL(103,$A$1000:A1019)</f>
        <v>20</v>
      </c>
      <c r="C1019" s="94" t="s">
        <v>589</v>
      </c>
      <c r="D1019" s="124" t="s">
        <v>376</v>
      </c>
      <c r="E1019" s="124"/>
      <c r="F1019" s="129" t="s">
        <v>313</v>
      </c>
      <c r="G1019" s="124" t="s">
        <v>353</v>
      </c>
      <c r="H1019" s="124" t="s">
        <v>310</v>
      </c>
      <c r="I1019" s="125">
        <v>3861</v>
      </c>
      <c r="J1019" s="125">
        <v>3552.1</v>
      </c>
      <c r="K1019" s="125">
        <v>3552.1</v>
      </c>
      <c r="L1019" s="126">
        <v>165</v>
      </c>
      <c r="M1019" s="124" t="s">
        <v>267</v>
      </c>
      <c r="N1019" s="124" t="s">
        <v>271</v>
      </c>
      <c r="O1019" s="127" t="s">
        <v>1078</v>
      </c>
      <c r="P1019" s="128">
        <v>4423303.57</v>
      </c>
      <c r="Q1019" s="128">
        <v>0</v>
      </c>
      <c r="R1019" s="128">
        <v>0</v>
      </c>
      <c r="S1019" s="128">
        <f t="shared" si="322"/>
        <v>4423303.57</v>
      </c>
      <c r="T1019" s="128">
        <f t="shared" si="308"/>
        <v>1145.6367702667703</v>
      </c>
      <c r="U1019" s="128">
        <v>1574.3704972804971</v>
      </c>
      <c r="V1019" s="257">
        <f t="shared" si="319"/>
        <v>428.73372701372682</v>
      </c>
      <c r="W1019" s="257">
        <f t="shared" si="323"/>
        <v>1021.2357213157213</v>
      </c>
      <c r="X1019" s="257">
        <v>0</v>
      </c>
      <c r="Y1019" s="258">
        <v>0</v>
      </c>
      <c r="Z1019" s="258">
        <v>0</v>
      </c>
      <c r="AA1019" s="258">
        <v>0</v>
      </c>
      <c r="AB1019" s="258">
        <v>0</v>
      </c>
      <c r="AC1019" s="258">
        <v>0</v>
      </c>
      <c r="AD1019" s="258">
        <v>0</v>
      </c>
      <c r="AE1019" s="258">
        <v>632</v>
      </c>
      <c r="AF1019" s="257">
        <f t="shared" si="324"/>
        <v>1021.2357213157213</v>
      </c>
      <c r="AG1019" s="258">
        <v>0</v>
      </c>
      <c r="AH1019" s="257">
        <v>0</v>
      </c>
      <c r="AI1019" s="258">
        <v>0</v>
      </c>
      <c r="AJ1019" s="257">
        <v>0</v>
      </c>
      <c r="AK1019" s="258">
        <v>0</v>
      </c>
      <c r="AL1019" s="258">
        <v>0</v>
      </c>
      <c r="AM1019" s="258">
        <v>0</v>
      </c>
      <c r="AN1019" s="258"/>
      <c r="AO1019" s="258">
        <v>0</v>
      </c>
    </row>
    <row r="1020" spans="1:41" s="259" customFormat="1" ht="36" customHeight="1" x14ac:dyDescent="0.25">
      <c r="A1020" s="259">
        <v>1</v>
      </c>
      <c r="B1020" s="135">
        <f>SUBTOTAL(103,$A$1000:A1020)</f>
        <v>21</v>
      </c>
      <c r="C1020" s="94" t="s">
        <v>590</v>
      </c>
      <c r="D1020" s="124" t="s">
        <v>377</v>
      </c>
      <c r="E1020" s="124"/>
      <c r="F1020" s="129" t="s">
        <v>269</v>
      </c>
      <c r="G1020" s="124" t="s">
        <v>2293</v>
      </c>
      <c r="H1020" s="124" t="s">
        <v>306</v>
      </c>
      <c r="I1020" s="125">
        <v>1800.4</v>
      </c>
      <c r="J1020" s="125">
        <v>1058.3</v>
      </c>
      <c r="K1020" s="125">
        <v>1043.0999999999999</v>
      </c>
      <c r="L1020" s="126">
        <v>51</v>
      </c>
      <c r="M1020" s="124" t="s">
        <v>267</v>
      </c>
      <c r="N1020" s="124" t="s">
        <v>271</v>
      </c>
      <c r="O1020" s="127" t="s">
        <v>1659</v>
      </c>
      <c r="P1020" s="128">
        <v>2349559.61</v>
      </c>
      <c r="Q1020" s="128">
        <v>0</v>
      </c>
      <c r="R1020" s="128">
        <v>0</v>
      </c>
      <c r="S1020" s="128">
        <f t="shared" si="322"/>
        <v>2349559.61</v>
      </c>
      <c r="T1020" s="128">
        <f t="shared" si="308"/>
        <v>1305.0208898022661</v>
      </c>
      <c r="U1020" s="128">
        <v>1320.5732059542324</v>
      </c>
      <c r="V1020" s="257">
        <f t="shared" si="319"/>
        <v>15.552316151966352</v>
      </c>
      <c r="W1020" s="257">
        <f t="shared" si="323"/>
        <v>2190.0639413463673</v>
      </c>
      <c r="X1020" s="257">
        <v>0</v>
      </c>
      <c r="Y1020" s="258">
        <v>0</v>
      </c>
      <c r="Z1020" s="258">
        <v>0</v>
      </c>
      <c r="AA1020" s="258">
        <v>0</v>
      </c>
      <c r="AB1020" s="258">
        <v>0</v>
      </c>
      <c r="AC1020" s="258">
        <v>0</v>
      </c>
      <c r="AD1020" s="258">
        <v>0</v>
      </c>
      <c r="AE1020" s="258">
        <v>632</v>
      </c>
      <c r="AF1020" s="257">
        <f t="shared" si="324"/>
        <v>2190.0639413463673</v>
      </c>
      <c r="AG1020" s="258">
        <v>0</v>
      </c>
      <c r="AH1020" s="257">
        <v>0</v>
      </c>
      <c r="AI1020" s="258">
        <v>0</v>
      </c>
      <c r="AJ1020" s="257">
        <v>0</v>
      </c>
      <c r="AK1020" s="258">
        <v>0</v>
      </c>
      <c r="AL1020" s="258">
        <v>0</v>
      </c>
      <c r="AM1020" s="258">
        <v>0</v>
      </c>
      <c r="AN1020" s="258"/>
      <c r="AO1020" s="258">
        <v>0</v>
      </c>
    </row>
    <row r="1021" spans="1:41" s="259" customFormat="1" ht="36" customHeight="1" x14ac:dyDescent="0.25">
      <c r="A1021" s="259">
        <v>1</v>
      </c>
      <c r="B1021" s="135">
        <f>SUBTOTAL(103,$A$1000:A1021)</f>
        <v>22</v>
      </c>
      <c r="C1021" s="94" t="s">
        <v>591</v>
      </c>
      <c r="D1021" s="124">
        <v>1962</v>
      </c>
      <c r="E1021" s="124"/>
      <c r="F1021" s="129" t="s">
        <v>269</v>
      </c>
      <c r="G1021" s="124">
        <v>5</v>
      </c>
      <c r="H1021" s="124" t="s">
        <v>310</v>
      </c>
      <c r="I1021" s="125">
        <v>4073.9</v>
      </c>
      <c r="J1021" s="125">
        <v>3163.1</v>
      </c>
      <c r="K1021" s="125">
        <v>2004.3</v>
      </c>
      <c r="L1021" s="126">
        <v>146</v>
      </c>
      <c r="M1021" s="124" t="s">
        <v>267</v>
      </c>
      <c r="N1021" s="124" t="s">
        <v>271</v>
      </c>
      <c r="O1021" s="127" t="s">
        <v>1093</v>
      </c>
      <c r="P1021" s="128">
        <v>3999114.33</v>
      </c>
      <c r="Q1021" s="128">
        <v>0</v>
      </c>
      <c r="R1021" s="128">
        <v>0</v>
      </c>
      <c r="S1021" s="128">
        <f t="shared" si="322"/>
        <v>3999114.33</v>
      </c>
      <c r="T1021" s="128">
        <f t="shared" si="308"/>
        <v>981.64273300768309</v>
      </c>
      <c r="U1021" s="128">
        <v>1296.9391393995922</v>
      </c>
      <c r="V1021" s="257">
        <f t="shared" si="319"/>
        <v>315.29640639190916</v>
      </c>
      <c r="W1021" s="257">
        <f t="shared" si="323"/>
        <v>1102.6326615773582</v>
      </c>
      <c r="X1021" s="257">
        <v>0</v>
      </c>
      <c r="Y1021" s="258">
        <v>0</v>
      </c>
      <c r="Z1021" s="258">
        <v>0</v>
      </c>
      <c r="AA1021" s="258">
        <v>0</v>
      </c>
      <c r="AB1021" s="258">
        <v>0</v>
      </c>
      <c r="AC1021" s="258">
        <v>0</v>
      </c>
      <c r="AD1021" s="258">
        <v>0</v>
      </c>
      <c r="AE1021" s="258">
        <v>720</v>
      </c>
      <c r="AF1021" s="257">
        <f t="shared" si="324"/>
        <v>1102.6326615773582</v>
      </c>
      <c r="AG1021" s="258">
        <v>0</v>
      </c>
      <c r="AH1021" s="257">
        <v>0</v>
      </c>
      <c r="AI1021" s="258">
        <v>0</v>
      </c>
      <c r="AJ1021" s="257">
        <v>0</v>
      </c>
      <c r="AK1021" s="258">
        <v>0</v>
      </c>
      <c r="AL1021" s="258">
        <v>0</v>
      </c>
      <c r="AM1021" s="258">
        <v>0</v>
      </c>
      <c r="AN1021" s="258"/>
      <c r="AO1021" s="258">
        <v>0</v>
      </c>
    </row>
    <row r="1022" spans="1:41" s="259" customFormat="1" ht="36" customHeight="1" x14ac:dyDescent="0.25">
      <c r="A1022" s="259">
        <v>1</v>
      </c>
      <c r="B1022" s="135">
        <f>SUBTOTAL(103,$A$1000:A1022)</f>
        <v>23</v>
      </c>
      <c r="C1022" s="94" t="s">
        <v>1644</v>
      </c>
      <c r="D1022" s="124">
        <v>1962</v>
      </c>
      <c r="E1022" s="124"/>
      <c r="F1022" s="129" t="s">
        <v>269</v>
      </c>
      <c r="G1022" s="124">
        <v>4</v>
      </c>
      <c r="H1022" s="124" t="s">
        <v>314</v>
      </c>
      <c r="I1022" s="125">
        <v>2843.6</v>
      </c>
      <c r="J1022" s="125">
        <v>2001.7</v>
      </c>
      <c r="K1022" s="125">
        <v>1691.5</v>
      </c>
      <c r="L1022" s="126">
        <v>91</v>
      </c>
      <c r="M1022" s="124" t="s">
        <v>267</v>
      </c>
      <c r="N1022" s="124" t="s">
        <v>271</v>
      </c>
      <c r="O1022" s="127" t="s">
        <v>1093</v>
      </c>
      <c r="P1022" s="128">
        <v>4474650</v>
      </c>
      <c r="Q1022" s="128">
        <v>0</v>
      </c>
      <c r="R1022" s="128">
        <v>0</v>
      </c>
      <c r="S1022" s="128">
        <f t="shared" si="322"/>
        <v>4474650</v>
      </c>
      <c r="T1022" s="128">
        <f t="shared" si="308"/>
        <v>1573.5862990575326</v>
      </c>
      <c r="U1022" s="128">
        <v>2113.4415529610351</v>
      </c>
      <c r="V1022" s="257">
        <f t="shared" si="319"/>
        <v>539.85525390350244</v>
      </c>
      <c r="W1022" s="257">
        <f t="shared" si="323"/>
        <v>2130.3916197777462</v>
      </c>
      <c r="X1022" s="257">
        <v>0</v>
      </c>
      <c r="Y1022" s="258">
        <v>0</v>
      </c>
      <c r="Z1022" s="258">
        <v>0</v>
      </c>
      <c r="AA1022" s="258">
        <v>0</v>
      </c>
      <c r="AB1022" s="258">
        <v>0</v>
      </c>
      <c r="AC1022" s="258">
        <v>0</v>
      </c>
      <c r="AD1022" s="258">
        <v>0</v>
      </c>
      <c r="AE1022" s="258">
        <v>971</v>
      </c>
      <c r="AF1022" s="257">
        <f t="shared" si="324"/>
        <v>2130.3916197777462</v>
      </c>
      <c r="AG1022" s="258">
        <v>0</v>
      </c>
      <c r="AH1022" s="257">
        <v>0</v>
      </c>
      <c r="AI1022" s="258">
        <v>0</v>
      </c>
      <c r="AJ1022" s="257">
        <v>0</v>
      </c>
      <c r="AK1022" s="258">
        <v>0</v>
      </c>
      <c r="AL1022" s="258">
        <v>0</v>
      </c>
      <c r="AM1022" s="258">
        <v>0</v>
      </c>
      <c r="AN1022" s="258"/>
      <c r="AO1022" s="258">
        <v>0</v>
      </c>
    </row>
    <row r="1023" spans="1:41" s="259" customFormat="1" ht="36" customHeight="1" x14ac:dyDescent="0.25">
      <c r="A1023" s="259">
        <v>1</v>
      </c>
      <c r="B1023" s="135">
        <f>SUBTOTAL(103,$A$1000:A1023)</f>
        <v>24</v>
      </c>
      <c r="C1023" s="94" t="s">
        <v>1645</v>
      </c>
      <c r="D1023" s="124">
        <v>1961</v>
      </c>
      <c r="E1023" s="124"/>
      <c r="F1023" s="129" t="s">
        <v>269</v>
      </c>
      <c r="G1023" s="124">
        <v>5</v>
      </c>
      <c r="H1023" s="124" t="s">
        <v>310</v>
      </c>
      <c r="I1023" s="125">
        <v>3742.2</v>
      </c>
      <c r="J1023" s="125">
        <v>2832.1</v>
      </c>
      <c r="K1023" s="125">
        <v>2416.1999999999998</v>
      </c>
      <c r="L1023" s="126">
        <v>135</v>
      </c>
      <c r="M1023" s="124" t="s">
        <v>267</v>
      </c>
      <c r="N1023" s="124" t="s">
        <v>271</v>
      </c>
      <c r="O1023" s="127" t="s">
        <v>1093</v>
      </c>
      <c r="P1023" s="128">
        <v>5713232.8199999994</v>
      </c>
      <c r="Q1023" s="128">
        <v>0</v>
      </c>
      <c r="R1023" s="128">
        <v>0</v>
      </c>
      <c r="S1023" s="128">
        <f t="shared" si="322"/>
        <v>5713232.8199999994</v>
      </c>
      <c r="T1023" s="128">
        <f t="shared" si="308"/>
        <v>1526.7042969376303</v>
      </c>
      <c r="U1023" s="128">
        <v>1798.3283229116564</v>
      </c>
      <c r="V1023" s="257">
        <f t="shared" si="319"/>
        <v>271.62402597402615</v>
      </c>
      <c r="W1023" s="257">
        <f t="shared" si="323"/>
        <v>656.77943455721231</v>
      </c>
      <c r="X1023" s="257">
        <v>0</v>
      </c>
      <c r="Y1023" s="258">
        <v>0</v>
      </c>
      <c r="Z1023" s="258">
        <v>0</v>
      </c>
      <c r="AA1023" s="258">
        <v>0</v>
      </c>
      <c r="AB1023" s="258">
        <v>0</v>
      </c>
      <c r="AC1023" s="258">
        <v>1</v>
      </c>
      <c r="AD1023" s="257">
        <f>2457800*AC1023/I1023</f>
        <v>656.77943455721231</v>
      </c>
      <c r="AE1023" s="258">
        <v>0</v>
      </c>
      <c r="AF1023" s="257">
        <v>0</v>
      </c>
      <c r="AG1023" s="258">
        <v>0</v>
      </c>
      <c r="AH1023" s="257">
        <v>0</v>
      </c>
      <c r="AI1023" s="258">
        <v>0</v>
      </c>
      <c r="AJ1023" s="257">
        <v>0</v>
      </c>
      <c r="AK1023" s="258">
        <v>0</v>
      </c>
      <c r="AL1023" s="258">
        <v>0</v>
      </c>
      <c r="AM1023" s="258">
        <v>0</v>
      </c>
      <c r="AN1023" s="258"/>
      <c r="AO1023" s="258">
        <v>0</v>
      </c>
    </row>
    <row r="1024" spans="1:41" s="259" customFormat="1" ht="36" customHeight="1" x14ac:dyDescent="0.25">
      <c r="A1024" s="259">
        <v>1</v>
      </c>
      <c r="B1024" s="135">
        <f>SUBTOTAL(103,$A$1000:A1024)</f>
        <v>25</v>
      </c>
      <c r="C1024" s="94" t="s">
        <v>592</v>
      </c>
      <c r="D1024" s="124" t="s">
        <v>362</v>
      </c>
      <c r="E1024" s="124"/>
      <c r="F1024" s="129" t="s">
        <v>313</v>
      </c>
      <c r="G1024" s="124" t="s">
        <v>353</v>
      </c>
      <c r="H1024" s="124" t="s">
        <v>310</v>
      </c>
      <c r="I1024" s="125">
        <v>4425.6000000000004</v>
      </c>
      <c r="J1024" s="125">
        <v>3128.2</v>
      </c>
      <c r="K1024" s="125">
        <v>1799.3</v>
      </c>
      <c r="L1024" s="126">
        <v>135</v>
      </c>
      <c r="M1024" s="124" t="s">
        <v>267</v>
      </c>
      <c r="N1024" s="124" t="s">
        <v>271</v>
      </c>
      <c r="O1024" s="127" t="s">
        <v>1093</v>
      </c>
      <c r="P1024" s="128">
        <v>3934609.35</v>
      </c>
      <c r="Q1024" s="128">
        <v>0</v>
      </c>
      <c r="R1024" s="128">
        <v>0</v>
      </c>
      <c r="S1024" s="128">
        <f t="shared" si="322"/>
        <v>3934609.35</v>
      </c>
      <c r="T1024" s="128">
        <f t="shared" si="308"/>
        <v>889.05670417570491</v>
      </c>
      <c r="U1024" s="128">
        <v>1176.8976138828632</v>
      </c>
      <c r="V1024" s="257">
        <f t="shared" si="319"/>
        <v>287.84090970715829</v>
      </c>
      <c r="W1024" s="257">
        <f t="shared" si="323"/>
        <v>1189.813819595083</v>
      </c>
      <c r="X1024" s="257">
        <v>0</v>
      </c>
      <c r="Y1024" s="258">
        <v>0</v>
      </c>
      <c r="Z1024" s="258">
        <v>0</v>
      </c>
      <c r="AA1024" s="258">
        <v>0</v>
      </c>
      <c r="AB1024" s="258">
        <v>0</v>
      </c>
      <c r="AC1024" s="258">
        <v>0</v>
      </c>
      <c r="AD1024" s="258">
        <v>0</v>
      </c>
      <c r="AE1024" s="258">
        <v>844</v>
      </c>
      <c r="AF1024" s="257">
        <f t="shared" ref="AF1024:AF1029" si="325">6238.91*AE1024/I1024</f>
        <v>1189.813819595083</v>
      </c>
      <c r="AG1024" s="258">
        <v>0</v>
      </c>
      <c r="AH1024" s="257">
        <v>0</v>
      </c>
      <c r="AI1024" s="258">
        <v>0</v>
      </c>
      <c r="AJ1024" s="257">
        <v>0</v>
      </c>
      <c r="AK1024" s="258">
        <v>0</v>
      </c>
      <c r="AL1024" s="258">
        <v>0</v>
      </c>
      <c r="AM1024" s="258">
        <v>0</v>
      </c>
      <c r="AN1024" s="258"/>
      <c r="AO1024" s="258">
        <v>0</v>
      </c>
    </row>
    <row r="1025" spans="1:41" s="259" customFormat="1" ht="36" customHeight="1" x14ac:dyDescent="0.25">
      <c r="A1025" s="259">
        <v>1</v>
      </c>
      <c r="B1025" s="135">
        <f>SUBTOTAL(103,$A$1000:A1025)</f>
        <v>26</v>
      </c>
      <c r="C1025" s="94" t="s">
        <v>594</v>
      </c>
      <c r="D1025" s="124">
        <v>1960</v>
      </c>
      <c r="E1025" s="124"/>
      <c r="F1025" s="129" t="s">
        <v>269</v>
      </c>
      <c r="G1025" s="124">
        <v>5</v>
      </c>
      <c r="H1025" s="124" t="s">
        <v>314</v>
      </c>
      <c r="I1025" s="125">
        <v>5055.5</v>
      </c>
      <c r="J1025" s="125">
        <v>4135.1000000000004</v>
      </c>
      <c r="K1025" s="125">
        <v>2288.9</v>
      </c>
      <c r="L1025" s="126">
        <v>135</v>
      </c>
      <c r="M1025" s="124" t="s">
        <v>267</v>
      </c>
      <c r="N1025" s="124" t="s">
        <v>271</v>
      </c>
      <c r="O1025" s="127" t="s">
        <v>1093</v>
      </c>
      <c r="P1025" s="128">
        <v>6697616.7399999993</v>
      </c>
      <c r="Q1025" s="128">
        <v>0</v>
      </c>
      <c r="R1025" s="128">
        <v>0</v>
      </c>
      <c r="S1025" s="128">
        <f t="shared" si="322"/>
        <v>6697616.7399999993</v>
      </c>
      <c r="T1025" s="128">
        <f t="shared" si="308"/>
        <v>1324.817869646919</v>
      </c>
      <c r="U1025" s="128">
        <v>1791.8098961527048</v>
      </c>
      <c r="V1025" s="257">
        <f t="shared" si="319"/>
        <v>466.99202650578582</v>
      </c>
      <c r="W1025" s="257">
        <f t="shared" si="323"/>
        <v>1184.7203243991692</v>
      </c>
      <c r="X1025" s="257">
        <v>0</v>
      </c>
      <c r="Y1025" s="258">
        <v>0</v>
      </c>
      <c r="Z1025" s="258">
        <v>0</v>
      </c>
      <c r="AA1025" s="258">
        <v>0</v>
      </c>
      <c r="AB1025" s="258">
        <v>0</v>
      </c>
      <c r="AC1025" s="258">
        <v>0</v>
      </c>
      <c r="AD1025" s="258">
        <v>0</v>
      </c>
      <c r="AE1025" s="258">
        <v>960</v>
      </c>
      <c r="AF1025" s="257">
        <f t="shared" si="325"/>
        <v>1184.7203243991692</v>
      </c>
      <c r="AG1025" s="258">
        <v>0</v>
      </c>
      <c r="AH1025" s="257">
        <v>0</v>
      </c>
      <c r="AI1025" s="258">
        <v>0</v>
      </c>
      <c r="AJ1025" s="257">
        <v>0</v>
      </c>
      <c r="AK1025" s="258">
        <v>0</v>
      </c>
      <c r="AL1025" s="258">
        <v>0</v>
      </c>
      <c r="AM1025" s="258">
        <v>0</v>
      </c>
      <c r="AN1025" s="258"/>
      <c r="AO1025" s="258">
        <v>0</v>
      </c>
    </row>
    <row r="1026" spans="1:41" s="259" customFormat="1" ht="36" customHeight="1" x14ac:dyDescent="0.25">
      <c r="A1026" s="259">
        <v>1</v>
      </c>
      <c r="B1026" s="135">
        <f>SUBTOTAL(103,$A$1000:A1026)</f>
        <v>27</v>
      </c>
      <c r="C1026" s="94" t="s">
        <v>595</v>
      </c>
      <c r="D1026" s="124" t="s">
        <v>363</v>
      </c>
      <c r="E1026" s="124"/>
      <c r="F1026" s="129" t="s">
        <v>269</v>
      </c>
      <c r="G1026" s="124" t="s">
        <v>353</v>
      </c>
      <c r="H1026" s="124" t="s">
        <v>314</v>
      </c>
      <c r="I1026" s="125">
        <v>2923.9</v>
      </c>
      <c r="J1026" s="125">
        <v>2704.4</v>
      </c>
      <c r="K1026" s="125">
        <v>1930.7</v>
      </c>
      <c r="L1026" s="126">
        <v>125</v>
      </c>
      <c r="M1026" s="124" t="s">
        <v>267</v>
      </c>
      <c r="N1026" s="124" t="s">
        <v>271</v>
      </c>
      <c r="O1026" s="127" t="s">
        <v>1662</v>
      </c>
      <c r="P1026" s="128">
        <v>5263885</v>
      </c>
      <c r="Q1026" s="128">
        <v>0</v>
      </c>
      <c r="R1026" s="128">
        <v>0</v>
      </c>
      <c r="S1026" s="128">
        <f t="shared" si="322"/>
        <v>5263885</v>
      </c>
      <c r="T1026" s="128">
        <f t="shared" si="308"/>
        <v>1800.295837750949</v>
      </c>
      <c r="U1026" s="128">
        <v>3907.9508875132533</v>
      </c>
      <c r="V1026" s="257">
        <f t="shared" si="319"/>
        <v>2107.6550497623043</v>
      </c>
      <c r="W1026" s="257">
        <f t="shared" si="323"/>
        <v>2293.7953589384042</v>
      </c>
      <c r="X1026" s="257">
        <v>0</v>
      </c>
      <c r="Y1026" s="258">
        <v>0</v>
      </c>
      <c r="Z1026" s="258">
        <v>0</v>
      </c>
      <c r="AA1026" s="258">
        <v>0</v>
      </c>
      <c r="AB1026" s="258">
        <v>0</v>
      </c>
      <c r="AC1026" s="258">
        <v>0</v>
      </c>
      <c r="AD1026" s="258">
        <v>0</v>
      </c>
      <c r="AE1026" s="258">
        <v>1075</v>
      </c>
      <c r="AF1026" s="257">
        <f t="shared" si="325"/>
        <v>2293.7953589384042</v>
      </c>
      <c r="AG1026" s="258">
        <v>0</v>
      </c>
      <c r="AH1026" s="257">
        <v>0</v>
      </c>
      <c r="AI1026" s="258">
        <v>0</v>
      </c>
      <c r="AJ1026" s="257">
        <v>0</v>
      </c>
      <c r="AK1026" s="258">
        <v>0</v>
      </c>
      <c r="AL1026" s="258">
        <v>0</v>
      </c>
      <c r="AM1026" s="258">
        <v>0</v>
      </c>
      <c r="AN1026" s="258"/>
      <c r="AO1026" s="258">
        <v>0</v>
      </c>
    </row>
    <row r="1027" spans="1:41" s="259" customFormat="1" ht="36" customHeight="1" x14ac:dyDescent="0.25">
      <c r="A1027" s="259">
        <v>1</v>
      </c>
      <c r="B1027" s="135">
        <f>SUBTOTAL(103,$A$1000:A1027)</f>
        <v>28</v>
      </c>
      <c r="C1027" s="94" t="s">
        <v>1712</v>
      </c>
      <c r="D1027" s="124" t="s">
        <v>315</v>
      </c>
      <c r="E1027" s="124"/>
      <c r="F1027" s="129" t="s">
        <v>313</v>
      </c>
      <c r="G1027" s="124" t="s">
        <v>353</v>
      </c>
      <c r="H1027" s="124" t="s">
        <v>353</v>
      </c>
      <c r="I1027" s="125">
        <v>4700.6000000000004</v>
      </c>
      <c r="J1027" s="125">
        <v>3460</v>
      </c>
      <c r="K1027" s="125">
        <v>3460</v>
      </c>
      <c r="L1027" s="126">
        <v>148</v>
      </c>
      <c r="M1027" s="124" t="s">
        <v>267</v>
      </c>
      <c r="N1027" s="124" t="s">
        <v>271</v>
      </c>
      <c r="O1027" s="127" t="s">
        <v>1663</v>
      </c>
      <c r="P1027" s="128">
        <v>4443671.0699999994</v>
      </c>
      <c r="Q1027" s="128">
        <v>0</v>
      </c>
      <c r="R1027" s="128">
        <v>0</v>
      </c>
      <c r="S1027" s="128">
        <f t="shared" si="322"/>
        <v>4443671.0699999994</v>
      </c>
      <c r="T1027" s="128">
        <f t="shared" si="308"/>
        <v>945.34124792579655</v>
      </c>
      <c r="U1027" s="128">
        <v>1250.6795789899161</v>
      </c>
      <c r="V1027" s="257">
        <f t="shared" si="319"/>
        <v>305.33833106411953</v>
      </c>
      <c r="W1027" s="257">
        <f t="shared" si="323"/>
        <v>1104.2788409990214</v>
      </c>
      <c r="X1027" s="257">
        <v>0</v>
      </c>
      <c r="Y1027" s="258">
        <v>0</v>
      </c>
      <c r="Z1027" s="258">
        <v>0</v>
      </c>
      <c r="AA1027" s="258">
        <v>0</v>
      </c>
      <c r="AB1027" s="258">
        <v>0</v>
      </c>
      <c r="AC1027" s="258">
        <v>0</v>
      </c>
      <c r="AD1027" s="258">
        <v>0</v>
      </c>
      <c r="AE1027" s="258">
        <v>832</v>
      </c>
      <c r="AF1027" s="257">
        <f t="shared" si="325"/>
        <v>1104.2788409990214</v>
      </c>
      <c r="AG1027" s="258">
        <v>0</v>
      </c>
      <c r="AH1027" s="257">
        <v>0</v>
      </c>
      <c r="AI1027" s="258">
        <v>0</v>
      </c>
      <c r="AJ1027" s="257">
        <v>0</v>
      </c>
      <c r="AK1027" s="258">
        <v>0</v>
      </c>
      <c r="AL1027" s="258">
        <v>0</v>
      </c>
      <c r="AM1027" s="258">
        <v>0</v>
      </c>
      <c r="AN1027" s="258"/>
      <c r="AO1027" s="258">
        <v>0</v>
      </c>
    </row>
    <row r="1028" spans="1:41" s="259" customFormat="1" ht="36" customHeight="1" x14ac:dyDescent="0.25">
      <c r="A1028" s="259">
        <v>1</v>
      </c>
      <c r="B1028" s="135">
        <f>SUBTOTAL(103,$A$1000:A1028)</f>
        <v>29</v>
      </c>
      <c r="C1028" s="94" t="s">
        <v>1713</v>
      </c>
      <c r="D1028" s="124" t="s">
        <v>312</v>
      </c>
      <c r="E1028" s="124"/>
      <c r="F1028" s="129" t="s">
        <v>269</v>
      </c>
      <c r="G1028" s="124" t="s">
        <v>353</v>
      </c>
      <c r="H1028" s="124" t="s">
        <v>310</v>
      </c>
      <c r="I1028" s="125">
        <v>3048.2</v>
      </c>
      <c r="J1028" s="125">
        <v>2288.5</v>
      </c>
      <c r="K1028" s="125">
        <v>2288.5</v>
      </c>
      <c r="L1028" s="126">
        <v>104</v>
      </c>
      <c r="M1028" s="124" t="s">
        <v>267</v>
      </c>
      <c r="N1028" s="124" t="s">
        <v>271</v>
      </c>
      <c r="O1028" s="127" t="s">
        <v>1650</v>
      </c>
      <c r="P1028" s="128">
        <v>3809856.13</v>
      </c>
      <c r="Q1028" s="128">
        <v>0</v>
      </c>
      <c r="R1028" s="128">
        <v>0</v>
      </c>
      <c r="S1028" s="128">
        <f t="shared" si="322"/>
        <v>3809856.13</v>
      </c>
      <c r="T1028" s="128">
        <f t="shared" si="308"/>
        <v>1249.8707860376617</v>
      </c>
      <c r="U1028" s="128">
        <v>1249.8707860376617</v>
      </c>
      <c r="V1028" s="257">
        <f t="shared" si="319"/>
        <v>0</v>
      </c>
      <c r="W1028" s="257">
        <f t="shared" si="323"/>
        <v>1272.0564808739584</v>
      </c>
      <c r="X1028" s="257">
        <v>0</v>
      </c>
      <c r="Y1028" s="258">
        <v>0</v>
      </c>
      <c r="Z1028" s="258">
        <v>0</v>
      </c>
      <c r="AA1028" s="258">
        <v>0</v>
      </c>
      <c r="AB1028" s="258">
        <v>0</v>
      </c>
      <c r="AC1028" s="258">
        <v>0</v>
      </c>
      <c r="AD1028" s="258">
        <v>0</v>
      </c>
      <c r="AE1028" s="258">
        <v>621.5</v>
      </c>
      <c r="AF1028" s="257">
        <f t="shared" si="325"/>
        <v>1272.0564808739584</v>
      </c>
      <c r="AG1028" s="258">
        <v>0</v>
      </c>
      <c r="AH1028" s="257">
        <v>0</v>
      </c>
      <c r="AI1028" s="258">
        <v>0</v>
      </c>
      <c r="AJ1028" s="257">
        <v>0</v>
      </c>
      <c r="AK1028" s="258">
        <v>0</v>
      </c>
      <c r="AL1028" s="258">
        <v>0</v>
      </c>
      <c r="AM1028" s="258">
        <v>0</v>
      </c>
      <c r="AN1028" s="258"/>
      <c r="AO1028" s="258">
        <v>0</v>
      </c>
    </row>
    <row r="1029" spans="1:41" s="259" customFormat="1" ht="36" customHeight="1" x14ac:dyDescent="0.25">
      <c r="A1029" s="259">
        <v>1</v>
      </c>
      <c r="B1029" s="135">
        <f>SUBTOTAL(103,$A$1000:A1029)</f>
        <v>30</v>
      </c>
      <c r="C1029" s="94" t="s">
        <v>596</v>
      </c>
      <c r="D1029" s="124">
        <v>1963</v>
      </c>
      <c r="E1029" s="124"/>
      <c r="F1029" s="129" t="s">
        <v>269</v>
      </c>
      <c r="G1029" s="124">
        <v>5</v>
      </c>
      <c r="H1029" s="124" t="s">
        <v>305</v>
      </c>
      <c r="I1029" s="125">
        <v>1703.9</v>
      </c>
      <c r="J1029" s="125">
        <v>1558.5</v>
      </c>
      <c r="K1029" s="125">
        <v>1516.4</v>
      </c>
      <c r="L1029" s="126">
        <v>68</v>
      </c>
      <c r="M1029" s="124" t="s">
        <v>267</v>
      </c>
      <c r="N1029" s="124" t="s">
        <v>271</v>
      </c>
      <c r="O1029" s="127" t="s">
        <v>1401</v>
      </c>
      <c r="P1029" s="128">
        <v>4940291.25</v>
      </c>
      <c r="Q1029" s="128">
        <v>0</v>
      </c>
      <c r="R1029" s="128">
        <v>0</v>
      </c>
      <c r="S1029" s="128">
        <f t="shared" si="322"/>
        <v>4940291.25</v>
      </c>
      <c r="T1029" s="128">
        <f t="shared" si="308"/>
        <v>2899.402106931158</v>
      </c>
      <c r="U1029" s="128">
        <v>6221.4434532542982</v>
      </c>
      <c r="V1029" s="257">
        <f t="shared" si="319"/>
        <v>3322.0413463231403</v>
      </c>
      <c r="W1029" s="257">
        <f t="shared" si="323"/>
        <v>5298.2585656435231</v>
      </c>
      <c r="X1029" s="257">
        <v>0</v>
      </c>
      <c r="Y1029" s="258">
        <v>0</v>
      </c>
      <c r="Z1029" s="258">
        <v>0</v>
      </c>
      <c r="AA1029" s="258">
        <v>0</v>
      </c>
      <c r="AB1029" s="258">
        <v>0</v>
      </c>
      <c r="AC1029" s="258">
        <v>0</v>
      </c>
      <c r="AD1029" s="258">
        <v>0</v>
      </c>
      <c r="AE1029" s="258">
        <v>1447</v>
      </c>
      <c r="AF1029" s="257">
        <f t="shared" si="325"/>
        <v>5298.2585656435231</v>
      </c>
      <c r="AG1029" s="258">
        <v>0</v>
      </c>
      <c r="AH1029" s="257">
        <v>0</v>
      </c>
      <c r="AI1029" s="258">
        <v>0</v>
      </c>
      <c r="AJ1029" s="257">
        <v>0</v>
      </c>
      <c r="AK1029" s="258">
        <v>0</v>
      </c>
      <c r="AL1029" s="258">
        <v>0</v>
      </c>
      <c r="AM1029" s="258">
        <v>0</v>
      </c>
      <c r="AN1029" s="258"/>
      <c r="AO1029" s="258">
        <v>0</v>
      </c>
    </row>
    <row r="1030" spans="1:41" s="259" customFormat="1" ht="36" customHeight="1" x14ac:dyDescent="0.25">
      <c r="A1030" s="259">
        <v>1</v>
      </c>
      <c r="B1030" s="135">
        <f>SUBTOTAL(103,$A$1000:A1030)</f>
        <v>31</v>
      </c>
      <c r="C1030" s="94" t="s">
        <v>598</v>
      </c>
      <c r="D1030" s="124">
        <v>1972</v>
      </c>
      <c r="E1030" s="124"/>
      <c r="F1030" s="129" t="s">
        <v>269</v>
      </c>
      <c r="G1030" s="124">
        <v>9</v>
      </c>
      <c r="H1030" s="124" t="s">
        <v>306</v>
      </c>
      <c r="I1030" s="125">
        <v>1896.4</v>
      </c>
      <c r="J1030" s="125">
        <v>1896.4</v>
      </c>
      <c r="K1030" s="125">
        <v>1859.1</v>
      </c>
      <c r="L1030" s="126">
        <v>90</v>
      </c>
      <c r="M1030" s="124" t="s">
        <v>267</v>
      </c>
      <c r="N1030" s="124" t="s">
        <v>271</v>
      </c>
      <c r="O1030" s="127" t="s">
        <v>1389</v>
      </c>
      <c r="P1030" s="128">
        <v>2089100.53</v>
      </c>
      <c r="Q1030" s="128">
        <v>0</v>
      </c>
      <c r="R1030" s="128">
        <v>0</v>
      </c>
      <c r="S1030" s="128">
        <f t="shared" si="322"/>
        <v>2089100.53</v>
      </c>
      <c r="T1030" s="128">
        <f t="shared" si="308"/>
        <v>1101.6138631090487</v>
      </c>
      <c r="U1030" s="128">
        <v>1569.0993461295084</v>
      </c>
      <c r="V1030" s="257">
        <f t="shared" si="319"/>
        <v>467.4854830204597</v>
      </c>
      <c r="W1030" s="257">
        <f t="shared" si="323"/>
        <v>6025.3414891373131</v>
      </c>
      <c r="X1030" s="257">
        <v>0</v>
      </c>
      <c r="Y1030" s="258">
        <v>0</v>
      </c>
      <c r="Z1030" s="258">
        <v>0</v>
      </c>
      <c r="AA1030" s="258">
        <v>0</v>
      </c>
      <c r="AB1030" s="258">
        <v>0</v>
      </c>
      <c r="AC1030" s="258">
        <v>0</v>
      </c>
      <c r="AD1030" s="258">
        <v>0</v>
      </c>
      <c r="AE1030" s="258">
        <v>0</v>
      </c>
      <c r="AF1030" s="257">
        <v>0</v>
      </c>
      <c r="AG1030" s="258">
        <v>0</v>
      </c>
      <c r="AH1030" s="257">
        <v>0</v>
      </c>
      <c r="AI1030" s="258">
        <v>1536</v>
      </c>
      <c r="AJ1030" s="257">
        <f>7439.1*AI1030/I1030</f>
        <v>6025.3414891373131</v>
      </c>
      <c r="AK1030" s="258">
        <v>0</v>
      </c>
      <c r="AL1030" s="258">
        <v>0</v>
      </c>
      <c r="AM1030" s="258">
        <v>0</v>
      </c>
      <c r="AN1030" s="258"/>
      <c r="AO1030" s="258">
        <v>0</v>
      </c>
    </row>
    <row r="1031" spans="1:41" s="259" customFormat="1" ht="36" customHeight="1" x14ac:dyDescent="0.25">
      <c r="A1031" s="259">
        <v>1</v>
      </c>
      <c r="B1031" s="135">
        <f>SUBTOTAL(103,$A$1000:A1031)</f>
        <v>32</v>
      </c>
      <c r="C1031" s="94" t="s">
        <v>599</v>
      </c>
      <c r="D1031" s="124" t="s">
        <v>318</v>
      </c>
      <c r="E1031" s="124"/>
      <c r="F1031" s="129" t="s">
        <v>313</v>
      </c>
      <c r="G1031" s="124" t="s">
        <v>353</v>
      </c>
      <c r="H1031" s="124" t="s">
        <v>310</v>
      </c>
      <c r="I1031" s="125">
        <v>3873.3</v>
      </c>
      <c r="J1031" s="125">
        <v>3541.2</v>
      </c>
      <c r="K1031" s="125">
        <v>3540.2</v>
      </c>
      <c r="L1031" s="126">
        <v>165</v>
      </c>
      <c r="M1031" s="124" t="s">
        <v>267</v>
      </c>
      <c r="N1031" s="124" t="s">
        <v>271</v>
      </c>
      <c r="O1031" s="127" t="s">
        <v>1078</v>
      </c>
      <c r="P1031" s="128">
        <v>4372967.33</v>
      </c>
      <c r="Q1031" s="128">
        <v>0</v>
      </c>
      <c r="R1031" s="128">
        <v>0</v>
      </c>
      <c r="S1031" s="128">
        <f t="shared" si="322"/>
        <v>4372967.33</v>
      </c>
      <c r="T1031" s="128">
        <f t="shared" si="308"/>
        <v>1129.0030026075956</v>
      </c>
      <c r="U1031" s="128">
        <v>1551.5922856478969</v>
      </c>
      <c r="V1031" s="257">
        <f t="shared" si="319"/>
        <v>422.58928304030132</v>
      </c>
      <c r="W1031" s="257">
        <f t="shared" si="323"/>
        <v>1512.6533914233341</v>
      </c>
      <c r="X1031" s="257">
        <v>0</v>
      </c>
      <c r="Y1031" s="258">
        <v>0</v>
      </c>
      <c r="Z1031" s="258">
        <v>0</v>
      </c>
      <c r="AA1031" s="258">
        <v>0</v>
      </c>
      <c r="AB1031" s="258">
        <v>0</v>
      </c>
      <c r="AC1031" s="258">
        <v>0</v>
      </c>
      <c r="AD1031" s="258">
        <v>0</v>
      </c>
      <c r="AE1031" s="258">
        <v>939.1</v>
      </c>
      <c r="AF1031" s="257">
        <f>6238.91*AE1031/I1031</f>
        <v>1512.6533914233341</v>
      </c>
      <c r="AG1031" s="258">
        <v>0</v>
      </c>
      <c r="AH1031" s="257">
        <v>0</v>
      </c>
      <c r="AI1031" s="258">
        <v>0</v>
      </c>
      <c r="AJ1031" s="257">
        <v>0</v>
      </c>
      <c r="AK1031" s="258">
        <v>0</v>
      </c>
      <c r="AL1031" s="258">
        <v>0</v>
      </c>
      <c r="AM1031" s="258">
        <v>0</v>
      </c>
      <c r="AN1031" s="258"/>
      <c r="AO1031" s="258">
        <v>0</v>
      </c>
    </row>
    <row r="1032" spans="1:41" s="259" customFormat="1" ht="36" customHeight="1" x14ac:dyDescent="0.25">
      <c r="A1032" s="259">
        <v>1</v>
      </c>
      <c r="B1032" s="135">
        <f>SUBTOTAL(103,$A$1000:A1032)</f>
        <v>33</v>
      </c>
      <c r="C1032" s="94" t="s">
        <v>600</v>
      </c>
      <c r="D1032" s="124" t="s">
        <v>379</v>
      </c>
      <c r="E1032" s="124"/>
      <c r="F1032" s="129" t="s">
        <v>313</v>
      </c>
      <c r="G1032" s="124" t="s">
        <v>353</v>
      </c>
      <c r="H1032" s="124" t="s">
        <v>310</v>
      </c>
      <c r="I1032" s="125">
        <v>3881.3</v>
      </c>
      <c r="J1032" s="125">
        <v>3552.7</v>
      </c>
      <c r="K1032" s="125">
        <v>3551.2</v>
      </c>
      <c r="L1032" s="126">
        <v>182</v>
      </c>
      <c r="M1032" s="124" t="s">
        <v>267</v>
      </c>
      <c r="N1032" s="124" t="s">
        <v>271</v>
      </c>
      <c r="O1032" s="127" t="s">
        <v>1078</v>
      </c>
      <c r="P1032" s="128">
        <v>4372967.33</v>
      </c>
      <c r="Q1032" s="128">
        <v>0</v>
      </c>
      <c r="R1032" s="128">
        <v>0</v>
      </c>
      <c r="S1032" s="128">
        <f t="shared" si="322"/>
        <v>4372967.33</v>
      </c>
      <c r="T1032" s="128">
        <f t="shared" si="308"/>
        <v>1126.6759410506788</v>
      </c>
      <c r="U1032" s="128">
        <v>1548.3941978203177</v>
      </c>
      <c r="V1032" s="257">
        <f t="shared" si="319"/>
        <v>421.71825676963886</v>
      </c>
      <c r="W1032" s="257">
        <f t="shared" si="323"/>
        <v>945.16761909669435</v>
      </c>
      <c r="X1032" s="257">
        <v>0</v>
      </c>
      <c r="Y1032" s="258">
        <v>0</v>
      </c>
      <c r="Z1032" s="258">
        <v>0</v>
      </c>
      <c r="AA1032" s="258">
        <v>0</v>
      </c>
      <c r="AB1032" s="258">
        <v>0</v>
      </c>
      <c r="AC1032" s="258">
        <v>0</v>
      </c>
      <c r="AD1032" s="258">
        <v>0</v>
      </c>
      <c r="AE1032" s="258">
        <v>588</v>
      </c>
      <c r="AF1032" s="257">
        <f>6238.91*AE1032/I1032</f>
        <v>945.16761909669435</v>
      </c>
      <c r="AG1032" s="258">
        <v>0</v>
      </c>
      <c r="AH1032" s="257">
        <v>0</v>
      </c>
      <c r="AI1032" s="258">
        <v>0</v>
      </c>
      <c r="AJ1032" s="257">
        <v>0</v>
      </c>
      <c r="AK1032" s="258">
        <v>0</v>
      </c>
      <c r="AL1032" s="258">
        <v>0</v>
      </c>
      <c r="AM1032" s="258">
        <v>0</v>
      </c>
      <c r="AN1032" s="258"/>
      <c r="AO1032" s="258">
        <v>0</v>
      </c>
    </row>
    <row r="1033" spans="1:41" s="259" customFormat="1" ht="36" customHeight="1" x14ac:dyDescent="0.25">
      <c r="A1033" s="259">
        <v>1</v>
      </c>
      <c r="B1033" s="135">
        <f>SUBTOTAL(103,$A$1000:A1033)</f>
        <v>34</v>
      </c>
      <c r="C1033" s="94" t="s">
        <v>601</v>
      </c>
      <c r="D1033" s="124" t="s">
        <v>352</v>
      </c>
      <c r="E1033" s="124"/>
      <c r="F1033" s="129" t="s">
        <v>269</v>
      </c>
      <c r="G1033" s="124" t="s">
        <v>359</v>
      </c>
      <c r="H1033" s="124" t="s">
        <v>306</v>
      </c>
      <c r="I1033" s="125">
        <v>2154.4</v>
      </c>
      <c r="J1033" s="125">
        <v>1828.2</v>
      </c>
      <c r="K1033" s="125">
        <v>1783.4</v>
      </c>
      <c r="L1033" s="126">
        <v>76</v>
      </c>
      <c r="M1033" s="124" t="s">
        <v>267</v>
      </c>
      <c r="N1033" s="124" t="s">
        <v>271</v>
      </c>
      <c r="O1033" s="127" t="s">
        <v>1650</v>
      </c>
      <c r="P1033" s="128">
        <v>1733943.5899999999</v>
      </c>
      <c r="Q1033" s="128">
        <v>0</v>
      </c>
      <c r="R1033" s="128">
        <v>0</v>
      </c>
      <c r="S1033" s="128">
        <f t="shared" si="322"/>
        <v>1733943.5899999999</v>
      </c>
      <c r="T1033" s="128">
        <f t="shared" si="308"/>
        <v>804.83827979948001</v>
      </c>
      <c r="U1033" s="128">
        <v>1060.0247456368361</v>
      </c>
      <c r="V1033" s="257">
        <f t="shared" si="319"/>
        <v>255.18646583735608</v>
      </c>
      <c r="W1033" s="257">
        <f t="shared" si="323"/>
        <v>4920.4964259190492</v>
      </c>
      <c r="X1033" s="257">
        <v>0</v>
      </c>
      <c r="Y1033" s="258">
        <v>0</v>
      </c>
      <c r="Z1033" s="258">
        <v>0</v>
      </c>
      <c r="AA1033" s="258">
        <v>0</v>
      </c>
      <c r="AB1033" s="258">
        <v>0</v>
      </c>
      <c r="AC1033" s="258">
        <v>0</v>
      </c>
      <c r="AD1033" s="258">
        <v>0</v>
      </c>
      <c r="AE1033" s="258">
        <v>0</v>
      </c>
      <c r="AF1033" s="257">
        <v>0</v>
      </c>
      <c r="AG1033" s="258">
        <v>0</v>
      </c>
      <c r="AH1033" s="257">
        <v>0</v>
      </c>
      <c r="AI1033" s="258">
        <v>1425</v>
      </c>
      <c r="AJ1033" s="257">
        <f>7439.1*AI1033/I1033</f>
        <v>4920.4964259190492</v>
      </c>
      <c r="AK1033" s="258">
        <v>0</v>
      </c>
      <c r="AL1033" s="258">
        <v>0</v>
      </c>
      <c r="AM1033" s="258">
        <v>0</v>
      </c>
      <c r="AN1033" s="258"/>
      <c r="AO1033" s="258">
        <v>0</v>
      </c>
    </row>
    <row r="1034" spans="1:41" s="259" customFormat="1" ht="36" customHeight="1" x14ac:dyDescent="0.25">
      <c r="A1034" s="259">
        <v>1</v>
      </c>
      <c r="B1034" s="135">
        <f>SUBTOTAL(103,$A$1000:A1034)</f>
        <v>35</v>
      </c>
      <c r="C1034" s="94" t="s">
        <v>602</v>
      </c>
      <c r="D1034" s="124" t="s">
        <v>380</v>
      </c>
      <c r="E1034" s="124"/>
      <c r="F1034" s="129" t="s">
        <v>313</v>
      </c>
      <c r="G1034" s="124" t="s">
        <v>353</v>
      </c>
      <c r="H1034" s="124" t="s">
        <v>310</v>
      </c>
      <c r="I1034" s="125">
        <v>3888.9</v>
      </c>
      <c r="J1034" s="125">
        <v>3557.6</v>
      </c>
      <c r="K1034" s="125">
        <v>3511.4</v>
      </c>
      <c r="L1034" s="126">
        <v>169</v>
      </c>
      <c r="M1034" s="124" t="s">
        <v>267</v>
      </c>
      <c r="N1034" s="124" t="s">
        <v>271</v>
      </c>
      <c r="O1034" s="127" t="s">
        <v>1078</v>
      </c>
      <c r="P1034" s="128">
        <v>4372967.33</v>
      </c>
      <c r="Q1034" s="128">
        <v>0</v>
      </c>
      <c r="R1034" s="128">
        <v>0</v>
      </c>
      <c r="S1034" s="128">
        <f t="shared" si="322"/>
        <v>4372967.33</v>
      </c>
      <c r="T1034" s="128">
        <f t="shared" si="308"/>
        <v>1124.4741006454267</v>
      </c>
      <c r="U1034" s="128">
        <v>1545.3682018051375</v>
      </c>
      <c r="V1034" s="257">
        <f t="shared" si="319"/>
        <v>420.89410115971077</v>
      </c>
      <c r="W1034" s="257">
        <f t="shared" si="323"/>
        <v>901.6090462598678</v>
      </c>
      <c r="X1034" s="257">
        <v>0</v>
      </c>
      <c r="Y1034" s="258">
        <v>0</v>
      </c>
      <c r="Z1034" s="258">
        <v>0</v>
      </c>
      <c r="AA1034" s="258">
        <v>0</v>
      </c>
      <c r="AB1034" s="258">
        <v>0</v>
      </c>
      <c r="AC1034" s="258">
        <v>0</v>
      </c>
      <c r="AD1034" s="258">
        <v>0</v>
      </c>
      <c r="AE1034" s="258">
        <v>562</v>
      </c>
      <c r="AF1034" s="257">
        <f>6238.91*AE1034/I1034</f>
        <v>901.6090462598678</v>
      </c>
      <c r="AG1034" s="258">
        <v>0</v>
      </c>
      <c r="AH1034" s="257">
        <v>0</v>
      </c>
      <c r="AI1034" s="258">
        <v>0</v>
      </c>
      <c r="AJ1034" s="257">
        <v>0</v>
      </c>
      <c r="AK1034" s="258">
        <v>0</v>
      </c>
      <c r="AL1034" s="258">
        <v>0</v>
      </c>
      <c r="AM1034" s="258">
        <v>0</v>
      </c>
      <c r="AN1034" s="258"/>
      <c r="AO1034" s="258">
        <v>0</v>
      </c>
    </row>
    <row r="1035" spans="1:41" s="259" customFormat="1" ht="36" customHeight="1" x14ac:dyDescent="0.25">
      <c r="A1035" s="259">
        <v>1</v>
      </c>
      <c r="B1035" s="135">
        <f>SUBTOTAL(103,$A$1000:A1035)</f>
        <v>36</v>
      </c>
      <c r="C1035" s="94" t="s">
        <v>603</v>
      </c>
      <c r="D1035" s="124" t="s">
        <v>375</v>
      </c>
      <c r="E1035" s="124"/>
      <c r="F1035" s="129" t="s">
        <v>269</v>
      </c>
      <c r="G1035" s="124" t="s">
        <v>353</v>
      </c>
      <c r="H1035" s="124" t="s">
        <v>314</v>
      </c>
      <c r="I1035" s="125">
        <v>2600.9</v>
      </c>
      <c r="J1035" s="125">
        <v>2217.3000000000002</v>
      </c>
      <c r="K1035" s="125">
        <v>2214.6</v>
      </c>
      <c r="L1035" s="126">
        <v>77</v>
      </c>
      <c r="M1035" s="124" t="s">
        <v>267</v>
      </c>
      <c r="N1035" s="124" t="s">
        <v>271</v>
      </c>
      <c r="O1035" s="127" t="s">
        <v>1387</v>
      </c>
      <c r="P1035" s="128">
        <v>3164601.1799999997</v>
      </c>
      <c r="Q1035" s="128">
        <v>0</v>
      </c>
      <c r="R1035" s="128">
        <v>0</v>
      </c>
      <c r="S1035" s="128">
        <f t="shared" si="322"/>
        <v>3164601.1799999997</v>
      </c>
      <c r="T1035" s="128">
        <f t="shared" si="308"/>
        <v>1216.7331231496787</v>
      </c>
      <c r="U1035" s="128">
        <v>4776.5377369372136</v>
      </c>
      <c r="V1035" s="257">
        <f t="shared" si="319"/>
        <v>3559.8046137875349</v>
      </c>
      <c r="W1035" s="257">
        <f t="shared" si="323"/>
        <v>1144.0808950747817</v>
      </c>
      <c r="X1035" s="257">
        <v>0</v>
      </c>
      <c r="Y1035" s="258">
        <v>0</v>
      </c>
      <c r="Z1035" s="258">
        <v>0</v>
      </c>
      <c r="AA1035" s="258">
        <v>0</v>
      </c>
      <c r="AB1035" s="258">
        <v>0</v>
      </c>
      <c r="AC1035" s="258">
        <v>0</v>
      </c>
      <c r="AD1035" s="258">
        <v>0</v>
      </c>
      <c r="AE1035" s="258">
        <v>0</v>
      </c>
      <c r="AF1035" s="257">
        <v>0</v>
      </c>
      <c r="AG1035" s="258">
        <v>0</v>
      </c>
      <c r="AH1035" s="257">
        <v>0</v>
      </c>
      <c r="AI1035" s="258">
        <v>400</v>
      </c>
      <c r="AJ1035" s="257">
        <f>7439.1*AI1035/I1035</f>
        <v>1144.0808950747817</v>
      </c>
      <c r="AK1035" s="258">
        <v>0</v>
      </c>
      <c r="AL1035" s="258">
        <v>0</v>
      </c>
      <c r="AM1035" s="258">
        <v>0</v>
      </c>
      <c r="AN1035" s="258"/>
      <c r="AO1035" s="258">
        <v>0</v>
      </c>
    </row>
    <row r="1036" spans="1:41" s="259" customFormat="1" ht="36" customHeight="1" x14ac:dyDescent="0.25">
      <c r="A1036" s="259">
        <v>1</v>
      </c>
      <c r="B1036" s="135">
        <f>SUBTOTAL(103,$A$1000:A1036)</f>
        <v>37</v>
      </c>
      <c r="C1036" s="94" t="s">
        <v>604</v>
      </c>
      <c r="D1036" s="124" t="s">
        <v>371</v>
      </c>
      <c r="E1036" s="124"/>
      <c r="F1036" s="129" t="s">
        <v>269</v>
      </c>
      <c r="G1036" s="124" t="s">
        <v>353</v>
      </c>
      <c r="H1036" s="124" t="s">
        <v>306</v>
      </c>
      <c r="I1036" s="125">
        <v>1129.8</v>
      </c>
      <c r="J1036" s="125">
        <v>1033.3</v>
      </c>
      <c r="K1036" s="125">
        <v>841.7</v>
      </c>
      <c r="L1036" s="126">
        <v>42</v>
      </c>
      <c r="M1036" s="124" t="s">
        <v>267</v>
      </c>
      <c r="N1036" s="124" t="s">
        <v>271</v>
      </c>
      <c r="O1036" s="127" t="s">
        <v>1401</v>
      </c>
      <c r="P1036" s="128">
        <v>1146986.94</v>
      </c>
      <c r="Q1036" s="128">
        <v>0</v>
      </c>
      <c r="R1036" s="128">
        <v>0</v>
      </c>
      <c r="S1036" s="128">
        <f t="shared" si="322"/>
        <v>1146986.94</v>
      </c>
      <c r="T1036" s="128">
        <f t="shared" si="308"/>
        <v>1015.2123738714816</v>
      </c>
      <c r="U1036" s="128">
        <v>1302.1283855549655</v>
      </c>
      <c r="V1036" s="257">
        <f t="shared" si="319"/>
        <v>286.91601168348382</v>
      </c>
      <c r="W1036" s="257">
        <f t="shared" si="323"/>
        <v>5301.2511949017526</v>
      </c>
      <c r="X1036" s="257">
        <v>0</v>
      </c>
      <c r="Y1036" s="258">
        <v>0</v>
      </c>
      <c r="Z1036" s="258">
        <v>0</v>
      </c>
      <c r="AA1036" s="258">
        <v>0</v>
      </c>
      <c r="AB1036" s="258">
        <v>0</v>
      </c>
      <c r="AC1036" s="258">
        <v>0</v>
      </c>
      <c r="AD1036" s="258">
        <v>0</v>
      </c>
      <c r="AE1036" s="258">
        <v>960</v>
      </c>
      <c r="AF1036" s="257">
        <f t="shared" ref="AF1036:AF1051" si="326">6238.91*AE1036/I1036</f>
        <v>5301.2511949017526</v>
      </c>
      <c r="AG1036" s="258">
        <v>0</v>
      </c>
      <c r="AH1036" s="257">
        <v>0</v>
      </c>
      <c r="AI1036" s="258">
        <v>0</v>
      </c>
      <c r="AJ1036" s="257">
        <v>0</v>
      </c>
      <c r="AK1036" s="258">
        <v>0</v>
      </c>
      <c r="AL1036" s="258">
        <v>0</v>
      </c>
      <c r="AM1036" s="258">
        <v>0</v>
      </c>
      <c r="AN1036" s="258"/>
      <c r="AO1036" s="258">
        <v>0</v>
      </c>
    </row>
    <row r="1037" spans="1:41" s="259" customFormat="1" ht="36" customHeight="1" x14ac:dyDescent="0.25">
      <c r="A1037" s="259">
        <v>1</v>
      </c>
      <c r="B1037" s="135">
        <f>SUBTOTAL(103,$A$1000:A1037)</f>
        <v>38</v>
      </c>
      <c r="C1037" s="94" t="s">
        <v>605</v>
      </c>
      <c r="D1037" s="124" t="s">
        <v>311</v>
      </c>
      <c r="E1037" s="124"/>
      <c r="F1037" s="129" t="s">
        <v>313</v>
      </c>
      <c r="G1037" s="124" t="s">
        <v>353</v>
      </c>
      <c r="H1037" s="124" t="s">
        <v>310</v>
      </c>
      <c r="I1037" s="125">
        <v>4027.5</v>
      </c>
      <c r="J1037" s="125">
        <v>3037.2</v>
      </c>
      <c r="K1037" s="125">
        <v>3035.5</v>
      </c>
      <c r="L1037" s="126">
        <v>127</v>
      </c>
      <c r="M1037" s="124" t="s">
        <v>267</v>
      </c>
      <c r="N1037" s="124" t="s">
        <v>271</v>
      </c>
      <c r="O1037" s="127" t="s">
        <v>1326</v>
      </c>
      <c r="P1037" s="128">
        <v>3616149.44</v>
      </c>
      <c r="Q1037" s="128">
        <v>0</v>
      </c>
      <c r="R1037" s="128">
        <v>0</v>
      </c>
      <c r="S1037" s="128">
        <f t="shared" si="322"/>
        <v>3616149.44</v>
      </c>
      <c r="T1037" s="128">
        <f t="shared" si="308"/>
        <v>897.86454127870888</v>
      </c>
      <c r="U1037" s="128">
        <v>1189.0863687150836</v>
      </c>
      <c r="V1037" s="257">
        <f t="shared" si="319"/>
        <v>291.22182743637472</v>
      </c>
      <c r="W1037" s="257">
        <f t="shared" si="323"/>
        <v>1487.1144878957168</v>
      </c>
      <c r="X1037" s="257">
        <v>0</v>
      </c>
      <c r="Y1037" s="258">
        <v>0</v>
      </c>
      <c r="Z1037" s="258">
        <v>0</v>
      </c>
      <c r="AA1037" s="258">
        <v>0</v>
      </c>
      <c r="AB1037" s="258">
        <v>0</v>
      </c>
      <c r="AC1037" s="258">
        <v>0</v>
      </c>
      <c r="AD1037" s="258">
        <v>0</v>
      </c>
      <c r="AE1037" s="258">
        <v>960</v>
      </c>
      <c r="AF1037" s="257">
        <f t="shared" si="326"/>
        <v>1487.1144878957168</v>
      </c>
      <c r="AG1037" s="258">
        <v>0</v>
      </c>
      <c r="AH1037" s="257">
        <v>0</v>
      </c>
      <c r="AI1037" s="258">
        <v>0</v>
      </c>
      <c r="AJ1037" s="257">
        <v>0</v>
      </c>
      <c r="AK1037" s="258">
        <v>0</v>
      </c>
      <c r="AL1037" s="258">
        <v>0</v>
      </c>
      <c r="AM1037" s="258">
        <v>0</v>
      </c>
      <c r="AN1037" s="258"/>
      <c r="AO1037" s="258">
        <v>0</v>
      </c>
    </row>
    <row r="1038" spans="1:41" s="259" customFormat="1" ht="36" customHeight="1" x14ac:dyDescent="0.25">
      <c r="A1038" s="259">
        <v>1</v>
      </c>
      <c r="B1038" s="135">
        <f>SUBTOTAL(103,$A$1000:A1038)</f>
        <v>39</v>
      </c>
      <c r="C1038" s="94" t="s">
        <v>1386</v>
      </c>
      <c r="D1038" s="124">
        <v>1976</v>
      </c>
      <c r="E1038" s="124"/>
      <c r="F1038" s="129" t="s">
        <v>269</v>
      </c>
      <c r="G1038" s="124">
        <v>5</v>
      </c>
      <c r="H1038" s="124" t="s">
        <v>2295</v>
      </c>
      <c r="I1038" s="125">
        <v>18701</v>
      </c>
      <c r="J1038" s="125">
        <v>10438.450000000001</v>
      </c>
      <c r="K1038" s="125">
        <v>6661.1</v>
      </c>
      <c r="L1038" s="126">
        <v>448</v>
      </c>
      <c r="M1038" s="124" t="s">
        <v>267</v>
      </c>
      <c r="N1038" s="124" t="s">
        <v>271</v>
      </c>
      <c r="O1038" s="127" t="s">
        <v>1403</v>
      </c>
      <c r="P1038" s="128">
        <v>8004176.46</v>
      </c>
      <c r="Q1038" s="128">
        <v>0</v>
      </c>
      <c r="R1038" s="128">
        <v>0</v>
      </c>
      <c r="S1038" s="128">
        <f t="shared" si="322"/>
        <v>8004176.46</v>
      </c>
      <c r="T1038" s="128">
        <f t="shared" ref="T1038:T1101" si="327">P1038/I1038</f>
        <v>428.00793861290839</v>
      </c>
      <c r="U1038" s="128">
        <v>774.6152430351317</v>
      </c>
      <c r="V1038" s="257">
        <f t="shared" si="319"/>
        <v>346.60730442222331</v>
      </c>
      <c r="W1038" s="257">
        <f t="shared" si="323"/>
        <v>121.70228158921984</v>
      </c>
      <c r="X1038" s="257">
        <v>0</v>
      </c>
      <c r="Y1038" s="258">
        <v>0</v>
      </c>
      <c r="Z1038" s="258">
        <v>0</v>
      </c>
      <c r="AA1038" s="258">
        <v>0</v>
      </c>
      <c r="AB1038" s="258">
        <v>0</v>
      </c>
      <c r="AC1038" s="258">
        <v>0</v>
      </c>
      <c r="AD1038" s="258">
        <v>0</v>
      </c>
      <c r="AE1038" s="258">
        <v>364.8</v>
      </c>
      <c r="AF1038" s="257">
        <f t="shared" si="326"/>
        <v>121.70228158921984</v>
      </c>
      <c r="AG1038" s="258">
        <v>0</v>
      </c>
      <c r="AH1038" s="257">
        <v>0</v>
      </c>
      <c r="AI1038" s="258">
        <v>0</v>
      </c>
      <c r="AJ1038" s="257">
        <v>0</v>
      </c>
      <c r="AK1038" s="258">
        <v>0</v>
      </c>
      <c r="AL1038" s="258">
        <v>0</v>
      </c>
      <c r="AM1038" s="258">
        <v>0</v>
      </c>
      <c r="AN1038" s="258"/>
      <c r="AO1038" s="258">
        <v>0</v>
      </c>
    </row>
    <row r="1039" spans="1:41" s="259" customFormat="1" ht="36" customHeight="1" x14ac:dyDescent="0.25">
      <c r="A1039" s="259">
        <v>1</v>
      </c>
      <c r="B1039" s="135">
        <f>SUBTOTAL(103,$A$1000:A1039)</f>
        <v>40</v>
      </c>
      <c r="C1039" s="94" t="s">
        <v>1646</v>
      </c>
      <c r="D1039" s="124">
        <v>1970</v>
      </c>
      <c r="E1039" s="124"/>
      <c r="F1039" s="129" t="s">
        <v>269</v>
      </c>
      <c r="G1039" s="124">
        <v>5</v>
      </c>
      <c r="H1039" s="124" t="s">
        <v>373</v>
      </c>
      <c r="I1039" s="125">
        <v>5849.4</v>
      </c>
      <c r="J1039" s="125">
        <v>4434.8999999999996</v>
      </c>
      <c r="K1039" s="125">
        <v>4190</v>
      </c>
      <c r="L1039" s="126">
        <v>242</v>
      </c>
      <c r="M1039" s="124" t="s">
        <v>267</v>
      </c>
      <c r="N1039" s="124" t="s">
        <v>271</v>
      </c>
      <c r="O1039" s="127" t="s">
        <v>1093</v>
      </c>
      <c r="P1039" s="128">
        <v>5986250</v>
      </c>
      <c r="Q1039" s="128">
        <v>0</v>
      </c>
      <c r="R1039" s="128">
        <v>0</v>
      </c>
      <c r="S1039" s="128">
        <f t="shared" si="322"/>
        <v>5986250</v>
      </c>
      <c r="T1039" s="128">
        <f t="shared" si="327"/>
        <v>1023.3955619379766</v>
      </c>
      <c r="U1039" s="128">
        <v>1279.9923479331212</v>
      </c>
      <c r="V1039" s="257">
        <f t="shared" si="319"/>
        <v>256.59678599514461</v>
      </c>
      <c r="W1039" s="257">
        <f t="shared" si="323"/>
        <v>1023.9261462714124</v>
      </c>
      <c r="X1039" s="257">
        <v>0</v>
      </c>
      <c r="Y1039" s="258">
        <v>0</v>
      </c>
      <c r="Z1039" s="258">
        <v>0</v>
      </c>
      <c r="AA1039" s="258">
        <v>0</v>
      </c>
      <c r="AB1039" s="258">
        <v>0</v>
      </c>
      <c r="AC1039" s="258">
        <v>0</v>
      </c>
      <c r="AD1039" s="258">
        <v>0</v>
      </c>
      <c r="AE1039" s="258">
        <v>960</v>
      </c>
      <c r="AF1039" s="257">
        <f t="shared" si="326"/>
        <v>1023.9261462714124</v>
      </c>
      <c r="AG1039" s="258">
        <v>0</v>
      </c>
      <c r="AH1039" s="257">
        <v>0</v>
      </c>
      <c r="AI1039" s="258">
        <v>0</v>
      </c>
      <c r="AJ1039" s="257">
        <v>0</v>
      </c>
      <c r="AK1039" s="258">
        <v>0</v>
      </c>
      <c r="AL1039" s="258">
        <v>0</v>
      </c>
      <c r="AM1039" s="258">
        <v>0</v>
      </c>
      <c r="AN1039" s="258"/>
      <c r="AO1039" s="258">
        <v>0</v>
      </c>
    </row>
    <row r="1040" spans="1:41" s="259" customFormat="1" ht="36" customHeight="1" x14ac:dyDescent="0.25">
      <c r="A1040" s="259">
        <v>1</v>
      </c>
      <c r="B1040" s="135">
        <f>SUBTOTAL(103,$A$1000:A1040)</f>
        <v>41</v>
      </c>
      <c r="C1040" s="94" t="s">
        <v>1629</v>
      </c>
      <c r="D1040" s="124">
        <v>1957</v>
      </c>
      <c r="E1040" s="124"/>
      <c r="F1040" s="129" t="s">
        <v>269</v>
      </c>
      <c r="G1040" s="124">
        <v>3</v>
      </c>
      <c r="H1040" s="124" t="s">
        <v>314</v>
      </c>
      <c r="I1040" s="125">
        <v>2341.1</v>
      </c>
      <c r="J1040" s="125">
        <v>1935.59</v>
      </c>
      <c r="K1040" s="125">
        <v>1467.6</v>
      </c>
      <c r="L1040" s="126">
        <v>56</v>
      </c>
      <c r="M1040" s="124" t="s">
        <v>267</v>
      </c>
      <c r="N1040" s="124" t="s">
        <v>271</v>
      </c>
      <c r="O1040" s="127" t="s">
        <v>1602</v>
      </c>
      <c r="P1040" s="128">
        <v>7471186.2199999997</v>
      </c>
      <c r="Q1040" s="128">
        <v>0</v>
      </c>
      <c r="R1040" s="128">
        <v>0</v>
      </c>
      <c r="S1040" s="128">
        <f t="shared" si="322"/>
        <v>7471186.2199999997</v>
      </c>
      <c r="T1040" s="128">
        <f t="shared" si="327"/>
        <v>3191.314433386015</v>
      </c>
      <c r="U1040" s="128">
        <v>4350.1247669898758</v>
      </c>
      <c r="V1040" s="257">
        <f t="shared" si="319"/>
        <v>1158.8103336038607</v>
      </c>
      <c r="W1040" s="257">
        <f t="shared" si="323"/>
        <v>1785.5152278843279</v>
      </c>
      <c r="X1040" s="257">
        <v>0</v>
      </c>
      <c r="Y1040" s="258">
        <v>0</v>
      </c>
      <c r="Z1040" s="258">
        <v>0</v>
      </c>
      <c r="AA1040" s="258">
        <v>0</v>
      </c>
      <c r="AB1040" s="258">
        <v>0</v>
      </c>
      <c r="AC1040" s="258">
        <v>0</v>
      </c>
      <c r="AD1040" s="258">
        <v>0</v>
      </c>
      <c r="AE1040" s="258">
        <v>670</v>
      </c>
      <c r="AF1040" s="257">
        <f t="shared" si="326"/>
        <v>1785.5152278843279</v>
      </c>
      <c r="AG1040" s="258">
        <v>0</v>
      </c>
      <c r="AH1040" s="257">
        <v>0</v>
      </c>
      <c r="AI1040" s="258">
        <v>0</v>
      </c>
      <c r="AJ1040" s="257">
        <v>0</v>
      </c>
      <c r="AK1040" s="258">
        <v>0</v>
      </c>
      <c r="AL1040" s="258">
        <v>0</v>
      </c>
      <c r="AM1040" s="258">
        <v>0</v>
      </c>
      <c r="AN1040" s="258"/>
      <c r="AO1040" s="258">
        <v>0</v>
      </c>
    </row>
    <row r="1041" spans="1:41" s="259" customFormat="1" ht="36" customHeight="1" x14ac:dyDescent="0.25">
      <c r="A1041" s="259">
        <v>1</v>
      </c>
      <c r="B1041" s="135">
        <f>SUBTOTAL(103,$A$1000:A1041)</f>
        <v>42</v>
      </c>
      <c r="C1041" s="94" t="s">
        <v>607</v>
      </c>
      <c r="D1041" s="124">
        <v>1981</v>
      </c>
      <c r="E1041" s="124"/>
      <c r="F1041" s="129" t="s">
        <v>269</v>
      </c>
      <c r="G1041" s="124">
        <v>2</v>
      </c>
      <c r="H1041" s="124" t="s">
        <v>314</v>
      </c>
      <c r="I1041" s="125">
        <v>940.2</v>
      </c>
      <c r="J1041" s="125">
        <v>850.3</v>
      </c>
      <c r="K1041" s="125">
        <v>850.3</v>
      </c>
      <c r="L1041" s="126">
        <v>36</v>
      </c>
      <c r="M1041" s="124" t="s">
        <v>267</v>
      </c>
      <c r="N1041" s="124" t="s">
        <v>271</v>
      </c>
      <c r="O1041" s="127" t="s">
        <v>1648</v>
      </c>
      <c r="P1041" s="128">
        <v>3650462.6100000003</v>
      </c>
      <c r="Q1041" s="128">
        <v>0</v>
      </c>
      <c r="R1041" s="128">
        <v>0</v>
      </c>
      <c r="S1041" s="128">
        <f t="shared" si="322"/>
        <v>3650462.6100000003</v>
      </c>
      <c r="T1041" s="128">
        <f t="shared" si="327"/>
        <v>3882.6447670708362</v>
      </c>
      <c r="U1041" s="128">
        <v>5373.3630417996164</v>
      </c>
      <c r="V1041" s="257">
        <f t="shared" si="319"/>
        <v>1490.7182747287802</v>
      </c>
      <c r="W1041" s="257">
        <f t="shared" si="323"/>
        <v>1559.3957136779406</v>
      </c>
      <c r="X1041" s="257">
        <v>0</v>
      </c>
      <c r="Y1041" s="258">
        <v>0</v>
      </c>
      <c r="Z1041" s="258">
        <v>0</v>
      </c>
      <c r="AA1041" s="258">
        <v>0</v>
      </c>
      <c r="AB1041" s="258">
        <v>0</v>
      </c>
      <c r="AC1041" s="258">
        <v>0</v>
      </c>
      <c r="AD1041" s="258">
        <v>0</v>
      </c>
      <c r="AE1041" s="258">
        <v>235</v>
      </c>
      <c r="AF1041" s="257">
        <f t="shared" si="326"/>
        <v>1559.3957136779406</v>
      </c>
      <c r="AG1041" s="258">
        <v>0</v>
      </c>
      <c r="AH1041" s="257">
        <v>0</v>
      </c>
      <c r="AI1041" s="258">
        <v>0</v>
      </c>
      <c r="AJ1041" s="257">
        <v>0</v>
      </c>
      <c r="AK1041" s="258">
        <v>0</v>
      </c>
      <c r="AL1041" s="258">
        <v>0</v>
      </c>
      <c r="AM1041" s="258">
        <v>0</v>
      </c>
      <c r="AN1041" s="258"/>
      <c r="AO1041" s="258">
        <v>0</v>
      </c>
    </row>
    <row r="1042" spans="1:41" s="259" customFormat="1" ht="36" customHeight="1" x14ac:dyDescent="0.25">
      <c r="A1042" s="259">
        <v>1</v>
      </c>
      <c r="B1042" s="135">
        <f>SUBTOTAL(103,$A$1000:A1042)</f>
        <v>43</v>
      </c>
      <c r="C1042" s="94" t="s">
        <v>608</v>
      </c>
      <c r="D1042" s="124">
        <v>1994</v>
      </c>
      <c r="E1042" s="124"/>
      <c r="F1042" s="129" t="s">
        <v>269</v>
      </c>
      <c r="G1042" s="124">
        <v>3</v>
      </c>
      <c r="H1042" s="124" t="s">
        <v>305</v>
      </c>
      <c r="I1042" s="125">
        <v>1489.9</v>
      </c>
      <c r="J1042" s="125">
        <v>1481.9</v>
      </c>
      <c r="K1042" s="125">
        <v>1353.2</v>
      </c>
      <c r="L1042" s="126">
        <v>66</v>
      </c>
      <c r="M1042" s="124" t="s">
        <v>267</v>
      </c>
      <c r="N1042" s="124" t="s">
        <v>271</v>
      </c>
      <c r="O1042" s="127" t="s">
        <v>1648</v>
      </c>
      <c r="P1042" s="128">
        <v>4365711.66</v>
      </c>
      <c r="Q1042" s="128">
        <v>0</v>
      </c>
      <c r="R1042" s="128">
        <v>0</v>
      </c>
      <c r="S1042" s="128">
        <f t="shared" si="322"/>
        <v>4365711.66</v>
      </c>
      <c r="T1042" s="128">
        <f t="shared" si="327"/>
        <v>2930.2044835223842</v>
      </c>
      <c r="U1042" s="128">
        <v>4096.7080005369489</v>
      </c>
      <c r="V1042" s="257">
        <f t="shared" si="319"/>
        <v>1166.5035170145647</v>
      </c>
      <c r="W1042" s="257">
        <f t="shared" si="323"/>
        <v>3203.4137526008453</v>
      </c>
      <c r="X1042" s="257">
        <v>0</v>
      </c>
      <c r="Y1042" s="258">
        <v>0</v>
      </c>
      <c r="Z1042" s="258">
        <v>0</v>
      </c>
      <c r="AA1042" s="258">
        <v>0</v>
      </c>
      <c r="AB1042" s="258">
        <v>0</v>
      </c>
      <c r="AC1042" s="258">
        <v>0</v>
      </c>
      <c r="AD1042" s="258">
        <v>0</v>
      </c>
      <c r="AE1042" s="258">
        <v>765</v>
      </c>
      <c r="AF1042" s="257">
        <f t="shared" si="326"/>
        <v>3203.4137526008453</v>
      </c>
      <c r="AG1042" s="258">
        <v>0</v>
      </c>
      <c r="AH1042" s="257">
        <v>0</v>
      </c>
      <c r="AI1042" s="258">
        <v>0</v>
      </c>
      <c r="AJ1042" s="257">
        <v>0</v>
      </c>
      <c r="AK1042" s="258">
        <v>0</v>
      </c>
      <c r="AL1042" s="258">
        <v>0</v>
      </c>
      <c r="AM1042" s="258">
        <v>0</v>
      </c>
      <c r="AN1042" s="258"/>
      <c r="AO1042" s="258">
        <v>0</v>
      </c>
    </row>
    <row r="1043" spans="1:41" s="259" customFormat="1" ht="36" customHeight="1" x14ac:dyDescent="0.25">
      <c r="A1043" s="259">
        <v>1</v>
      </c>
      <c r="B1043" s="135">
        <f>SUBTOTAL(103,$A$1000:A1043)</f>
        <v>44</v>
      </c>
      <c r="C1043" s="94" t="s">
        <v>609</v>
      </c>
      <c r="D1043" s="124" t="s">
        <v>352</v>
      </c>
      <c r="E1043" s="124"/>
      <c r="F1043" s="129" t="s">
        <v>313</v>
      </c>
      <c r="G1043" s="124" t="s">
        <v>353</v>
      </c>
      <c r="H1043" s="124" t="s">
        <v>310</v>
      </c>
      <c r="I1043" s="125">
        <v>4064.4</v>
      </c>
      <c r="J1043" s="125">
        <v>3059.2</v>
      </c>
      <c r="K1043" s="125">
        <v>2912</v>
      </c>
      <c r="L1043" s="126">
        <v>140</v>
      </c>
      <c r="M1043" s="124" t="s">
        <v>267</v>
      </c>
      <c r="N1043" s="124" t="s">
        <v>271</v>
      </c>
      <c r="O1043" s="127" t="s">
        <v>1326</v>
      </c>
      <c r="P1043" s="128">
        <v>3645858.66</v>
      </c>
      <c r="Q1043" s="128">
        <v>0</v>
      </c>
      <c r="R1043" s="128">
        <v>0</v>
      </c>
      <c r="S1043" s="128">
        <f t="shared" si="322"/>
        <v>3645858.66</v>
      </c>
      <c r="T1043" s="128">
        <f t="shared" si="327"/>
        <v>897.02260112193687</v>
      </c>
      <c r="U1043" s="128">
        <v>1187.9174140094478</v>
      </c>
      <c r="V1043" s="257">
        <f t="shared" si="319"/>
        <v>290.89481288751097</v>
      </c>
      <c r="W1043" s="257">
        <f t="shared" si="323"/>
        <v>3552.0218826887117</v>
      </c>
      <c r="X1043" s="257">
        <v>0</v>
      </c>
      <c r="Y1043" s="258">
        <v>0</v>
      </c>
      <c r="Z1043" s="258">
        <v>0</v>
      </c>
      <c r="AA1043" s="258">
        <v>0</v>
      </c>
      <c r="AB1043" s="258">
        <v>0</v>
      </c>
      <c r="AC1043" s="258">
        <v>0</v>
      </c>
      <c r="AD1043" s="258">
        <v>0</v>
      </c>
      <c r="AE1043" s="258">
        <v>2314</v>
      </c>
      <c r="AF1043" s="257">
        <f t="shared" si="326"/>
        <v>3552.0218826887117</v>
      </c>
      <c r="AG1043" s="258">
        <v>0</v>
      </c>
      <c r="AH1043" s="257">
        <v>0</v>
      </c>
      <c r="AI1043" s="258">
        <v>0</v>
      </c>
      <c r="AJ1043" s="257">
        <v>0</v>
      </c>
      <c r="AK1043" s="258">
        <v>0</v>
      </c>
      <c r="AL1043" s="258">
        <v>0</v>
      </c>
      <c r="AM1043" s="258">
        <v>0</v>
      </c>
      <c r="AN1043" s="258"/>
      <c r="AO1043" s="258">
        <v>0</v>
      </c>
    </row>
    <row r="1044" spans="1:41" s="259" customFormat="1" ht="36" customHeight="1" x14ac:dyDescent="0.25">
      <c r="A1044" s="259">
        <v>1</v>
      </c>
      <c r="B1044" s="135">
        <f>SUBTOTAL(103,$A$1000:A1044)</f>
        <v>45</v>
      </c>
      <c r="C1044" s="94" t="s">
        <v>610</v>
      </c>
      <c r="D1044" s="124" t="s">
        <v>372</v>
      </c>
      <c r="E1044" s="124"/>
      <c r="F1044" s="129" t="s">
        <v>313</v>
      </c>
      <c r="G1044" s="124" t="s">
        <v>353</v>
      </c>
      <c r="H1044" s="124" t="s">
        <v>353</v>
      </c>
      <c r="I1044" s="125">
        <v>5067.1000000000004</v>
      </c>
      <c r="J1044" s="125">
        <v>3815.6</v>
      </c>
      <c r="K1044" s="125">
        <v>3768.9</v>
      </c>
      <c r="L1044" s="126">
        <v>163</v>
      </c>
      <c r="M1044" s="124" t="s">
        <v>267</v>
      </c>
      <c r="N1044" s="124" t="s">
        <v>271</v>
      </c>
      <c r="O1044" s="127" t="s">
        <v>1326</v>
      </c>
      <c r="P1044" s="128">
        <v>4560834.87</v>
      </c>
      <c r="Q1044" s="128">
        <v>0</v>
      </c>
      <c r="R1044" s="128">
        <v>0</v>
      </c>
      <c r="S1044" s="128">
        <f t="shared" si="322"/>
        <v>4560834.87</v>
      </c>
      <c r="T1044" s="128">
        <f t="shared" si="327"/>
        <v>900.08779578062399</v>
      </c>
      <c r="U1044" s="128">
        <v>1190.672793609757</v>
      </c>
      <c r="V1044" s="257">
        <f t="shared" si="319"/>
        <v>290.58499782913304</v>
      </c>
      <c r="W1044" s="257">
        <f t="shared" si="323"/>
        <v>1472.5851788991729</v>
      </c>
      <c r="X1044" s="257">
        <v>0</v>
      </c>
      <c r="Y1044" s="258">
        <v>0</v>
      </c>
      <c r="Z1044" s="258">
        <v>0</v>
      </c>
      <c r="AA1044" s="258">
        <v>0</v>
      </c>
      <c r="AB1044" s="258">
        <v>0</v>
      </c>
      <c r="AC1044" s="258">
        <v>0</v>
      </c>
      <c r="AD1044" s="258">
        <v>0</v>
      </c>
      <c r="AE1044" s="258">
        <v>1196</v>
      </c>
      <c r="AF1044" s="257">
        <f t="shared" si="326"/>
        <v>1472.5851788991729</v>
      </c>
      <c r="AG1044" s="258">
        <v>0</v>
      </c>
      <c r="AH1044" s="257">
        <v>0</v>
      </c>
      <c r="AI1044" s="258">
        <v>0</v>
      </c>
      <c r="AJ1044" s="257">
        <v>0</v>
      </c>
      <c r="AK1044" s="258">
        <v>0</v>
      </c>
      <c r="AL1044" s="258">
        <v>0</v>
      </c>
      <c r="AM1044" s="258">
        <v>0</v>
      </c>
      <c r="AN1044" s="258"/>
      <c r="AO1044" s="258">
        <v>0</v>
      </c>
    </row>
    <row r="1045" spans="1:41" s="259" customFormat="1" ht="36" customHeight="1" x14ac:dyDescent="0.25">
      <c r="A1045" s="259">
        <v>1</v>
      </c>
      <c r="B1045" s="135">
        <f>SUBTOTAL(103,$A$1000:A1045)</f>
        <v>46</v>
      </c>
      <c r="C1045" s="94" t="s">
        <v>498</v>
      </c>
      <c r="D1045" s="124">
        <v>1995</v>
      </c>
      <c r="E1045" s="124"/>
      <c r="F1045" s="129" t="s">
        <v>269</v>
      </c>
      <c r="G1045" s="124">
        <v>9</v>
      </c>
      <c r="H1045" s="124" t="s">
        <v>306</v>
      </c>
      <c r="I1045" s="125">
        <v>6176.6</v>
      </c>
      <c r="J1045" s="125">
        <v>5017.5</v>
      </c>
      <c r="K1045" s="125">
        <v>4212.5</v>
      </c>
      <c r="L1045" s="126">
        <v>299</v>
      </c>
      <c r="M1045" s="124" t="s">
        <v>267</v>
      </c>
      <c r="N1045" s="124" t="s">
        <v>271</v>
      </c>
      <c r="O1045" s="127" t="s">
        <v>1078</v>
      </c>
      <c r="P1045" s="128">
        <v>2200000</v>
      </c>
      <c r="Q1045" s="128">
        <v>0</v>
      </c>
      <c r="R1045" s="128">
        <v>0</v>
      </c>
      <c r="S1045" s="128">
        <f t="shared" si="322"/>
        <v>2200000</v>
      </c>
      <c r="T1045" s="128">
        <f t="shared" si="327"/>
        <v>356.18301330829257</v>
      </c>
      <c r="U1045" s="128">
        <v>397.92118641323702</v>
      </c>
      <c r="V1045" s="257">
        <f t="shared" si="319"/>
        <v>41.738173104944451</v>
      </c>
      <c r="W1045" s="257">
        <f t="shared" si="323"/>
        <v>592.92169964057894</v>
      </c>
      <c r="X1045" s="257">
        <v>0</v>
      </c>
      <c r="Y1045" s="258">
        <v>0</v>
      </c>
      <c r="Z1045" s="258">
        <v>0</v>
      </c>
      <c r="AA1045" s="258">
        <v>0</v>
      </c>
      <c r="AB1045" s="258">
        <v>0</v>
      </c>
      <c r="AC1045" s="258">
        <v>0</v>
      </c>
      <c r="AD1045" s="258">
        <v>0</v>
      </c>
      <c r="AE1045" s="258">
        <v>587</v>
      </c>
      <c r="AF1045" s="257">
        <f t="shared" si="326"/>
        <v>592.92169964057894</v>
      </c>
      <c r="AG1045" s="258">
        <v>0</v>
      </c>
      <c r="AH1045" s="257">
        <v>0</v>
      </c>
      <c r="AI1045" s="258">
        <v>0</v>
      </c>
      <c r="AJ1045" s="257">
        <v>0</v>
      </c>
      <c r="AK1045" s="258">
        <v>0</v>
      </c>
      <c r="AL1045" s="258">
        <v>0</v>
      </c>
      <c r="AM1045" s="258">
        <v>0</v>
      </c>
      <c r="AN1045" s="258"/>
      <c r="AO1045" s="258">
        <v>0</v>
      </c>
    </row>
    <row r="1046" spans="1:41" s="259" customFormat="1" ht="36" customHeight="1" x14ac:dyDescent="0.25">
      <c r="A1046" s="259">
        <v>1</v>
      </c>
      <c r="B1046" s="135">
        <f>SUBTOTAL(103,$A$1000:A1046)</f>
        <v>47</v>
      </c>
      <c r="C1046" s="94" t="s">
        <v>1073</v>
      </c>
      <c r="D1046" s="124">
        <v>1994</v>
      </c>
      <c r="E1046" s="124"/>
      <c r="F1046" s="129" t="s">
        <v>269</v>
      </c>
      <c r="G1046" s="124">
        <v>9</v>
      </c>
      <c r="H1046" s="124" t="s">
        <v>373</v>
      </c>
      <c r="I1046" s="125">
        <v>11615.7</v>
      </c>
      <c r="J1046" s="125">
        <v>9319.2999999999993</v>
      </c>
      <c r="K1046" s="125">
        <v>5667.8</v>
      </c>
      <c r="L1046" s="126">
        <v>441</v>
      </c>
      <c r="M1046" s="124" t="s">
        <v>267</v>
      </c>
      <c r="N1046" s="124" t="s">
        <v>271</v>
      </c>
      <c r="O1046" s="127" t="s">
        <v>1080</v>
      </c>
      <c r="P1046" s="128">
        <v>6400000</v>
      </c>
      <c r="Q1046" s="128">
        <v>0</v>
      </c>
      <c r="R1046" s="128">
        <v>0</v>
      </c>
      <c r="S1046" s="128">
        <f t="shared" si="322"/>
        <v>6400000</v>
      </c>
      <c r="T1046" s="128">
        <f t="shared" si="327"/>
        <v>550.97841714231595</v>
      </c>
      <c r="U1046" s="128">
        <v>634.77879077455509</v>
      </c>
      <c r="V1046" s="257">
        <f t="shared" si="319"/>
        <v>83.800373632239143</v>
      </c>
      <c r="W1046" s="257">
        <f t="shared" si="323"/>
        <v>511.32883252838832</v>
      </c>
      <c r="X1046" s="257">
        <v>0</v>
      </c>
      <c r="Y1046" s="258">
        <v>0</v>
      </c>
      <c r="Z1046" s="258">
        <v>0</v>
      </c>
      <c r="AA1046" s="258">
        <v>0</v>
      </c>
      <c r="AB1046" s="258">
        <v>0</v>
      </c>
      <c r="AC1046" s="258">
        <v>0</v>
      </c>
      <c r="AD1046" s="258">
        <v>0</v>
      </c>
      <c r="AE1046" s="258">
        <v>952</v>
      </c>
      <c r="AF1046" s="257">
        <f t="shared" si="326"/>
        <v>511.32883252838832</v>
      </c>
      <c r="AG1046" s="258">
        <v>0</v>
      </c>
      <c r="AH1046" s="257">
        <v>0</v>
      </c>
      <c r="AI1046" s="258">
        <v>0</v>
      </c>
      <c r="AJ1046" s="257">
        <v>0</v>
      </c>
      <c r="AK1046" s="258">
        <v>0</v>
      </c>
      <c r="AL1046" s="258">
        <v>0</v>
      </c>
      <c r="AM1046" s="258">
        <v>0</v>
      </c>
      <c r="AN1046" s="258"/>
      <c r="AO1046" s="258">
        <v>0</v>
      </c>
    </row>
    <row r="1047" spans="1:41" s="259" customFormat="1" ht="36" customHeight="1" x14ac:dyDescent="0.25">
      <c r="A1047" s="259">
        <v>1</v>
      </c>
      <c r="B1047" s="135">
        <f>SUBTOTAL(103,$A$1000:A1047)</f>
        <v>48</v>
      </c>
      <c r="C1047" s="94" t="s">
        <v>1698</v>
      </c>
      <c r="D1047" s="124">
        <v>1969</v>
      </c>
      <c r="E1047" s="124"/>
      <c r="F1047" s="129" t="s">
        <v>269</v>
      </c>
      <c r="G1047" s="124">
        <v>5</v>
      </c>
      <c r="H1047" s="124" t="s">
        <v>310</v>
      </c>
      <c r="I1047" s="125">
        <v>3567.4</v>
      </c>
      <c r="J1047" s="125">
        <v>3567.4</v>
      </c>
      <c r="K1047" s="125">
        <v>3567.4</v>
      </c>
      <c r="L1047" s="126">
        <v>111</v>
      </c>
      <c r="M1047" s="124" t="s">
        <v>267</v>
      </c>
      <c r="N1047" s="124" t="s">
        <v>271</v>
      </c>
      <c r="O1047" s="127" t="s">
        <v>1704</v>
      </c>
      <c r="P1047" s="128">
        <v>5164136.5</v>
      </c>
      <c r="Q1047" s="128">
        <v>0</v>
      </c>
      <c r="R1047" s="128">
        <v>0</v>
      </c>
      <c r="S1047" s="128">
        <f t="shared" si="322"/>
        <v>5164136.5</v>
      </c>
      <c r="T1047" s="128">
        <f t="shared" si="327"/>
        <v>1447.5911027639177</v>
      </c>
      <c r="U1047" s="128">
        <v>2165.4634916185455</v>
      </c>
      <c r="V1047" s="257">
        <f t="shared" si="319"/>
        <v>717.87238885462784</v>
      </c>
      <c r="W1047" s="257">
        <f t="shared" si="323"/>
        <v>2845.0576857094798</v>
      </c>
      <c r="X1047" s="257">
        <v>0</v>
      </c>
      <c r="Y1047" s="258">
        <v>0</v>
      </c>
      <c r="Z1047" s="258">
        <v>0</v>
      </c>
      <c r="AA1047" s="258">
        <v>0</v>
      </c>
      <c r="AB1047" s="258">
        <v>0</v>
      </c>
      <c r="AC1047" s="258">
        <v>0</v>
      </c>
      <c r="AD1047" s="258">
        <v>0</v>
      </c>
      <c r="AE1047" s="258">
        <v>1626.8</v>
      </c>
      <c r="AF1047" s="257">
        <f t="shared" si="326"/>
        <v>2845.0576857094798</v>
      </c>
      <c r="AG1047" s="258">
        <v>0</v>
      </c>
      <c r="AH1047" s="257">
        <v>0</v>
      </c>
      <c r="AI1047" s="258">
        <v>0</v>
      </c>
      <c r="AJ1047" s="257">
        <v>0</v>
      </c>
      <c r="AK1047" s="258">
        <v>0</v>
      </c>
      <c r="AL1047" s="258">
        <v>0</v>
      </c>
      <c r="AM1047" s="258">
        <v>0</v>
      </c>
      <c r="AN1047" s="258"/>
      <c r="AO1047" s="258">
        <v>0</v>
      </c>
    </row>
    <row r="1048" spans="1:41" s="259" customFormat="1" ht="36" customHeight="1" x14ac:dyDescent="0.25">
      <c r="A1048" s="259">
        <v>1</v>
      </c>
      <c r="B1048" s="135">
        <f>SUBTOTAL(103,$A$1000:A1048)</f>
        <v>49</v>
      </c>
      <c r="C1048" s="94" t="s">
        <v>1699</v>
      </c>
      <c r="D1048" s="124">
        <v>1967</v>
      </c>
      <c r="E1048" s="124"/>
      <c r="F1048" s="129" t="s">
        <v>320</v>
      </c>
      <c r="G1048" s="124">
        <v>5</v>
      </c>
      <c r="H1048" s="124" t="s">
        <v>353</v>
      </c>
      <c r="I1048" s="125">
        <v>4882.7</v>
      </c>
      <c r="J1048" s="125">
        <v>4509.3</v>
      </c>
      <c r="K1048" s="125">
        <v>4452.8</v>
      </c>
      <c r="L1048" s="126">
        <v>231</v>
      </c>
      <c r="M1048" s="124" t="s">
        <v>267</v>
      </c>
      <c r="N1048" s="124" t="s">
        <v>271</v>
      </c>
      <c r="O1048" s="127" t="s">
        <v>1705</v>
      </c>
      <c r="P1048" s="128">
        <v>4900259.8</v>
      </c>
      <c r="Q1048" s="128">
        <v>0</v>
      </c>
      <c r="R1048" s="128">
        <v>0</v>
      </c>
      <c r="S1048" s="128">
        <f t="shared" si="322"/>
        <v>4900259.8</v>
      </c>
      <c r="T1048" s="128">
        <f t="shared" si="327"/>
        <v>1003.5963298994409</v>
      </c>
      <c r="U1048" s="128">
        <v>1538.5397423556637</v>
      </c>
      <c r="V1048" s="257">
        <f t="shared" si="319"/>
        <v>534.94341245622286</v>
      </c>
      <c r="W1048" s="257">
        <f t="shared" si="323"/>
        <v>1031.1636510742007</v>
      </c>
      <c r="X1048" s="257">
        <v>0</v>
      </c>
      <c r="Y1048" s="258">
        <v>0</v>
      </c>
      <c r="Z1048" s="258">
        <v>0</v>
      </c>
      <c r="AA1048" s="258">
        <v>0</v>
      </c>
      <c r="AB1048" s="258">
        <v>0</v>
      </c>
      <c r="AC1048" s="258">
        <v>0</v>
      </c>
      <c r="AD1048" s="258">
        <v>0</v>
      </c>
      <c r="AE1048" s="258">
        <v>807.01</v>
      </c>
      <c r="AF1048" s="257">
        <f t="shared" si="326"/>
        <v>1031.1636510742007</v>
      </c>
      <c r="AG1048" s="258">
        <v>0</v>
      </c>
      <c r="AH1048" s="257">
        <v>0</v>
      </c>
      <c r="AI1048" s="258">
        <v>0</v>
      </c>
      <c r="AJ1048" s="257">
        <v>0</v>
      </c>
      <c r="AK1048" s="258">
        <v>0</v>
      </c>
      <c r="AL1048" s="258">
        <v>0</v>
      </c>
      <c r="AM1048" s="258">
        <v>0</v>
      </c>
      <c r="AN1048" s="258"/>
      <c r="AO1048" s="258">
        <v>0</v>
      </c>
    </row>
    <row r="1049" spans="1:41" s="259" customFormat="1" ht="36" customHeight="1" x14ac:dyDescent="0.25">
      <c r="A1049" s="259">
        <v>1</v>
      </c>
      <c r="B1049" s="135">
        <f>SUBTOTAL(103,$A$1000:A1049)</f>
        <v>50</v>
      </c>
      <c r="C1049" s="94" t="s">
        <v>543</v>
      </c>
      <c r="D1049" s="124" t="s">
        <v>315</v>
      </c>
      <c r="E1049" s="124"/>
      <c r="F1049" s="129" t="s">
        <v>313</v>
      </c>
      <c r="G1049" s="124" t="s">
        <v>359</v>
      </c>
      <c r="H1049" s="124" t="s">
        <v>305</v>
      </c>
      <c r="I1049" s="125">
        <v>4990.2</v>
      </c>
      <c r="J1049" s="125">
        <v>3973.4</v>
      </c>
      <c r="K1049" s="125">
        <v>3799.4</v>
      </c>
      <c r="L1049" s="126">
        <v>190</v>
      </c>
      <c r="M1049" s="124" t="s">
        <v>267</v>
      </c>
      <c r="N1049" s="124" t="s">
        <v>271</v>
      </c>
      <c r="O1049" s="127" t="s">
        <v>1326</v>
      </c>
      <c r="P1049" s="128">
        <v>3229425.65</v>
      </c>
      <c r="Q1049" s="128">
        <v>0</v>
      </c>
      <c r="R1049" s="128">
        <v>0</v>
      </c>
      <c r="S1049" s="128">
        <f t="shared" si="322"/>
        <v>3229425.65</v>
      </c>
      <c r="T1049" s="128">
        <f t="shared" si="327"/>
        <v>647.15355095988139</v>
      </c>
      <c r="U1049" s="128">
        <v>815.42292894072375</v>
      </c>
      <c r="V1049" s="257">
        <f t="shared" si="319"/>
        <v>168.26937798084236</v>
      </c>
      <c r="W1049" s="257">
        <f t="shared" si="323"/>
        <v>1218.9766442226764</v>
      </c>
      <c r="X1049" s="257">
        <v>0</v>
      </c>
      <c r="Y1049" s="258">
        <v>0</v>
      </c>
      <c r="Z1049" s="258">
        <v>0</v>
      </c>
      <c r="AA1049" s="258">
        <v>0</v>
      </c>
      <c r="AB1049" s="258">
        <v>0</v>
      </c>
      <c r="AC1049" s="258">
        <v>0</v>
      </c>
      <c r="AD1049" s="258">
        <v>0</v>
      </c>
      <c r="AE1049" s="258">
        <v>975</v>
      </c>
      <c r="AF1049" s="257">
        <f t="shared" si="326"/>
        <v>1218.9766442226764</v>
      </c>
      <c r="AG1049" s="258">
        <v>0</v>
      </c>
      <c r="AH1049" s="257">
        <v>0</v>
      </c>
      <c r="AI1049" s="258">
        <v>0</v>
      </c>
      <c r="AJ1049" s="257">
        <v>0</v>
      </c>
      <c r="AK1049" s="258">
        <v>0</v>
      </c>
      <c r="AL1049" s="258">
        <v>0</v>
      </c>
      <c r="AM1049" s="258">
        <v>0</v>
      </c>
      <c r="AN1049" s="258"/>
      <c r="AO1049" s="258">
        <v>0</v>
      </c>
    </row>
    <row r="1050" spans="1:41" s="259" customFormat="1" ht="36" customHeight="1" x14ac:dyDescent="0.25">
      <c r="A1050" s="259">
        <v>1</v>
      </c>
      <c r="B1050" s="135">
        <f>SUBTOTAL(103,$A$1000:A1050)</f>
        <v>51</v>
      </c>
      <c r="C1050" s="94" t="s">
        <v>546</v>
      </c>
      <c r="D1050" s="124" t="s">
        <v>317</v>
      </c>
      <c r="E1050" s="124"/>
      <c r="F1050" s="129" t="s">
        <v>269</v>
      </c>
      <c r="G1050" s="124">
        <v>5</v>
      </c>
      <c r="H1050" s="124" t="s">
        <v>310</v>
      </c>
      <c r="I1050" s="125">
        <v>3436</v>
      </c>
      <c r="J1050" s="125">
        <v>3129.7</v>
      </c>
      <c r="K1050" s="125">
        <v>2775.3</v>
      </c>
      <c r="L1050" s="126">
        <v>145</v>
      </c>
      <c r="M1050" s="124" t="s">
        <v>267</v>
      </c>
      <c r="N1050" s="124" t="s">
        <v>271</v>
      </c>
      <c r="O1050" s="127" t="s">
        <v>1326</v>
      </c>
      <c r="P1050" s="128">
        <v>4517275.3499999996</v>
      </c>
      <c r="Q1050" s="128">
        <v>0</v>
      </c>
      <c r="R1050" s="128">
        <v>0</v>
      </c>
      <c r="S1050" s="128">
        <f t="shared" si="322"/>
        <v>4517275.3499999996</v>
      </c>
      <c r="T1050" s="128">
        <f t="shared" si="327"/>
        <v>1314.6901484284051</v>
      </c>
      <c r="U1050" s="128">
        <v>1785.5023864959253</v>
      </c>
      <c r="V1050" s="257">
        <f t="shared" si="319"/>
        <v>470.81223806752018</v>
      </c>
      <c r="W1050" s="257">
        <f t="shared" si="323"/>
        <v>1400.3956162689171</v>
      </c>
      <c r="X1050" s="257">
        <v>0</v>
      </c>
      <c r="Y1050" s="258">
        <v>0</v>
      </c>
      <c r="Z1050" s="258">
        <v>0</v>
      </c>
      <c r="AA1050" s="258">
        <v>0</v>
      </c>
      <c r="AB1050" s="258">
        <v>0</v>
      </c>
      <c r="AC1050" s="258">
        <v>0</v>
      </c>
      <c r="AD1050" s="258">
        <v>0</v>
      </c>
      <c r="AE1050" s="258">
        <v>771.25</v>
      </c>
      <c r="AF1050" s="257">
        <f t="shared" si="326"/>
        <v>1400.3956162689171</v>
      </c>
      <c r="AG1050" s="258">
        <v>0</v>
      </c>
      <c r="AH1050" s="257">
        <v>0</v>
      </c>
      <c r="AI1050" s="258">
        <v>0</v>
      </c>
      <c r="AJ1050" s="257">
        <v>0</v>
      </c>
      <c r="AK1050" s="258">
        <v>0</v>
      </c>
      <c r="AL1050" s="258">
        <v>0</v>
      </c>
      <c r="AM1050" s="258">
        <v>0</v>
      </c>
      <c r="AN1050" s="258"/>
      <c r="AO1050" s="258">
        <v>0</v>
      </c>
    </row>
    <row r="1051" spans="1:41" s="259" customFormat="1" ht="36" customHeight="1" x14ac:dyDescent="0.25">
      <c r="A1051" s="259">
        <v>1</v>
      </c>
      <c r="B1051" s="135">
        <f>SUBTOTAL(103,$A$1000:A1051)</f>
        <v>52</v>
      </c>
      <c r="C1051" s="94" t="s">
        <v>530</v>
      </c>
      <c r="D1051" s="124" t="s">
        <v>352</v>
      </c>
      <c r="E1051" s="124"/>
      <c r="F1051" s="129" t="s">
        <v>269</v>
      </c>
      <c r="G1051" s="124" t="s">
        <v>353</v>
      </c>
      <c r="H1051" s="124" t="s">
        <v>310</v>
      </c>
      <c r="I1051" s="125">
        <v>3486.3</v>
      </c>
      <c r="J1051" s="125">
        <v>3486.3</v>
      </c>
      <c r="K1051" s="125">
        <v>2123</v>
      </c>
      <c r="L1051" s="126">
        <v>136</v>
      </c>
      <c r="M1051" s="124" t="s">
        <v>267</v>
      </c>
      <c r="N1051" s="124" t="s">
        <v>271</v>
      </c>
      <c r="O1051" s="127" t="s">
        <v>1078</v>
      </c>
      <c r="P1051" s="128">
        <v>4625631.57</v>
      </c>
      <c r="Q1051" s="128">
        <v>0</v>
      </c>
      <c r="R1051" s="128">
        <v>0</v>
      </c>
      <c r="S1051" s="128">
        <f t="shared" si="322"/>
        <v>4625631.57</v>
      </c>
      <c r="T1051" s="128">
        <f t="shared" si="327"/>
        <v>1326.8025040874279</v>
      </c>
      <c r="U1051" s="128">
        <v>1687.9151536012389</v>
      </c>
      <c r="V1051" s="257">
        <f t="shared" si="319"/>
        <v>361.11264951381099</v>
      </c>
      <c r="W1051" s="257">
        <f t="shared" si="323"/>
        <v>1724.679319765941</v>
      </c>
      <c r="X1051" s="257">
        <v>0</v>
      </c>
      <c r="Y1051" s="258">
        <v>0</v>
      </c>
      <c r="Z1051" s="258">
        <v>0</v>
      </c>
      <c r="AA1051" s="258">
        <v>0</v>
      </c>
      <c r="AB1051" s="258">
        <v>0</v>
      </c>
      <c r="AC1051" s="258">
        <v>0</v>
      </c>
      <c r="AD1051" s="258">
        <v>0</v>
      </c>
      <c r="AE1051" s="258">
        <v>963.75</v>
      </c>
      <c r="AF1051" s="257">
        <f t="shared" si="326"/>
        <v>1724.679319765941</v>
      </c>
      <c r="AG1051" s="258">
        <v>0</v>
      </c>
      <c r="AH1051" s="257">
        <v>0</v>
      </c>
      <c r="AI1051" s="258">
        <v>0</v>
      </c>
      <c r="AJ1051" s="257">
        <v>0</v>
      </c>
      <c r="AK1051" s="258">
        <v>0</v>
      </c>
      <c r="AL1051" s="258">
        <v>0</v>
      </c>
      <c r="AM1051" s="258">
        <v>0</v>
      </c>
      <c r="AN1051" s="258"/>
      <c r="AO1051" s="258">
        <v>0</v>
      </c>
    </row>
    <row r="1052" spans="1:41" s="259" customFormat="1" ht="36" customHeight="1" x14ac:dyDescent="0.25">
      <c r="A1052" s="259">
        <v>1</v>
      </c>
      <c r="B1052" s="135">
        <f>SUBTOTAL(103,$A$1000:A1052)</f>
        <v>53</v>
      </c>
      <c r="C1052" s="94" t="s">
        <v>536</v>
      </c>
      <c r="D1052" s="124" t="s">
        <v>307</v>
      </c>
      <c r="E1052" s="124"/>
      <c r="F1052" s="129" t="s">
        <v>313</v>
      </c>
      <c r="G1052" s="124" t="s">
        <v>353</v>
      </c>
      <c r="H1052" s="124" t="s">
        <v>353</v>
      </c>
      <c r="I1052" s="125">
        <v>3875.8</v>
      </c>
      <c r="J1052" s="125">
        <v>3540</v>
      </c>
      <c r="K1052" s="125">
        <v>2482.6999999999998</v>
      </c>
      <c r="L1052" s="126">
        <v>168</v>
      </c>
      <c r="M1052" s="124" t="s">
        <v>267</v>
      </c>
      <c r="N1052" s="124" t="s">
        <v>271</v>
      </c>
      <c r="O1052" s="127" t="s">
        <v>1078</v>
      </c>
      <c r="P1052" s="128">
        <v>4642018.24</v>
      </c>
      <c r="Q1052" s="128">
        <v>0</v>
      </c>
      <c r="R1052" s="128">
        <v>0</v>
      </c>
      <c r="S1052" s="128">
        <f t="shared" si="322"/>
        <v>4642018.24</v>
      </c>
      <c r="T1052" s="128">
        <f t="shared" si="327"/>
        <v>1197.6929253315445</v>
      </c>
      <c r="U1052" s="128">
        <v>1582.8954538417872</v>
      </c>
      <c r="V1052" s="257">
        <f t="shared" si="319"/>
        <v>385.2025285102427</v>
      </c>
      <c r="W1052" s="257">
        <f t="shared" si="323"/>
        <v>634.14004850611479</v>
      </c>
      <c r="X1052" s="257">
        <v>0</v>
      </c>
      <c r="Y1052" s="258">
        <v>0</v>
      </c>
      <c r="Z1052" s="258">
        <v>0</v>
      </c>
      <c r="AA1052" s="258">
        <v>0</v>
      </c>
      <c r="AB1052" s="258">
        <v>0</v>
      </c>
      <c r="AC1052" s="258">
        <v>1</v>
      </c>
      <c r="AD1052" s="257">
        <f>2457800*AC1052/I1052</f>
        <v>634.14004850611479</v>
      </c>
      <c r="AE1052" s="258">
        <v>0</v>
      </c>
      <c r="AF1052" s="257">
        <v>0</v>
      </c>
      <c r="AG1052" s="258">
        <v>0</v>
      </c>
      <c r="AH1052" s="257">
        <v>0</v>
      </c>
      <c r="AI1052" s="258">
        <v>0</v>
      </c>
      <c r="AJ1052" s="257">
        <v>0</v>
      </c>
      <c r="AK1052" s="258">
        <v>0</v>
      </c>
      <c r="AL1052" s="258">
        <v>0</v>
      </c>
      <c r="AM1052" s="258">
        <v>0</v>
      </c>
      <c r="AN1052" s="258"/>
      <c r="AO1052" s="258">
        <v>0</v>
      </c>
    </row>
    <row r="1053" spans="1:41" s="259" customFormat="1" ht="36" customHeight="1" x14ac:dyDescent="0.25">
      <c r="A1053" s="259">
        <v>1</v>
      </c>
      <c r="B1053" s="135">
        <f>SUBTOTAL(103,$A$1000:A1053)</f>
        <v>54</v>
      </c>
      <c r="C1053" s="94" t="s">
        <v>554</v>
      </c>
      <c r="D1053" s="124" t="s">
        <v>363</v>
      </c>
      <c r="E1053" s="124"/>
      <c r="F1053" s="129" t="s">
        <v>269</v>
      </c>
      <c r="G1053" s="124" t="s">
        <v>353</v>
      </c>
      <c r="H1053" s="124" t="s">
        <v>314</v>
      </c>
      <c r="I1053" s="125">
        <v>2747.2</v>
      </c>
      <c r="J1053" s="125">
        <v>2475.6</v>
      </c>
      <c r="K1053" s="125">
        <v>2231</v>
      </c>
      <c r="L1053" s="126">
        <v>146</v>
      </c>
      <c r="M1053" s="124" t="s">
        <v>267</v>
      </c>
      <c r="N1053" s="124" t="s">
        <v>271</v>
      </c>
      <c r="O1053" s="127" t="s">
        <v>1079</v>
      </c>
      <c r="P1053" s="128">
        <v>4412836.3</v>
      </c>
      <c r="Q1053" s="128">
        <v>0</v>
      </c>
      <c r="R1053" s="128">
        <v>0</v>
      </c>
      <c r="S1053" s="128">
        <f t="shared" si="322"/>
        <v>4412836.3</v>
      </c>
      <c r="T1053" s="128">
        <f t="shared" si="327"/>
        <v>1606.3032542224812</v>
      </c>
      <c r="U1053" s="128">
        <v>2044.7249879877695</v>
      </c>
      <c r="V1053" s="257">
        <f t="shared" si="319"/>
        <v>438.42173376528831</v>
      </c>
      <c r="W1053" s="257">
        <f t="shared" si="323"/>
        <v>2683.9691322073386</v>
      </c>
      <c r="X1053" s="257">
        <v>0</v>
      </c>
      <c r="Y1053" s="258">
        <v>0</v>
      </c>
      <c r="Z1053" s="258">
        <v>0</v>
      </c>
      <c r="AA1053" s="258">
        <v>0</v>
      </c>
      <c r="AB1053" s="258">
        <v>0</v>
      </c>
      <c r="AC1053" s="258">
        <v>3</v>
      </c>
      <c r="AD1053" s="257">
        <f>2457800*AC1053/I1053</f>
        <v>2683.9691322073386</v>
      </c>
      <c r="AE1053" s="258">
        <v>0</v>
      </c>
      <c r="AF1053" s="257">
        <v>0</v>
      </c>
      <c r="AG1053" s="258">
        <v>0</v>
      </c>
      <c r="AH1053" s="257">
        <v>0</v>
      </c>
      <c r="AI1053" s="258">
        <v>0</v>
      </c>
      <c r="AJ1053" s="257">
        <v>0</v>
      </c>
      <c r="AK1053" s="258">
        <v>0</v>
      </c>
      <c r="AL1053" s="258">
        <v>0</v>
      </c>
      <c r="AM1053" s="258">
        <v>0</v>
      </c>
      <c r="AN1053" s="258"/>
      <c r="AO1053" s="258">
        <v>0</v>
      </c>
    </row>
    <row r="1054" spans="1:41" s="259" customFormat="1" ht="36" customHeight="1" x14ac:dyDescent="0.25">
      <c r="A1054" s="259">
        <v>1</v>
      </c>
      <c r="B1054" s="135">
        <f>SUBTOTAL(103,$A$1000:A1054)</f>
        <v>55</v>
      </c>
      <c r="C1054" s="94" t="s">
        <v>487</v>
      </c>
      <c r="D1054" s="124">
        <v>1969</v>
      </c>
      <c r="E1054" s="124"/>
      <c r="F1054" s="129" t="s">
        <v>269</v>
      </c>
      <c r="G1054" s="124">
        <v>5</v>
      </c>
      <c r="H1054" s="124" t="s">
        <v>310</v>
      </c>
      <c r="I1054" s="125">
        <v>3463.9</v>
      </c>
      <c r="J1054" s="125">
        <v>3172.1</v>
      </c>
      <c r="K1054" s="125">
        <v>2927.7</v>
      </c>
      <c r="L1054" s="126">
        <v>132</v>
      </c>
      <c r="M1054" s="124" t="s">
        <v>267</v>
      </c>
      <c r="N1054" s="124" t="s">
        <v>271</v>
      </c>
      <c r="O1054" s="127" t="s">
        <v>1093</v>
      </c>
      <c r="P1054" s="128">
        <v>4270645.5</v>
      </c>
      <c r="Q1054" s="128">
        <v>0</v>
      </c>
      <c r="R1054" s="128">
        <v>0</v>
      </c>
      <c r="S1054" s="128">
        <f t="shared" si="322"/>
        <v>4270645.5</v>
      </c>
      <c r="T1054" s="128">
        <f t="shared" si="327"/>
        <v>1232.9009209272785</v>
      </c>
      <c r="U1054" s="128">
        <v>1969.1974433442072</v>
      </c>
      <c r="V1054" s="257">
        <f t="shared" si="319"/>
        <v>736.29652241692861</v>
      </c>
      <c r="W1054" s="257">
        <f t="shared" si="323"/>
        <v>2222.5857963567078</v>
      </c>
      <c r="X1054" s="257">
        <v>0</v>
      </c>
      <c r="Y1054" s="258">
        <v>0</v>
      </c>
      <c r="Z1054" s="258">
        <v>0</v>
      </c>
      <c r="AA1054" s="258">
        <v>0</v>
      </c>
      <c r="AB1054" s="258">
        <v>0</v>
      </c>
      <c r="AC1054" s="258">
        <v>0</v>
      </c>
      <c r="AD1054" s="258">
        <v>0</v>
      </c>
      <c r="AE1054" s="258">
        <v>1234</v>
      </c>
      <c r="AF1054" s="257">
        <f t="shared" ref="AF1054:AF1061" si="328">6238.91*AE1054/I1054</f>
        <v>2222.5857963567078</v>
      </c>
      <c r="AG1054" s="258">
        <v>0</v>
      </c>
      <c r="AH1054" s="257">
        <v>0</v>
      </c>
      <c r="AI1054" s="258">
        <v>0</v>
      </c>
      <c r="AJ1054" s="257">
        <v>0</v>
      </c>
      <c r="AK1054" s="258">
        <v>0</v>
      </c>
      <c r="AL1054" s="258">
        <v>0</v>
      </c>
      <c r="AM1054" s="258">
        <v>0</v>
      </c>
      <c r="AN1054" s="258"/>
      <c r="AO1054" s="258">
        <v>0</v>
      </c>
    </row>
    <row r="1055" spans="1:41" s="259" customFormat="1" ht="36" customHeight="1" x14ac:dyDescent="0.25">
      <c r="A1055" s="259">
        <v>1</v>
      </c>
      <c r="B1055" s="135">
        <f>SUBTOTAL(103,$A$1000:A1055)</f>
        <v>56</v>
      </c>
      <c r="C1055" s="94" t="s">
        <v>1596</v>
      </c>
      <c r="D1055" s="124">
        <v>1964</v>
      </c>
      <c r="E1055" s="124"/>
      <c r="F1055" s="129" t="s">
        <v>269</v>
      </c>
      <c r="G1055" s="124">
        <v>5</v>
      </c>
      <c r="H1055" s="124" t="s">
        <v>310</v>
      </c>
      <c r="I1055" s="125">
        <v>4214.7</v>
      </c>
      <c r="J1055" s="125">
        <v>3322.3</v>
      </c>
      <c r="K1055" s="125">
        <v>3136.7</v>
      </c>
      <c r="L1055" s="126">
        <v>213</v>
      </c>
      <c r="M1055" s="124" t="s">
        <v>267</v>
      </c>
      <c r="N1055" s="124" t="s">
        <v>271</v>
      </c>
      <c r="O1055" s="127" t="s">
        <v>1387</v>
      </c>
      <c r="P1055" s="128">
        <v>2312500.0499999998</v>
      </c>
      <c r="Q1055" s="128">
        <v>0</v>
      </c>
      <c r="R1055" s="128">
        <v>0</v>
      </c>
      <c r="S1055" s="128">
        <f t="shared" si="322"/>
        <v>2312500.0499999998</v>
      </c>
      <c r="T1055" s="128">
        <f t="shared" si="327"/>
        <v>548.67488789237666</v>
      </c>
      <c r="U1055" s="128">
        <v>1482.6307922272049</v>
      </c>
      <c r="V1055" s="257">
        <f t="shared" si="319"/>
        <v>933.95590433482823</v>
      </c>
      <c r="W1055" s="257">
        <f t="shared" si="323"/>
        <v>1776.3285643106271</v>
      </c>
      <c r="X1055" s="257">
        <v>0</v>
      </c>
      <c r="Y1055" s="258">
        <v>0</v>
      </c>
      <c r="Z1055" s="258">
        <v>0</v>
      </c>
      <c r="AA1055" s="258">
        <v>0</v>
      </c>
      <c r="AB1055" s="258">
        <v>0</v>
      </c>
      <c r="AC1055" s="258">
        <v>0</v>
      </c>
      <c r="AD1055" s="258">
        <v>0</v>
      </c>
      <c r="AE1055" s="258">
        <v>1200</v>
      </c>
      <c r="AF1055" s="257">
        <f t="shared" si="328"/>
        <v>1776.3285643106271</v>
      </c>
      <c r="AG1055" s="258">
        <v>0</v>
      </c>
      <c r="AH1055" s="257">
        <v>0</v>
      </c>
      <c r="AI1055" s="258">
        <v>0</v>
      </c>
      <c r="AJ1055" s="257">
        <v>0</v>
      </c>
      <c r="AK1055" s="258">
        <v>0</v>
      </c>
      <c r="AL1055" s="258">
        <v>0</v>
      </c>
      <c r="AM1055" s="258">
        <v>0</v>
      </c>
      <c r="AN1055" s="258"/>
      <c r="AO1055" s="258">
        <v>0</v>
      </c>
    </row>
    <row r="1056" spans="1:41" s="259" customFormat="1" ht="36" customHeight="1" x14ac:dyDescent="0.25">
      <c r="A1056" s="259">
        <v>1</v>
      </c>
      <c r="B1056" s="135">
        <f>SUBTOTAL(103,$A$1000:A1056)</f>
        <v>57</v>
      </c>
      <c r="C1056" s="94" t="s">
        <v>1124</v>
      </c>
      <c r="D1056" s="124">
        <v>1991</v>
      </c>
      <c r="E1056" s="124">
        <v>2016</v>
      </c>
      <c r="F1056" s="129" t="s">
        <v>1325</v>
      </c>
      <c r="G1056" s="124">
        <v>13</v>
      </c>
      <c r="H1056" s="124" t="s">
        <v>306</v>
      </c>
      <c r="I1056" s="125">
        <v>4135.3</v>
      </c>
      <c r="J1056" s="125">
        <v>3928.6</v>
      </c>
      <c r="K1056" s="125">
        <v>3680.79</v>
      </c>
      <c r="L1056" s="126">
        <v>204</v>
      </c>
      <c r="M1056" s="124" t="s">
        <v>267</v>
      </c>
      <c r="N1056" s="124" t="s">
        <v>271</v>
      </c>
      <c r="O1056" s="127" t="s">
        <v>1389</v>
      </c>
      <c r="P1056" s="128">
        <v>4348142.72</v>
      </c>
      <c r="Q1056" s="128">
        <v>0</v>
      </c>
      <c r="R1056" s="128">
        <v>0</v>
      </c>
      <c r="S1056" s="128">
        <f t="shared" si="322"/>
        <v>4348142.72</v>
      </c>
      <c r="T1056" s="128">
        <f t="shared" si="327"/>
        <v>1051.4697168282833</v>
      </c>
      <c r="U1056" s="128">
        <v>2498.7086547529802</v>
      </c>
      <c r="V1056" s="257">
        <f t="shared" ref="V1056:V1061" si="329">U1056-T1056</f>
        <v>1447.238937924697</v>
      </c>
      <c r="W1056" s="257">
        <f t="shared" si="323"/>
        <v>980.65231059415271</v>
      </c>
      <c r="X1056" s="257">
        <v>0</v>
      </c>
      <c r="Y1056" s="258">
        <v>0</v>
      </c>
      <c r="Z1056" s="258">
        <v>0</v>
      </c>
      <c r="AA1056" s="258">
        <v>0</v>
      </c>
      <c r="AB1056" s="258">
        <v>0</v>
      </c>
      <c r="AC1056" s="258">
        <v>0</v>
      </c>
      <c r="AD1056" s="258">
        <v>0</v>
      </c>
      <c r="AE1056" s="258">
        <v>650</v>
      </c>
      <c r="AF1056" s="257">
        <f t="shared" si="328"/>
        <v>980.65231059415271</v>
      </c>
      <c r="AG1056" s="258">
        <v>0</v>
      </c>
      <c r="AH1056" s="257">
        <v>0</v>
      </c>
      <c r="AI1056" s="258">
        <v>0</v>
      </c>
      <c r="AJ1056" s="257">
        <v>0</v>
      </c>
      <c r="AK1056" s="258">
        <v>0</v>
      </c>
      <c r="AL1056" s="258">
        <v>0</v>
      </c>
      <c r="AM1056" s="258">
        <v>0</v>
      </c>
      <c r="AN1056" s="258"/>
      <c r="AO1056" s="258">
        <v>0</v>
      </c>
    </row>
    <row r="1057" spans="1:41" s="259" customFormat="1" ht="36" customHeight="1" x14ac:dyDescent="0.25">
      <c r="A1057" s="259">
        <v>1</v>
      </c>
      <c r="B1057" s="135">
        <f>SUBTOTAL(103,$A$1000:A1057)</f>
        <v>58</v>
      </c>
      <c r="C1057" s="94" t="s">
        <v>1109</v>
      </c>
      <c r="D1057" s="124">
        <v>1959</v>
      </c>
      <c r="E1057" s="124"/>
      <c r="F1057" s="129" t="s">
        <v>269</v>
      </c>
      <c r="G1057" s="124" t="s">
        <v>314</v>
      </c>
      <c r="H1057" s="124" t="s">
        <v>314</v>
      </c>
      <c r="I1057" s="125">
        <v>1764.5</v>
      </c>
      <c r="J1057" s="125">
        <v>2310</v>
      </c>
      <c r="K1057" s="125">
        <v>1604.9</v>
      </c>
      <c r="L1057" s="126">
        <v>64</v>
      </c>
      <c r="M1057" s="124" t="s">
        <v>267</v>
      </c>
      <c r="N1057" s="124" t="s">
        <v>271</v>
      </c>
      <c r="O1057" s="127" t="s">
        <v>1402</v>
      </c>
      <c r="P1057" s="128">
        <v>2785299.21</v>
      </c>
      <c r="Q1057" s="128">
        <v>0</v>
      </c>
      <c r="R1057" s="128">
        <v>0</v>
      </c>
      <c r="S1057" s="128">
        <f t="shared" si="322"/>
        <v>2785299.21</v>
      </c>
      <c r="T1057" s="128">
        <f t="shared" si="327"/>
        <v>1578.5203797109662</v>
      </c>
      <c r="U1057" s="128">
        <v>6426.5054757721737</v>
      </c>
      <c r="V1057" s="257">
        <f t="shared" si="329"/>
        <v>4847.9850960612075</v>
      </c>
      <c r="W1057" s="257">
        <f t="shared" si="323"/>
        <v>3465.0789458770187</v>
      </c>
      <c r="X1057" s="257">
        <v>0</v>
      </c>
      <c r="Y1057" s="258">
        <v>0</v>
      </c>
      <c r="Z1057" s="258">
        <v>0</v>
      </c>
      <c r="AA1057" s="258">
        <v>0</v>
      </c>
      <c r="AB1057" s="258">
        <v>0</v>
      </c>
      <c r="AC1057" s="258">
        <v>0</v>
      </c>
      <c r="AD1057" s="258">
        <v>0</v>
      </c>
      <c r="AE1057" s="258">
        <v>980</v>
      </c>
      <c r="AF1057" s="257">
        <f t="shared" si="328"/>
        <v>3465.0789458770187</v>
      </c>
      <c r="AG1057" s="258">
        <v>0</v>
      </c>
      <c r="AH1057" s="257">
        <v>0</v>
      </c>
      <c r="AI1057" s="258">
        <v>0</v>
      </c>
      <c r="AJ1057" s="257">
        <v>0</v>
      </c>
      <c r="AK1057" s="258">
        <v>0</v>
      </c>
      <c r="AL1057" s="258">
        <v>0</v>
      </c>
      <c r="AM1057" s="258">
        <v>0</v>
      </c>
      <c r="AN1057" s="258"/>
      <c r="AO1057" s="258">
        <v>0</v>
      </c>
    </row>
    <row r="1058" spans="1:41" s="259" customFormat="1" ht="36" customHeight="1" x14ac:dyDescent="0.25">
      <c r="A1058" s="259">
        <v>1</v>
      </c>
      <c r="B1058" s="135">
        <f>SUBTOTAL(103,$A$1000:A1058)</f>
        <v>59</v>
      </c>
      <c r="C1058" s="94" t="s">
        <v>551</v>
      </c>
      <c r="D1058" s="124" t="s">
        <v>360</v>
      </c>
      <c r="E1058" s="124"/>
      <c r="F1058" s="129" t="s">
        <v>269</v>
      </c>
      <c r="G1058" s="124" t="s">
        <v>310</v>
      </c>
      <c r="H1058" s="124" t="s">
        <v>306</v>
      </c>
      <c r="I1058" s="125">
        <v>946</v>
      </c>
      <c r="J1058" s="125">
        <v>977.4</v>
      </c>
      <c r="K1058" s="125">
        <v>688.5</v>
      </c>
      <c r="L1058" s="126">
        <v>25</v>
      </c>
      <c r="M1058" s="124" t="s">
        <v>267</v>
      </c>
      <c r="N1058" s="124" t="s">
        <v>271</v>
      </c>
      <c r="O1058" s="127" t="s">
        <v>1387</v>
      </c>
      <c r="P1058" s="128">
        <v>4057359.23</v>
      </c>
      <c r="Q1058" s="128">
        <v>0</v>
      </c>
      <c r="R1058" s="128">
        <v>0</v>
      </c>
      <c r="S1058" s="128">
        <f t="shared" si="322"/>
        <v>4057359.23</v>
      </c>
      <c r="T1058" s="128">
        <f t="shared" si="327"/>
        <v>4288.9632452431288</v>
      </c>
      <c r="U1058" s="128">
        <v>7399.6240147991557</v>
      </c>
      <c r="V1058" s="257">
        <f t="shared" si="329"/>
        <v>3110.6607695560269</v>
      </c>
      <c r="W1058" s="257">
        <f t="shared" si="323"/>
        <v>6199.3397463002111</v>
      </c>
      <c r="X1058" s="257">
        <v>0</v>
      </c>
      <c r="Y1058" s="258">
        <v>0</v>
      </c>
      <c r="Z1058" s="258">
        <v>0</v>
      </c>
      <c r="AA1058" s="258">
        <v>0</v>
      </c>
      <c r="AB1058" s="258">
        <v>0</v>
      </c>
      <c r="AC1058" s="258">
        <v>0</v>
      </c>
      <c r="AD1058" s="258">
        <v>0</v>
      </c>
      <c r="AE1058" s="258">
        <v>940</v>
      </c>
      <c r="AF1058" s="257">
        <f t="shared" si="328"/>
        <v>6199.3397463002111</v>
      </c>
      <c r="AG1058" s="258">
        <v>0</v>
      </c>
      <c r="AH1058" s="257">
        <v>0</v>
      </c>
      <c r="AI1058" s="258">
        <v>0</v>
      </c>
      <c r="AJ1058" s="257">
        <v>0</v>
      </c>
      <c r="AK1058" s="258">
        <v>0</v>
      </c>
      <c r="AL1058" s="258">
        <v>0</v>
      </c>
      <c r="AM1058" s="258">
        <v>0</v>
      </c>
      <c r="AN1058" s="258"/>
      <c r="AO1058" s="258">
        <v>0</v>
      </c>
    </row>
    <row r="1059" spans="1:41" s="259" customFormat="1" ht="36" customHeight="1" x14ac:dyDescent="0.25">
      <c r="A1059" s="259">
        <v>1</v>
      </c>
      <c r="B1059" s="135">
        <f>SUBTOTAL(103,$A$1000:A1059)</f>
        <v>60</v>
      </c>
      <c r="C1059" s="94" t="s">
        <v>555</v>
      </c>
      <c r="D1059" s="124" t="s">
        <v>308</v>
      </c>
      <c r="E1059" s="124"/>
      <c r="F1059" s="129" t="s">
        <v>269</v>
      </c>
      <c r="G1059" s="124" t="s">
        <v>353</v>
      </c>
      <c r="H1059" s="124" t="s">
        <v>305</v>
      </c>
      <c r="I1059" s="125">
        <v>2023.4</v>
      </c>
      <c r="J1059" s="125">
        <v>1578.1</v>
      </c>
      <c r="K1059" s="125">
        <v>1536.2</v>
      </c>
      <c r="L1059" s="126">
        <v>72</v>
      </c>
      <c r="M1059" s="124" t="s">
        <v>267</v>
      </c>
      <c r="N1059" s="124" t="s">
        <v>271</v>
      </c>
      <c r="O1059" s="127" t="s">
        <v>1387</v>
      </c>
      <c r="P1059" s="128">
        <v>4448638.5999999996</v>
      </c>
      <c r="Q1059" s="128">
        <v>0</v>
      </c>
      <c r="R1059" s="128">
        <v>0</v>
      </c>
      <c r="S1059" s="128">
        <f t="shared" ref="S1059" si="330">P1059-Q1059-R1059</f>
        <v>4448638.5999999996</v>
      </c>
      <c r="T1059" s="128">
        <f t="shared" si="327"/>
        <v>2198.5957299594738</v>
      </c>
      <c r="U1059" s="128">
        <v>3850.2508031036868</v>
      </c>
      <c r="V1059" s="257">
        <f t="shared" ref="V1059" si="331">U1059-T1059</f>
        <v>1651.655073144213</v>
      </c>
      <c r="W1059" s="257">
        <f t="shared" ref="W1059" si="332">X1059+Y1059+Z1059+AA1059+AB1059+AD1059+AF1059+AH1059+AJ1059+AL1059+AN1059+AO1059</f>
        <v>3021.7118711080357</v>
      </c>
      <c r="X1059" s="257">
        <v>0</v>
      </c>
      <c r="Y1059" s="258">
        <v>0</v>
      </c>
      <c r="Z1059" s="258">
        <v>0</v>
      </c>
      <c r="AA1059" s="258">
        <v>0</v>
      </c>
      <c r="AB1059" s="258">
        <v>0</v>
      </c>
      <c r="AC1059" s="258">
        <v>0</v>
      </c>
      <c r="AD1059" s="258">
        <v>0</v>
      </c>
      <c r="AE1059" s="258">
        <v>980</v>
      </c>
      <c r="AF1059" s="257">
        <f t="shared" si="328"/>
        <v>3021.7118711080357</v>
      </c>
      <c r="AG1059" s="258">
        <v>0</v>
      </c>
      <c r="AH1059" s="257">
        <v>0</v>
      </c>
      <c r="AI1059" s="258">
        <v>0</v>
      </c>
      <c r="AJ1059" s="257">
        <v>0</v>
      </c>
      <c r="AK1059" s="258">
        <v>0</v>
      </c>
      <c r="AL1059" s="258">
        <v>0</v>
      </c>
      <c r="AM1059" s="258">
        <v>0</v>
      </c>
      <c r="AN1059" s="258"/>
      <c r="AO1059" s="258">
        <v>0</v>
      </c>
    </row>
    <row r="1060" spans="1:41" s="259" customFormat="1" ht="36" customHeight="1" x14ac:dyDescent="0.25">
      <c r="A1060" s="259">
        <v>1</v>
      </c>
      <c r="B1060" s="135">
        <f>SUBTOTAL(103,$A$1000:A1060)</f>
        <v>61</v>
      </c>
      <c r="C1060" s="94" t="s">
        <v>558</v>
      </c>
      <c r="D1060" s="124" t="s">
        <v>312</v>
      </c>
      <c r="E1060" s="124"/>
      <c r="F1060" s="129" t="s">
        <v>269</v>
      </c>
      <c r="G1060" s="124" t="s">
        <v>314</v>
      </c>
      <c r="H1060" s="124" t="s">
        <v>310</v>
      </c>
      <c r="I1060" s="125">
        <v>2853</v>
      </c>
      <c r="J1060" s="125">
        <v>1962.2</v>
      </c>
      <c r="K1060" s="125">
        <v>1882.5</v>
      </c>
      <c r="L1060" s="126">
        <v>107</v>
      </c>
      <c r="M1060" s="124" t="s">
        <v>267</v>
      </c>
      <c r="N1060" s="124" t="s">
        <v>271</v>
      </c>
      <c r="O1060" s="127" t="s">
        <v>1387</v>
      </c>
      <c r="P1060" s="128">
        <v>5133796.7</v>
      </c>
      <c r="Q1060" s="128">
        <v>0</v>
      </c>
      <c r="R1060" s="128">
        <v>0</v>
      </c>
      <c r="S1060" s="128">
        <f t="shared" si="322"/>
        <v>5133796.7</v>
      </c>
      <c r="T1060" s="128">
        <f t="shared" si="327"/>
        <v>1799.4380301437084</v>
      </c>
      <c r="U1060" s="128">
        <v>3024.6603575184017</v>
      </c>
      <c r="V1060" s="257">
        <f t="shared" si="329"/>
        <v>1225.2223273746934</v>
      </c>
      <c r="W1060" s="257">
        <f t="shared" si="323"/>
        <v>2143.0535576586049</v>
      </c>
      <c r="X1060" s="257">
        <v>0</v>
      </c>
      <c r="Y1060" s="258">
        <v>0</v>
      </c>
      <c r="Z1060" s="258">
        <v>0</v>
      </c>
      <c r="AA1060" s="258">
        <v>0</v>
      </c>
      <c r="AB1060" s="258">
        <v>0</v>
      </c>
      <c r="AC1060" s="258">
        <v>0</v>
      </c>
      <c r="AD1060" s="258">
        <v>0</v>
      </c>
      <c r="AE1060" s="258">
        <v>980</v>
      </c>
      <c r="AF1060" s="257">
        <f t="shared" si="328"/>
        <v>2143.0535576586049</v>
      </c>
      <c r="AG1060" s="258">
        <v>0</v>
      </c>
      <c r="AH1060" s="257">
        <v>0</v>
      </c>
      <c r="AI1060" s="258">
        <v>0</v>
      </c>
      <c r="AJ1060" s="257">
        <v>0</v>
      </c>
      <c r="AK1060" s="258">
        <v>0</v>
      </c>
      <c r="AL1060" s="258">
        <v>0</v>
      </c>
      <c r="AM1060" s="258">
        <v>0</v>
      </c>
      <c r="AN1060" s="258"/>
      <c r="AO1060" s="258">
        <v>0</v>
      </c>
    </row>
    <row r="1061" spans="1:41" s="259" customFormat="1" ht="36" customHeight="1" x14ac:dyDescent="0.25">
      <c r="A1061" s="259">
        <v>1</v>
      </c>
      <c r="B1061" s="135">
        <f>SUBTOTAL(103,$A$1000:A1061)</f>
        <v>62</v>
      </c>
      <c r="C1061" s="94" t="s">
        <v>552</v>
      </c>
      <c r="D1061" s="124" t="s">
        <v>361</v>
      </c>
      <c r="E1061" s="124"/>
      <c r="F1061" s="129" t="s">
        <v>269</v>
      </c>
      <c r="G1061" s="124" t="s">
        <v>353</v>
      </c>
      <c r="H1061" s="124" t="s">
        <v>305</v>
      </c>
      <c r="I1061" s="125">
        <v>1953.8</v>
      </c>
      <c r="J1061" s="125">
        <v>1724.7</v>
      </c>
      <c r="K1061" s="125">
        <v>1572.5</v>
      </c>
      <c r="L1061" s="126">
        <v>52</v>
      </c>
      <c r="M1061" s="124" t="s">
        <v>267</v>
      </c>
      <c r="N1061" s="124" t="s">
        <v>271</v>
      </c>
      <c r="O1061" s="127" t="s">
        <v>1656</v>
      </c>
      <c r="P1061" s="128">
        <v>2880414.3600000003</v>
      </c>
      <c r="Q1061" s="128">
        <v>0</v>
      </c>
      <c r="R1061" s="128">
        <v>0</v>
      </c>
      <c r="S1061" s="128">
        <f t="shared" si="322"/>
        <v>2880414.3600000003</v>
      </c>
      <c r="T1061" s="128">
        <f t="shared" si="327"/>
        <v>1474.2626471491456</v>
      </c>
      <c r="U1061" s="128">
        <v>1794.3015661787285</v>
      </c>
      <c r="V1061" s="257">
        <f t="shared" si="329"/>
        <v>320.03891902958298</v>
      </c>
      <c r="W1061" s="257">
        <f t="shared" si="323"/>
        <v>2865.2748198382637</v>
      </c>
      <c r="X1061" s="257">
        <v>0</v>
      </c>
      <c r="Y1061" s="258">
        <v>0</v>
      </c>
      <c r="Z1061" s="258">
        <v>0</v>
      </c>
      <c r="AA1061" s="258">
        <v>0</v>
      </c>
      <c r="AB1061" s="258">
        <v>0</v>
      </c>
      <c r="AC1061" s="258">
        <v>0</v>
      </c>
      <c r="AD1061" s="258">
        <v>0</v>
      </c>
      <c r="AE1061" s="258">
        <v>897.3</v>
      </c>
      <c r="AF1061" s="257">
        <f t="shared" si="328"/>
        <v>2865.2748198382637</v>
      </c>
      <c r="AG1061" s="258">
        <v>0</v>
      </c>
      <c r="AH1061" s="257">
        <v>0</v>
      </c>
      <c r="AI1061" s="258">
        <v>0</v>
      </c>
      <c r="AJ1061" s="257">
        <v>0</v>
      </c>
      <c r="AK1061" s="258">
        <v>0</v>
      </c>
      <c r="AL1061" s="258">
        <v>0</v>
      </c>
      <c r="AM1061" s="258">
        <v>0</v>
      </c>
      <c r="AN1061" s="258"/>
      <c r="AO1061" s="258">
        <v>0</v>
      </c>
    </row>
    <row r="1062" spans="1:41" s="259" customFormat="1" ht="36" customHeight="1" x14ac:dyDescent="0.25">
      <c r="B1062" s="94" t="s">
        <v>762</v>
      </c>
      <c r="C1062" s="261"/>
      <c r="D1062" s="124" t="s">
        <v>896</v>
      </c>
      <c r="E1062" s="124" t="s">
        <v>896</v>
      </c>
      <c r="F1062" s="124" t="s">
        <v>896</v>
      </c>
      <c r="G1062" s="124" t="s">
        <v>896</v>
      </c>
      <c r="H1062" s="124" t="s">
        <v>896</v>
      </c>
      <c r="I1062" s="125">
        <f>SUM(I1063:I1076)</f>
        <v>14992.5</v>
      </c>
      <c r="J1062" s="125">
        <f>SUM(J1063:J1076)</f>
        <v>14301.600000000002</v>
      </c>
      <c r="K1062" s="125">
        <f>SUM(K1063:K1076)</f>
        <v>12867.5</v>
      </c>
      <c r="L1062" s="126">
        <f>SUM(L1063:L1076)</f>
        <v>773</v>
      </c>
      <c r="M1062" s="124" t="s">
        <v>896</v>
      </c>
      <c r="N1062" s="124" t="s">
        <v>896</v>
      </c>
      <c r="O1062" s="127" t="s">
        <v>896</v>
      </c>
      <c r="P1062" s="125">
        <v>44764760.649999999</v>
      </c>
      <c r="Q1062" s="125">
        <f>SUM(Q1063:Q1076)</f>
        <v>0</v>
      </c>
      <c r="R1062" s="125">
        <f>SUM(R1063:R1076)</f>
        <v>0</v>
      </c>
      <c r="S1062" s="125">
        <f>SUM(S1063:S1076)</f>
        <v>44764760.649999999</v>
      </c>
      <c r="T1062" s="128">
        <f t="shared" si="327"/>
        <v>2985.8102818075704</v>
      </c>
      <c r="U1062" s="128">
        <f>MAX(U1063:U1076)</f>
        <v>7833.9591269349839</v>
      </c>
      <c r="V1062" s="257">
        <f t="shared" ref="V1062:V1120" si="333">U1062-T1062</f>
        <v>4848.1488451274136</v>
      </c>
      <c r="W1062" s="257"/>
      <c r="X1062" s="257"/>
      <c r="Y1062" s="258"/>
      <c r="Z1062" s="258"/>
      <c r="AA1062" s="258"/>
      <c r="AB1062" s="258"/>
      <c r="AC1062" s="258"/>
      <c r="AD1062" s="258"/>
      <c r="AE1062" s="258"/>
      <c r="AF1062" s="258"/>
      <c r="AG1062" s="258"/>
      <c r="AH1062" s="258"/>
      <c r="AI1062" s="258"/>
      <c r="AJ1062" s="258"/>
      <c r="AK1062" s="258"/>
      <c r="AL1062" s="258"/>
      <c r="AM1062" s="258"/>
      <c r="AN1062" s="258"/>
      <c r="AO1062" s="258"/>
    </row>
    <row r="1063" spans="1:41" s="259" customFormat="1" ht="36" customHeight="1" x14ac:dyDescent="0.25">
      <c r="A1063" s="259">
        <v>1</v>
      </c>
      <c r="B1063" s="135">
        <f>SUBTOTAL(103,$A$1000:A1063)</f>
        <v>63</v>
      </c>
      <c r="C1063" s="94" t="s">
        <v>468</v>
      </c>
      <c r="D1063" s="124">
        <v>1962</v>
      </c>
      <c r="E1063" s="124"/>
      <c r="F1063" s="129" t="s">
        <v>269</v>
      </c>
      <c r="G1063" s="124">
        <v>2</v>
      </c>
      <c r="H1063" s="124" t="s">
        <v>305</v>
      </c>
      <c r="I1063" s="125">
        <v>784.2</v>
      </c>
      <c r="J1063" s="125">
        <v>784.2</v>
      </c>
      <c r="K1063" s="125">
        <v>715.8</v>
      </c>
      <c r="L1063" s="126">
        <v>47</v>
      </c>
      <c r="M1063" s="124" t="s">
        <v>267</v>
      </c>
      <c r="N1063" s="124" t="s">
        <v>268</v>
      </c>
      <c r="O1063" s="127" t="s">
        <v>270</v>
      </c>
      <c r="P1063" s="128">
        <v>3951259.39</v>
      </c>
      <c r="Q1063" s="128">
        <v>0</v>
      </c>
      <c r="R1063" s="128">
        <v>0</v>
      </c>
      <c r="S1063" s="128">
        <f t="shared" ref="S1063:S1076" si="334">P1063-Q1063-R1063</f>
        <v>3951259.39</v>
      </c>
      <c r="T1063" s="128">
        <f t="shared" si="327"/>
        <v>5038.5863172660038</v>
      </c>
      <c r="U1063" s="128">
        <v>5176.112211170619</v>
      </c>
      <c r="V1063" s="257">
        <f t="shared" si="333"/>
        <v>137.52589390461526</v>
      </c>
      <c r="W1063" s="257">
        <f t="shared" ref="W1063:W1076" si="335">X1063+Y1063+Z1063+AA1063+AB1063+AD1063+AF1063+AH1063+AJ1063+AL1063+AN1063+AO1063</f>
        <v>5158.5172711043097</v>
      </c>
      <c r="X1063" s="257">
        <v>0</v>
      </c>
      <c r="Y1063" s="258">
        <v>0</v>
      </c>
      <c r="Z1063" s="258">
        <v>0</v>
      </c>
      <c r="AA1063" s="258">
        <v>0</v>
      </c>
      <c r="AB1063" s="258">
        <v>0</v>
      </c>
      <c r="AC1063" s="258">
        <v>0</v>
      </c>
      <c r="AD1063" s="258">
        <v>0</v>
      </c>
      <c r="AE1063" s="258">
        <v>648.4</v>
      </c>
      <c r="AF1063" s="257">
        <f>6238.91*AE1063/I1063</f>
        <v>5158.5172711043097</v>
      </c>
      <c r="AG1063" s="258">
        <v>0</v>
      </c>
      <c r="AH1063" s="257">
        <v>0</v>
      </c>
      <c r="AI1063" s="258">
        <v>0</v>
      </c>
      <c r="AJ1063" s="257">
        <v>0</v>
      </c>
      <c r="AK1063" s="258">
        <v>0</v>
      </c>
      <c r="AL1063" s="258">
        <v>0</v>
      </c>
      <c r="AM1063" s="258">
        <v>0</v>
      </c>
      <c r="AN1063" s="258"/>
      <c r="AO1063" s="258">
        <v>0</v>
      </c>
    </row>
    <row r="1064" spans="1:41" s="259" customFormat="1" ht="36" customHeight="1" x14ac:dyDescent="0.25">
      <c r="A1064" s="259">
        <v>1</v>
      </c>
      <c r="B1064" s="135">
        <f>SUBTOTAL(103,$A$1000:A1064)</f>
        <v>64</v>
      </c>
      <c r="C1064" s="94" t="s">
        <v>469</v>
      </c>
      <c r="D1064" s="124">
        <v>1959</v>
      </c>
      <c r="E1064" s="124"/>
      <c r="F1064" s="129" t="s">
        <v>269</v>
      </c>
      <c r="G1064" s="124">
        <v>2</v>
      </c>
      <c r="H1064" s="124" t="s">
        <v>305</v>
      </c>
      <c r="I1064" s="125">
        <v>611</v>
      </c>
      <c r="J1064" s="125">
        <v>564.20000000000005</v>
      </c>
      <c r="K1064" s="125">
        <v>492.1</v>
      </c>
      <c r="L1064" s="126">
        <v>36</v>
      </c>
      <c r="M1064" s="124" t="s">
        <v>267</v>
      </c>
      <c r="N1064" s="124" t="s">
        <v>271</v>
      </c>
      <c r="O1064" s="127" t="s">
        <v>348</v>
      </c>
      <c r="P1064" s="128">
        <v>2999201</v>
      </c>
      <c r="Q1064" s="128">
        <v>0</v>
      </c>
      <c r="R1064" s="128">
        <v>0</v>
      </c>
      <c r="S1064" s="128">
        <f t="shared" si="334"/>
        <v>2999201</v>
      </c>
      <c r="T1064" s="128">
        <f t="shared" si="327"/>
        <v>4908.675941080196</v>
      </c>
      <c r="U1064" s="128">
        <v>5604.4581505728311</v>
      </c>
      <c r="V1064" s="257">
        <f t="shared" si="333"/>
        <v>695.78220949263505</v>
      </c>
      <c r="W1064" s="257">
        <f t="shared" si="335"/>
        <v>5585.4071522094928</v>
      </c>
      <c r="X1064" s="257">
        <v>0</v>
      </c>
      <c r="Y1064" s="258">
        <v>0</v>
      </c>
      <c r="Z1064" s="258">
        <v>0</v>
      </c>
      <c r="AA1064" s="258">
        <v>0</v>
      </c>
      <c r="AB1064" s="258">
        <v>0</v>
      </c>
      <c r="AC1064" s="258">
        <v>0</v>
      </c>
      <c r="AD1064" s="258">
        <v>0</v>
      </c>
      <c r="AE1064" s="258">
        <v>547</v>
      </c>
      <c r="AF1064" s="257">
        <f>6238.91*AE1064/I1064</f>
        <v>5585.4071522094928</v>
      </c>
      <c r="AG1064" s="258">
        <v>0</v>
      </c>
      <c r="AH1064" s="257">
        <v>0</v>
      </c>
      <c r="AI1064" s="258">
        <v>0</v>
      </c>
      <c r="AJ1064" s="257">
        <v>0</v>
      </c>
      <c r="AK1064" s="258">
        <v>0</v>
      </c>
      <c r="AL1064" s="258">
        <v>0</v>
      </c>
      <c r="AM1064" s="258">
        <v>0</v>
      </c>
      <c r="AN1064" s="258"/>
      <c r="AO1064" s="258">
        <v>0</v>
      </c>
    </row>
    <row r="1065" spans="1:41" s="259" customFormat="1" ht="36" customHeight="1" x14ac:dyDescent="0.25">
      <c r="A1065" s="259">
        <v>1</v>
      </c>
      <c r="B1065" s="135">
        <f>SUBTOTAL(103,$A$1000:A1065)</f>
        <v>65</v>
      </c>
      <c r="C1065" s="94" t="s">
        <v>470</v>
      </c>
      <c r="D1065" s="124">
        <v>1960</v>
      </c>
      <c r="E1065" s="124"/>
      <c r="F1065" s="129" t="s">
        <v>269</v>
      </c>
      <c r="G1065" s="124">
        <v>2</v>
      </c>
      <c r="H1065" s="124" t="s">
        <v>305</v>
      </c>
      <c r="I1065" s="125">
        <v>549.79999999999995</v>
      </c>
      <c r="J1065" s="125">
        <v>549.79999999999995</v>
      </c>
      <c r="K1065" s="125">
        <v>404</v>
      </c>
      <c r="L1065" s="126">
        <v>27</v>
      </c>
      <c r="M1065" s="124" t="s">
        <v>267</v>
      </c>
      <c r="N1065" s="124" t="s">
        <v>285</v>
      </c>
      <c r="O1065" s="127" t="s">
        <v>270</v>
      </c>
      <c r="P1065" s="128">
        <v>2584541.12</v>
      </c>
      <c r="Q1065" s="128">
        <v>0</v>
      </c>
      <c r="R1065" s="128">
        <v>0</v>
      </c>
      <c r="S1065" s="128">
        <f t="shared" si="334"/>
        <v>2584541.12</v>
      </c>
      <c r="T1065" s="128">
        <f t="shared" si="327"/>
        <v>4700.8750818479457</v>
      </c>
      <c r="U1065" s="128">
        <v>5615.7251873408513</v>
      </c>
      <c r="V1065" s="257">
        <f t="shared" si="333"/>
        <v>914.85010549290564</v>
      </c>
      <c r="W1065" s="257">
        <f t="shared" si="335"/>
        <v>5596.6358894143332</v>
      </c>
      <c r="X1065" s="257">
        <v>0</v>
      </c>
      <c r="Y1065" s="258">
        <v>0</v>
      </c>
      <c r="Z1065" s="258">
        <v>0</v>
      </c>
      <c r="AA1065" s="258">
        <v>0</v>
      </c>
      <c r="AB1065" s="258">
        <v>0</v>
      </c>
      <c r="AC1065" s="258">
        <v>0</v>
      </c>
      <c r="AD1065" s="258">
        <v>0</v>
      </c>
      <c r="AE1065" s="258">
        <v>493.2</v>
      </c>
      <c r="AF1065" s="257">
        <f>6238.91*AE1065/I1065</f>
        <v>5596.6358894143332</v>
      </c>
      <c r="AG1065" s="258">
        <v>0</v>
      </c>
      <c r="AH1065" s="257">
        <v>0</v>
      </c>
      <c r="AI1065" s="258">
        <v>0</v>
      </c>
      <c r="AJ1065" s="257">
        <v>0</v>
      </c>
      <c r="AK1065" s="258">
        <v>0</v>
      </c>
      <c r="AL1065" s="258">
        <v>0</v>
      </c>
      <c r="AM1065" s="258">
        <v>0</v>
      </c>
      <c r="AN1065" s="258"/>
      <c r="AO1065" s="258">
        <v>0</v>
      </c>
    </row>
    <row r="1066" spans="1:41" s="259" customFormat="1" ht="36" customHeight="1" x14ac:dyDescent="0.25">
      <c r="A1066" s="259">
        <v>1</v>
      </c>
      <c r="B1066" s="135">
        <f>SUBTOTAL(103,$A$1000:A1066)</f>
        <v>66</v>
      </c>
      <c r="C1066" s="94" t="s">
        <v>471</v>
      </c>
      <c r="D1066" s="124">
        <v>1968</v>
      </c>
      <c r="E1066" s="124"/>
      <c r="F1066" s="129" t="s">
        <v>269</v>
      </c>
      <c r="G1066" s="124">
        <v>5</v>
      </c>
      <c r="H1066" s="124" t="s">
        <v>310</v>
      </c>
      <c r="I1066" s="125">
        <v>3425.4</v>
      </c>
      <c r="J1066" s="125">
        <v>3385.7</v>
      </c>
      <c r="K1066" s="125">
        <v>2995.5</v>
      </c>
      <c r="L1066" s="126">
        <v>208</v>
      </c>
      <c r="M1066" s="124" t="s">
        <v>267</v>
      </c>
      <c r="N1066" s="124" t="s">
        <v>268</v>
      </c>
      <c r="O1066" s="127" t="s">
        <v>270</v>
      </c>
      <c r="P1066" s="128">
        <v>6581549.3999999994</v>
      </c>
      <c r="Q1066" s="128">
        <v>0</v>
      </c>
      <c r="R1066" s="128">
        <v>0</v>
      </c>
      <c r="S1066" s="128">
        <f t="shared" si="334"/>
        <v>6581549.3999999994</v>
      </c>
      <c r="T1066" s="128">
        <f t="shared" si="327"/>
        <v>1921.3958661762128</v>
      </c>
      <c r="U1066" s="128">
        <v>2065.1645647223681</v>
      </c>
      <c r="V1066" s="257">
        <f t="shared" si="333"/>
        <v>143.76869854615529</v>
      </c>
      <c r="W1066" s="257">
        <f t="shared" si="335"/>
        <v>2058.1445378641911</v>
      </c>
      <c r="X1066" s="257">
        <v>0</v>
      </c>
      <c r="Y1066" s="258">
        <v>0</v>
      </c>
      <c r="Z1066" s="258">
        <v>0</v>
      </c>
      <c r="AA1066" s="258">
        <v>0</v>
      </c>
      <c r="AB1066" s="258">
        <v>0</v>
      </c>
      <c r="AC1066" s="258">
        <v>0</v>
      </c>
      <c r="AD1066" s="258">
        <v>0</v>
      </c>
      <c r="AE1066" s="258">
        <v>1130</v>
      </c>
      <c r="AF1066" s="257">
        <f>6238.91*AE1066/I1066</f>
        <v>2058.1445378641911</v>
      </c>
      <c r="AG1066" s="258">
        <v>0</v>
      </c>
      <c r="AH1066" s="257">
        <v>0</v>
      </c>
      <c r="AI1066" s="258">
        <v>0</v>
      </c>
      <c r="AJ1066" s="257">
        <v>0</v>
      </c>
      <c r="AK1066" s="258">
        <v>0</v>
      </c>
      <c r="AL1066" s="258">
        <v>0</v>
      </c>
      <c r="AM1066" s="258">
        <v>0</v>
      </c>
      <c r="AN1066" s="258"/>
      <c r="AO1066" s="258">
        <v>0</v>
      </c>
    </row>
    <row r="1067" spans="1:41" s="259" customFormat="1" ht="36" customHeight="1" x14ac:dyDescent="0.25">
      <c r="A1067" s="259">
        <v>1</v>
      </c>
      <c r="B1067" s="135">
        <f>SUBTOTAL(103,$A$1000:A1067)</f>
        <v>67</v>
      </c>
      <c r="C1067" s="94" t="s">
        <v>472</v>
      </c>
      <c r="D1067" s="124">
        <v>1966</v>
      </c>
      <c r="E1067" s="124"/>
      <c r="F1067" s="129" t="s">
        <v>269</v>
      </c>
      <c r="G1067" s="124">
        <v>5</v>
      </c>
      <c r="H1067" s="124" t="s">
        <v>314</v>
      </c>
      <c r="I1067" s="125">
        <v>2708.5</v>
      </c>
      <c r="J1067" s="125">
        <v>2523.1</v>
      </c>
      <c r="K1067" s="125">
        <v>2195.4</v>
      </c>
      <c r="L1067" s="126">
        <v>137</v>
      </c>
      <c r="M1067" s="124" t="s">
        <v>267</v>
      </c>
      <c r="N1067" s="124" t="s">
        <v>268</v>
      </c>
      <c r="O1067" s="127" t="s">
        <v>270</v>
      </c>
      <c r="P1067" s="128">
        <v>4737312</v>
      </c>
      <c r="Q1067" s="128">
        <v>0</v>
      </c>
      <c r="R1067" s="128">
        <v>0</v>
      </c>
      <c r="S1067" s="128">
        <f t="shared" si="334"/>
        <v>4737312</v>
      </c>
      <c r="T1067" s="128">
        <f t="shared" si="327"/>
        <v>1749.053719771091</v>
      </c>
      <c r="U1067" s="128">
        <v>1996.9740299058517</v>
      </c>
      <c r="V1067" s="257">
        <f t="shared" si="333"/>
        <v>247.92031013476071</v>
      </c>
      <c r="W1067" s="257">
        <f t="shared" si="335"/>
        <v>1990.1858002584456</v>
      </c>
      <c r="X1067" s="257">
        <v>0</v>
      </c>
      <c r="Y1067" s="258">
        <v>0</v>
      </c>
      <c r="Z1067" s="258">
        <v>0</v>
      </c>
      <c r="AA1067" s="258">
        <v>0</v>
      </c>
      <c r="AB1067" s="258">
        <v>0</v>
      </c>
      <c r="AC1067" s="258">
        <v>0</v>
      </c>
      <c r="AD1067" s="258">
        <v>0</v>
      </c>
      <c r="AE1067" s="258">
        <v>864</v>
      </c>
      <c r="AF1067" s="257">
        <f>6238.91*AE1067/I1067</f>
        <v>1990.1858002584456</v>
      </c>
      <c r="AG1067" s="258">
        <v>0</v>
      </c>
      <c r="AH1067" s="257">
        <v>0</v>
      </c>
      <c r="AI1067" s="258">
        <v>0</v>
      </c>
      <c r="AJ1067" s="257">
        <v>0</v>
      </c>
      <c r="AK1067" s="258">
        <v>0</v>
      </c>
      <c r="AL1067" s="258">
        <v>0</v>
      </c>
      <c r="AM1067" s="258">
        <v>0</v>
      </c>
      <c r="AN1067" s="258"/>
      <c r="AO1067" s="258">
        <v>0</v>
      </c>
    </row>
    <row r="1068" spans="1:41" s="259" customFormat="1" ht="36" customHeight="1" x14ac:dyDescent="0.25">
      <c r="A1068" s="259">
        <v>1</v>
      </c>
      <c r="B1068" s="135">
        <f>SUBTOTAL(103,$A$1000:A1068)</f>
        <v>68</v>
      </c>
      <c r="C1068" s="94" t="s">
        <v>473</v>
      </c>
      <c r="D1068" s="124">
        <v>1964</v>
      </c>
      <c r="E1068" s="124">
        <v>2008</v>
      </c>
      <c r="F1068" s="129" t="s">
        <v>269</v>
      </c>
      <c r="G1068" s="124">
        <v>4</v>
      </c>
      <c r="H1068" s="124" t="s">
        <v>305</v>
      </c>
      <c r="I1068" s="125">
        <v>1368.5</v>
      </c>
      <c r="J1068" s="125">
        <v>1271.5</v>
      </c>
      <c r="K1068" s="125">
        <v>1271.5</v>
      </c>
      <c r="L1068" s="126">
        <v>43</v>
      </c>
      <c r="M1068" s="124" t="s">
        <v>267</v>
      </c>
      <c r="N1068" s="124" t="s">
        <v>346</v>
      </c>
      <c r="O1068" s="127" t="s">
        <v>347</v>
      </c>
      <c r="P1068" s="128">
        <v>491510.45999999996</v>
      </c>
      <c r="Q1068" s="128">
        <v>0</v>
      </c>
      <c r="R1068" s="128">
        <v>0</v>
      </c>
      <c r="S1068" s="128">
        <f t="shared" si="334"/>
        <v>491510.45999999996</v>
      </c>
      <c r="T1068" s="128">
        <f t="shared" si="327"/>
        <v>359.15999999999997</v>
      </c>
      <c r="U1068" s="128">
        <v>359.15999999999997</v>
      </c>
      <c r="V1068" s="257">
        <f t="shared" si="333"/>
        <v>0</v>
      </c>
      <c r="W1068" s="257">
        <f>T1068</f>
        <v>359.15999999999997</v>
      </c>
      <c r="X1068" s="257">
        <v>0</v>
      </c>
      <c r="Y1068" s="258">
        <v>0</v>
      </c>
      <c r="Z1068" s="258">
        <v>0</v>
      </c>
      <c r="AA1068" s="258">
        <v>184.98</v>
      </c>
      <c r="AB1068" s="258">
        <v>0</v>
      </c>
      <c r="AC1068" s="258">
        <v>0</v>
      </c>
      <c r="AD1068" s="258">
        <v>0</v>
      </c>
      <c r="AE1068" s="258">
        <v>0</v>
      </c>
      <c r="AF1068" s="257">
        <v>0</v>
      </c>
      <c r="AG1068" s="258">
        <v>0</v>
      </c>
      <c r="AH1068" s="257">
        <v>0</v>
      </c>
      <c r="AI1068" s="258">
        <v>0</v>
      </c>
      <c r="AJ1068" s="257">
        <v>0</v>
      </c>
      <c r="AK1068" s="258">
        <v>0</v>
      </c>
      <c r="AL1068" s="258">
        <v>0</v>
      </c>
      <c r="AM1068" s="258">
        <v>0</v>
      </c>
      <c r="AN1068" s="258"/>
      <c r="AO1068" s="258">
        <v>0</v>
      </c>
    </row>
    <row r="1069" spans="1:41" s="259" customFormat="1" ht="36" customHeight="1" x14ac:dyDescent="0.25">
      <c r="A1069" s="259">
        <v>1</v>
      </c>
      <c r="B1069" s="135">
        <f>SUBTOTAL(103,$A$1000:A1069)</f>
        <v>69</v>
      </c>
      <c r="C1069" s="94" t="s">
        <v>474</v>
      </c>
      <c r="D1069" s="124">
        <v>1960</v>
      </c>
      <c r="E1069" s="124"/>
      <c r="F1069" s="129" t="s">
        <v>269</v>
      </c>
      <c r="G1069" s="124">
        <v>2</v>
      </c>
      <c r="H1069" s="124" t="s">
        <v>305</v>
      </c>
      <c r="I1069" s="125">
        <v>646.1</v>
      </c>
      <c r="J1069" s="125">
        <v>646.1</v>
      </c>
      <c r="K1069" s="125">
        <v>646.1</v>
      </c>
      <c r="L1069" s="126">
        <v>42</v>
      </c>
      <c r="M1069" s="124" t="s">
        <v>267</v>
      </c>
      <c r="N1069" s="124" t="s">
        <v>268</v>
      </c>
      <c r="O1069" s="127" t="s">
        <v>270</v>
      </c>
      <c r="P1069" s="128">
        <v>3422817.5799999996</v>
      </c>
      <c r="Q1069" s="128">
        <v>0</v>
      </c>
      <c r="R1069" s="128">
        <v>0</v>
      </c>
      <c r="S1069" s="128">
        <f t="shared" si="334"/>
        <v>3422817.5799999996</v>
      </c>
      <c r="T1069" s="128">
        <f t="shared" si="327"/>
        <v>5297.6591549295763</v>
      </c>
      <c r="U1069" s="128">
        <v>6048.5779436619714</v>
      </c>
      <c r="V1069" s="257">
        <f t="shared" si="333"/>
        <v>750.91878873239511</v>
      </c>
      <c r="W1069" s="257">
        <f t="shared" si="335"/>
        <v>6028.0172676056327</v>
      </c>
      <c r="X1069" s="257">
        <v>0</v>
      </c>
      <c r="Y1069" s="258">
        <v>0</v>
      </c>
      <c r="Z1069" s="258">
        <v>0</v>
      </c>
      <c r="AA1069" s="258">
        <v>0</v>
      </c>
      <c r="AB1069" s="258">
        <v>0</v>
      </c>
      <c r="AC1069" s="258">
        <v>0</v>
      </c>
      <c r="AD1069" s="258">
        <v>0</v>
      </c>
      <c r="AE1069" s="258">
        <v>624.26</v>
      </c>
      <c r="AF1069" s="257">
        <f>6238.91*AE1069/I1069</f>
        <v>6028.0172676056327</v>
      </c>
      <c r="AG1069" s="258">
        <v>0</v>
      </c>
      <c r="AH1069" s="257">
        <v>0</v>
      </c>
      <c r="AI1069" s="258">
        <v>0</v>
      </c>
      <c r="AJ1069" s="257">
        <v>0</v>
      </c>
      <c r="AK1069" s="258">
        <v>0</v>
      </c>
      <c r="AL1069" s="258">
        <v>0</v>
      </c>
      <c r="AM1069" s="258">
        <v>0</v>
      </c>
      <c r="AN1069" s="258"/>
      <c r="AO1069" s="258">
        <v>0</v>
      </c>
    </row>
    <row r="1070" spans="1:41" s="259" customFormat="1" ht="36" customHeight="1" x14ac:dyDescent="0.25">
      <c r="A1070" s="259">
        <v>1</v>
      </c>
      <c r="B1070" s="135">
        <f>SUBTOTAL(103,$A$1000:A1070)</f>
        <v>70</v>
      </c>
      <c r="C1070" s="94" t="s">
        <v>475</v>
      </c>
      <c r="D1070" s="124">
        <v>1961</v>
      </c>
      <c r="E1070" s="124"/>
      <c r="F1070" s="129" t="s">
        <v>269</v>
      </c>
      <c r="G1070" s="124">
        <v>2</v>
      </c>
      <c r="H1070" s="124" t="s">
        <v>305</v>
      </c>
      <c r="I1070" s="125">
        <v>579.4</v>
      </c>
      <c r="J1070" s="125">
        <v>538.1</v>
      </c>
      <c r="K1070" s="125">
        <v>470.3</v>
      </c>
      <c r="L1070" s="126">
        <v>35</v>
      </c>
      <c r="M1070" s="124" t="s">
        <v>267</v>
      </c>
      <c r="N1070" s="124" t="s">
        <v>285</v>
      </c>
      <c r="O1070" s="127" t="s">
        <v>270</v>
      </c>
      <c r="P1070" s="128">
        <v>2888444.4</v>
      </c>
      <c r="Q1070" s="128">
        <v>0</v>
      </c>
      <c r="R1070" s="128">
        <v>0</v>
      </c>
      <c r="S1070" s="128">
        <f t="shared" si="334"/>
        <v>2888444.4</v>
      </c>
      <c r="T1070" s="128">
        <f t="shared" si="327"/>
        <v>4985.2336900241626</v>
      </c>
      <c r="U1070" s="128">
        <v>5691.8676078702101</v>
      </c>
      <c r="V1070" s="257">
        <f t="shared" si="333"/>
        <v>706.63391784604755</v>
      </c>
      <c r="W1070" s="257">
        <f t="shared" si="335"/>
        <v>5672.5194822229887</v>
      </c>
      <c r="X1070" s="257">
        <v>0</v>
      </c>
      <c r="Y1070" s="258">
        <v>0</v>
      </c>
      <c r="Z1070" s="258">
        <v>0</v>
      </c>
      <c r="AA1070" s="258">
        <v>0</v>
      </c>
      <c r="AB1070" s="258">
        <v>0</v>
      </c>
      <c r="AC1070" s="258">
        <v>0</v>
      </c>
      <c r="AD1070" s="258">
        <v>0</v>
      </c>
      <c r="AE1070" s="258">
        <v>526.79999999999995</v>
      </c>
      <c r="AF1070" s="257">
        <f>6238.91*AE1070/I1070</f>
        <v>5672.5194822229887</v>
      </c>
      <c r="AG1070" s="258">
        <v>0</v>
      </c>
      <c r="AH1070" s="257">
        <v>0</v>
      </c>
      <c r="AI1070" s="258">
        <v>0</v>
      </c>
      <c r="AJ1070" s="257">
        <v>0</v>
      </c>
      <c r="AK1070" s="258">
        <v>0</v>
      </c>
      <c r="AL1070" s="258">
        <v>0</v>
      </c>
      <c r="AM1070" s="258">
        <v>0</v>
      </c>
      <c r="AN1070" s="258"/>
      <c r="AO1070" s="258">
        <v>0</v>
      </c>
    </row>
    <row r="1071" spans="1:41" s="259" customFormat="1" ht="36" customHeight="1" x14ac:dyDescent="0.25">
      <c r="A1071" s="259">
        <v>1</v>
      </c>
      <c r="B1071" s="135">
        <f>SUBTOTAL(103,$A$1000:A1071)</f>
        <v>71</v>
      </c>
      <c r="C1071" s="94" t="s">
        <v>476</v>
      </c>
      <c r="D1071" s="124">
        <v>1960</v>
      </c>
      <c r="E1071" s="124"/>
      <c r="F1071" s="129" t="s">
        <v>269</v>
      </c>
      <c r="G1071" s="124">
        <v>2</v>
      </c>
      <c r="H1071" s="124" t="s">
        <v>305</v>
      </c>
      <c r="I1071" s="125">
        <v>591.29999999999995</v>
      </c>
      <c r="J1071" s="125">
        <v>543.1</v>
      </c>
      <c r="K1071" s="125">
        <v>477.6</v>
      </c>
      <c r="L1071" s="126">
        <v>28</v>
      </c>
      <c r="M1071" s="124" t="s">
        <v>267</v>
      </c>
      <c r="N1071" s="124" t="s">
        <v>268</v>
      </c>
      <c r="O1071" s="127" t="s">
        <v>270</v>
      </c>
      <c r="P1071" s="128">
        <v>3422817.5799999996</v>
      </c>
      <c r="Q1071" s="128">
        <v>0</v>
      </c>
      <c r="R1071" s="128">
        <v>0</v>
      </c>
      <c r="S1071" s="128">
        <f t="shared" si="334"/>
        <v>3422817.5799999996</v>
      </c>
      <c r="T1071" s="128">
        <f t="shared" si="327"/>
        <v>5788.6311178758669</v>
      </c>
      <c r="U1071" s="128">
        <v>6609.1429213597157</v>
      </c>
      <c r="V1071" s="257">
        <f t="shared" si="333"/>
        <v>820.51180348384878</v>
      </c>
      <c r="W1071" s="257">
        <f t="shared" si="335"/>
        <v>6586.6767404025031</v>
      </c>
      <c r="X1071" s="257">
        <v>0</v>
      </c>
      <c r="Y1071" s="258">
        <v>0</v>
      </c>
      <c r="Z1071" s="258">
        <v>0</v>
      </c>
      <c r="AA1071" s="258">
        <v>0</v>
      </c>
      <c r="AB1071" s="258">
        <v>0</v>
      </c>
      <c r="AC1071" s="258">
        <v>0</v>
      </c>
      <c r="AD1071" s="258">
        <v>0</v>
      </c>
      <c r="AE1071" s="258">
        <v>624.26</v>
      </c>
      <c r="AF1071" s="257">
        <f>6238.91*AE1071/I1071</f>
        <v>6586.6767404025031</v>
      </c>
      <c r="AG1071" s="258">
        <v>0</v>
      </c>
      <c r="AH1071" s="257">
        <v>0</v>
      </c>
      <c r="AI1071" s="258">
        <v>0</v>
      </c>
      <c r="AJ1071" s="257">
        <v>0</v>
      </c>
      <c r="AK1071" s="258">
        <v>0</v>
      </c>
      <c r="AL1071" s="258">
        <v>0</v>
      </c>
      <c r="AM1071" s="258">
        <v>0</v>
      </c>
      <c r="AN1071" s="258"/>
      <c r="AO1071" s="258">
        <v>0</v>
      </c>
    </row>
    <row r="1072" spans="1:41" s="259" customFormat="1" ht="36" customHeight="1" x14ac:dyDescent="0.25">
      <c r="A1072" s="259">
        <v>1</v>
      </c>
      <c r="B1072" s="135">
        <f>SUBTOTAL(103,$A$1000:A1072)</f>
        <v>72</v>
      </c>
      <c r="C1072" s="94" t="s">
        <v>477</v>
      </c>
      <c r="D1072" s="124">
        <v>1962</v>
      </c>
      <c r="E1072" s="124"/>
      <c r="F1072" s="129" t="s">
        <v>269</v>
      </c>
      <c r="G1072" s="124">
        <v>2</v>
      </c>
      <c r="H1072" s="124" t="s">
        <v>305</v>
      </c>
      <c r="I1072" s="125">
        <v>540</v>
      </c>
      <c r="J1072" s="125">
        <v>540</v>
      </c>
      <c r="K1072" s="125">
        <v>500</v>
      </c>
      <c r="L1072" s="126">
        <v>26</v>
      </c>
      <c r="M1072" s="124" t="s">
        <v>267</v>
      </c>
      <c r="N1072" s="124" t="s">
        <v>268</v>
      </c>
      <c r="O1072" s="127" t="s">
        <v>270</v>
      </c>
      <c r="P1072" s="128">
        <v>3106903.4</v>
      </c>
      <c r="Q1072" s="128">
        <v>0</v>
      </c>
      <c r="R1072" s="128">
        <v>0</v>
      </c>
      <c r="S1072" s="128">
        <f t="shared" si="334"/>
        <v>3106903.4</v>
      </c>
      <c r="T1072" s="128">
        <f t="shared" si="327"/>
        <v>5753.5248148148148</v>
      </c>
      <c r="U1072" s="128">
        <v>6316.4157805555551</v>
      </c>
      <c r="V1072" s="257">
        <f t="shared" si="333"/>
        <v>562.89096574074028</v>
      </c>
      <c r="W1072" s="257">
        <f t="shared" si="335"/>
        <v>6294.9446546296294</v>
      </c>
      <c r="X1072" s="257">
        <v>0</v>
      </c>
      <c r="Y1072" s="258">
        <v>0</v>
      </c>
      <c r="Z1072" s="258">
        <v>0</v>
      </c>
      <c r="AA1072" s="258">
        <v>0</v>
      </c>
      <c r="AB1072" s="258">
        <v>0</v>
      </c>
      <c r="AC1072" s="258">
        <v>0</v>
      </c>
      <c r="AD1072" s="258">
        <v>0</v>
      </c>
      <c r="AE1072" s="258">
        <v>544.85</v>
      </c>
      <c r="AF1072" s="257">
        <f>6238.91*AE1072/I1072</f>
        <v>6294.9446546296294</v>
      </c>
      <c r="AG1072" s="258">
        <v>0</v>
      </c>
      <c r="AH1072" s="257">
        <v>0</v>
      </c>
      <c r="AI1072" s="258">
        <v>0</v>
      </c>
      <c r="AJ1072" s="257">
        <v>0</v>
      </c>
      <c r="AK1072" s="258">
        <v>0</v>
      </c>
      <c r="AL1072" s="258">
        <v>0</v>
      </c>
      <c r="AM1072" s="258">
        <v>0</v>
      </c>
      <c r="AN1072" s="258"/>
      <c r="AO1072" s="258">
        <v>0</v>
      </c>
    </row>
    <row r="1073" spans="1:41" s="259" customFormat="1" ht="36" customHeight="1" x14ac:dyDescent="0.25">
      <c r="A1073" s="259">
        <v>1</v>
      </c>
      <c r="B1073" s="135">
        <f>SUBTOTAL(103,$A$1000:A1073)</f>
        <v>73</v>
      </c>
      <c r="C1073" s="94" t="s">
        <v>1709</v>
      </c>
      <c r="D1073" s="124">
        <v>1964</v>
      </c>
      <c r="E1073" s="124"/>
      <c r="F1073" s="129" t="s">
        <v>269</v>
      </c>
      <c r="G1073" s="124">
        <v>2</v>
      </c>
      <c r="H1073" s="124" t="s">
        <v>305</v>
      </c>
      <c r="I1073" s="125">
        <v>420</v>
      </c>
      <c r="J1073" s="125">
        <v>380.1</v>
      </c>
      <c r="K1073" s="125">
        <v>337</v>
      </c>
      <c r="L1073" s="126">
        <v>21</v>
      </c>
      <c r="M1073" s="124" t="s">
        <v>267</v>
      </c>
      <c r="N1073" s="124" t="s">
        <v>268</v>
      </c>
      <c r="O1073" s="127" t="s">
        <v>270</v>
      </c>
      <c r="P1073" s="128">
        <v>2564145.2799999998</v>
      </c>
      <c r="Q1073" s="128">
        <v>0</v>
      </c>
      <c r="R1073" s="128">
        <v>0</v>
      </c>
      <c r="S1073" s="128">
        <f t="shared" si="334"/>
        <v>2564145.2799999998</v>
      </c>
      <c r="T1073" s="128">
        <f t="shared" si="327"/>
        <v>6105.107809523809</v>
      </c>
      <c r="U1073" s="128">
        <v>6105.107809523809</v>
      </c>
      <c r="V1073" s="257">
        <f t="shared" si="333"/>
        <v>0</v>
      </c>
      <c r="W1073" s="257">
        <f>T1073</f>
        <v>6105.107809523809</v>
      </c>
      <c r="X1073" s="257">
        <v>0</v>
      </c>
      <c r="Y1073" s="258">
        <v>0</v>
      </c>
      <c r="Z1073" s="258">
        <v>0</v>
      </c>
      <c r="AA1073" s="258">
        <v>0</v>
      </c>
      <c r="AB1073" s="258">
        <v>0</v>
      </c>
      <c r="AC1073" s="258">
        <v>0</v>
      </c>
      <c r="AD1073" s="258">
        <v>0</v>
      </c>
      <c r="AE1073" s="258">
        <v>375</v>
      </c>
      <c r="AF1073" s="257">
        <f>6436.53*AE1073/I1073</f>
        <v>5746.9017857142853</v>
      </c>
      <c r="AG1073" s="258">
        <v>0</v>
      </c>
      <c r="AH1073" s="257">
        <v>0</v>
      </c>
      <c r="AI1073" s="258">
        <v>0</v>
      </c>
      <c r="AJ1073" s="257">
        <v>0</v>
      </c>
      <c r="AK1073" s="258">
        <v>0</v>
      </c>
      <c r="AL1073" s="258">
        <v>0</v>
      </c>
      <c r="AM1073" s="258">
        <v>0</v>
      </c>
      <c r="AN1073" s="258"/>
      <c r="AO1073" s="258">
        <v>0</v>
      </c>
    </row>
    <row r="1074" spans="1:41" s="259" customFormat="1" ht="61.5" x14ac:dyDescent="0.25">
      <c r="A1074" s="259">
        <v>1</v>
      </c>
      <c r="B1074" s="135">
        <f>SUBTOTAL(103,$A$1000:A1074)</f>
        <v>74</v>
      </c>
      <c r="C1074" s="94" t="s">
        <v>479</v>
      </c>
      <c r="D1074" s="124">
        <v>1965</v>
      </c>
      <c r="E1074" s="124"/>
      <c r="F1074" s="129" t="s">
        <v>269</v>
      </c>
      <c r="G1074" s="124">
        <v>4</v>
      </c>
      <c r="H1074" s="124" t="s">
        <v>314</v>
      </c>
      <c r="I1074" s="125">
        <v>2024.1</v>
      </c>
      <c r="J1074" s="125">
        <v>1904.5</v>
      </c>
      <c r="K1074" s="125">
        <v>1691</v>
      </c>
      <c r="L1074" s="126">
        <v>86</v>
      </c>
      <c r="M1074" s="124" t="s">
        <v>267</v>
      </c>
      <c r="N1074" s="124" t="s">
        <v>271</v>
      </c>
      <c r="O1074" s="127" t="s">
        <v>342</v>
      </c>
      <c r="P1074" s="128">
        <v>3110189.0700000003</v>
      </c>
      <c r="Q1074" s="128">
        <v>0</v>
      </c>
      <c r="R1074" s="128">
        <v>0</v>
      </c>
      <c r="S1074" s="128">
        <f t="shared" si="334"/>
        <v>3110189.0700000003</v>
      </c>
      <c r="T1074" s="128">
        <f t="shared" si="327"/>
        <v>1536.5787609307843</v>
      </c>
      <c r="U1074" s="128">
        <v>1691.7760634356009</v>
      </c>
      <c r="V1074" s="257">
        <f t="shared" si="333"/>
        <v>155.19730250481666</v>
      </c>
      <c r="W1074" s="257">
        <f t="shared" si="335"/>
        <v>1686.0252803715232</v>
      </c>
      <c r="X1074" s="257">
        <v>0</v>
      </c>
      <c r="Y1074" s="258">
        <v>0</v>
      </c>
      <c r="Z1074" s="258">
        <v>0</v>
      </c>
      <c r="AA1074" s="258">
        <v>0</v>
      </c>
      <c r="AB1074" s="258">
        <v>0</v>
      </c>
      <c r="AC1074" s="258">
        <v>0</v>
      </c>
      <c r="AD1074" s="258">
        <v>0</v>
      </c>
      <c r="AE1074" s="258">
        <v>547</v>
      </c>
      <c r="AF1074" s="257">
        <f>6238.91*AE1074/I1074</f>
        <v>1686.0252803715232</v>
      </c>
      <c r="AG1074" s="258">
        <v>0</v>
      </c>
      <c r="AH1074" s="257">
        <v>0</v>
      </c>
      <c r="AI1074" s="258">
        <v>0</v>
      </c>
      <c r="AJ1074" s="257">
        <v>0</v>
      </c>
      <c r="AK1074" s="258">
        <v>0</v>
      </c>
      <c r="AL1074" s="258">
        <v>0</v>
      </c>
      <c r="AM1074" s="258">
        <v>0</v>
      </c>
      <c r="AN1074" s="258"/>
      <c r="AO1074" s="258">
        <v>0</v>
      </c>
    </row>
    <row r="1075" spans="1:41" s="259" customFormat="1" ht="36" customHeight="1" x14ac:dyDescent="0.25">
      <c r="A1075" s="259">
        <v>1</v>
      </c>
      <c r="B1075" s="135">
        <f>SUBTOTAL(103,$A$1000:A1075)</f>
        <v>75</v>
      </c>
      <c r="C1075" s="94" t="s">
        <v>480</v>
      </c>
      <c r="D1075" s="124">
        <v>1951</v>
      </c>
      <c r="E1075" s="124"/>
      <c r="F1075" s="129" t="s">
        <v>326</v>
      </c>
      <c r="G1075" s="124">
        <v>2</v>
      </c>
      <c r="H1075" s="124" t="s">
        <v>305</v>
      </c>
      <c r="I1075" s="125">
        <v>421.2</v>
      </c>
      <c r="J1075" s="125">
        <v>379.5</v>
      </c>
      <c r="K1075" s="125">
        <v>379.5</v>
      </c>
      <c r="L1075" s="126">
        <v>21</v>
      </c>
      <c r="M1075" s="124" t="s">
        <v>267</v>
      </c>
      <c r="N1075" s="124" t="s">
        <v>268</v>
      </c>
      <c r="O1075" s="127" t="s">
        <v>270</v>
      </c>
      <c r="P1075" s="128">
        <v>2521758.64</v>
      </c>
      <c r="Q1075" s="128">
        <v>0</v>
      </c>
      <c r="R1075" s="128">
        <v>0</v>
      </c>
      <c r="S1075" s="128">
        <f t="shared" si="334"/>
        <v>2521758.64</v>
      </c>
      <c r="T1075" s="128">
        <f t="shared" si="327"/>
        <v>5987.0812915479582</v>
      </c>
      <c r="U1075" s="128">
        <v>5987.0812915479582</v>
      </c>
      <c r="V1075" s="257">
        <f t="shared" si="333"/>
        <v>0</v>
      </c>
      <c r="W1075" s="257">
        <f t="shared" si="335"/>
        <v>6088.7251025641026</v>
      </c>
      <c r="X1075" s="257">
        <v>0</v>
      </c>
      <c r="Y1075" s="258">
        <v>0</v>
      </c>
      <c r="Z1075" s="258">
        <v>0</v>
      </c>
      <c r="AA1075" s="258">
        <v>0</v>
      </c>
      <c r="AB1075" s="258">
        <v>0</v>
      </c>
      <c r="AC1075" s="258">
        <v>0</v>
      </c>
      <c r="AD1075" s="258">
        <v>0</v>
      </c>
      <c r="AE1075" s="258">
        <v>398.44</v>
      </c>
      <c r="AF1075" s="257">
        <f>6436.53*AE1075/I1075</f>
        <v>6088.7251025641026</v>
      </c>
      <c r="AG1075" s="258">
        <v>0</v>
      </c>
      <c r="AH1075" s="257">
        <v>0</v>
      </c>
      <c r="AI1075" s="258">
        <v>0</v>
      </c>
      <c r="AJ1075" s="257">
        <v>0</v>
      </c>
      <c r="AK1075" s="258">
        <v>0</v>
      </c>
      <c r="AL1075" s="258">
        <v>0</v>
      </c>
      <c r="AM1075" s="258">
        <v>0</v>
      </c>
      <c r="AN1075" s="258"/>
      <c r="AO1075" s="258">
        <v>0</v>
      </c>
    </row>
    <row r="1076" spans="1:41" s="259" customFormat="1" ht="36" customHeight="1" x14ac:dyDescent="0.25">
      <c r="A1076" s="259">
        <v>1</v>
      </c>
      <c r="B1076" s="135">
        <f>SUBTOTAL(103,$A$1000:A1076)</f>
        <v>76</v>
      </c>
      <c r="C1076" s="94" t="s">
        <v>1604</v>
      </c>
      <c r="D1076" s="124">
        <v>1887</v>
      </c>
      <c r="E1076" s="124"/>
      <c r="F1076" s="129" t="s">
        <v>1608</v>
      </c>
      <c r="G1076" s="124">
        <v>2</v>
      </c>
      <c r="H1076" s="124" t="s">
        <v>305</v>
      </c>
      <c r="I1076" s="125">
        <v>323</v>
      </c>
      <c r="J1076" s="125">
        <v>291.7</v>
      </c>
      <c r="K1076" s="125">
        <v>291.7</v>
      </c>
      <c r="L1076" s="126">
        <v>16</v>
      </c>
      <c r="M1076" s="124" t="s">
        <v>267</v>
      </c>
      <c r="N1076" s="124" t="s">
        <v>268</v>
      </c>
      <c r="O1076" s="127" t="s">
        <v>270</v>
      </c>
      <c r="P1076" s="128">
        <v>2382311.33</v>
      </c>
      <c r="Q1076" s="128">
        <v>0</v>
      </c>
      <c r="R1076" s="128">
        <v>0</v>
      </c>
      <c r="S1076" s="128">
        <f t="shared" si="334"/>
        <v>2382311.33</v>
      </c>
      <c r="T1076" s="128">
        <f t="shared" si="327"/>
        <v>7375.5768730650161</v>
      </c>
      <c r="U1076" s="128">
        <v>7833.9591269349839</v>
      </c>
      <c r="V1076" s="257">
        <f t="shared" si="333"/>
        <v>458.38225386996783</v>
      </c>
      <c r="W1076" s="257">
        <f t="shared" si="335"/>
        <v>7807.3294798761599</v>
      </c>
      <c r="X1076" s="257">
        <v>0</v>
      </c>
      <c r="Y1076" s="258">
        <v>0</v>
      </c>
      <c r="Z1076" s="258">
        <v>0</v>
      </c>
      <c r="AA1076" s="258">
        <v>0</v>
      </c>
      <c r="AB1076" s="258">
        <v>0</v>
      </c>
      <c r="AC1076" s="258">
        <v>0</v>
      </c>
      <c r="AD1076" s="258">
        <v>0</v>
      </c>
      <c r="AE1076" s="258">
        <v>404.2</v>
      </c>
      <c r="AF1076" s="257">
        <f>6238.91*AE1076/I1076</f>
        <v>7807.3294798761599</v>
      </c>
      <c r="AG1076" s="258">
        <v>0</v>
      </c>
      <c r="AH1076" s="257">
        <v>0</v>
      </c>
      <c r="AI1076" s="258">
        <v>0</v>
      </c>
      <c r="AJ1076" s="257">
        <v>0</v>
      </c>
      <c r="AK1076" s="258">
        <v>0</v>
      </c>
      <c r="AL1076" s="258">
        <v>0</v>
      </c>
      <c r="AM1076" s="258">
        <v>0</v>
      </c>
      <c r="AN1076" s="258"/>
      <c r="AO1076" s="258">
        <v>0</v>
      </c>
    </row>
    <row r="1077" spans="1:41" s="259" customFormat="1" ht="36" customHeight="1" x14ac:dyDescent="0.25">
      <c r="B1077" s="94" t="s">
        <v>763</v>
      </c>
      <c r="C1077" s="261"/>
      <c r="D1077" s="124" t="s">
        <v>896</v>
      </c>
      <c r="E1077" s="124" t="s">
        <v>896</v>
      </c>
      <c r="F1077" s="124" t="s">
        <v>896</v>
      </c>
      <c r="G1077" s="124" t="s">
        <v>896</v>
      </c>
      <c r="H1077" s="124" t="s">
        <v>896</v>
      </c>
      <c r="I1077" s="125">
        <f>SUM(I1078:I1103)</f>
        <v>49658.150000000009</v>
      </c>
      <c r="J1077" s="125">
        <f>SUM(J1078:J1103)</f>
        <v>45628.960000000006</v>
      </c>
      <c r="K1077" s="125">
        <f>SUM(K1078:K1103)</f>
        <v>40475.899999999994</v>
      </c>
      <c r="L1077" s="126">
        <f>SUM(L1078:L1103)</f>
        <v>2164</v>
      </c>
      <c r="M1077" s="124" t="s">
        <v>896</v>
      </c>
      <c r="N1077" s="124" t="s">
        <v>896</v>
      </c>
      <c r="O1077" s="127" t="s">
        <v>896</v>
      </c>
      <c r="P1077" s="125">
        <v>90625537.659999982</v>
      </c>
      <c r="Q1077" s="125">
        <f>SUM(Q1078:Q1103)</f>
        <v>0</v>
      </c>
      <c r="R1077" s="125">
        <f>SUM(R1078:R1103)</f>
        <v>0</v>
      </c>
      <c r="S1077" s="125">
        <f>SUM(S1078:S1103)</f>
        <v>90625537.659999982</v>
      </c>
      <c r="T1077" s="128">
        <f t="shared" si="327"/>
        <v>1824.9881975063502</v>
      </c>
      <c r="U1077" s="128">
        <f>MAX(U1078:U1103)</f>
        <v>6189.9626540684631</v>
      </c>
      <c r="V1077" s="257">
        <f t="shared" si="333"/>
        <v>4364.9744565621131</v>
      </c>
      <c r="W1077" s="257"/>
      <c r="X1077" s="257"/>
      <c r="Y1077" s="258"/>
      <c r="Z1077" s="258"/>
      <c r="AA1077" s="258"/>
      <c r="AB1077" s="258"/>
      <c r="AC1077" s="258"/>
      <c r="AD1077" s="258"/>
      <c r="AE1077" s="258"/>
      <c r="AF1077" s="258"/>
      <c r="AG1077" s="258"/>
      <c r="AH1077" s="258"/>
      <c r="AI1077" s="258"/>
      <c r="AJ1077" s="258"/>
      <c r="AK1077" s="258"/>
      <c r="AL1077" s="258"/>
      <c r="AM1077" s="258"/>
      <c r="AN1077" s="258"/>
      <c r="AO1077" s="258"/>
    </row>
    <row r="1078" spans="1:41" s="259" customFormat="1" ht="36" customHeight="1" x14ac:dyDescent="0.25">
      <c r="A1078" s="259">
        <v>1</v>
      </c>
      <c r="B1078" s="135">
        <f>SUBTOTAL(103,$A$1000:A1078)</f>
        <v>77</v>
      </c>
      <c r="C1078" s="94" t="s">
        <v>425</v>
      </c>
      <c r="D1078" s="124">
        <v>1959</v>
      </c>
      <c r="E1078" s="124"/>
      <c r="F1078" s="129" t="s">
        <v>269</v>
      </c>
      <c r="G1078" s="124">
        <v>3</v>
      </c>
      <c r="H1078" s="124" t="s">
        <v>310</v>
      </c>
      <c r="I1078" s="125">
        <v>2102.6</v>
      </c>
      <c r="J1078" s="125">
        <v>1922.7</v>
      </c>
      <c r="K1078" s="125">
        <v>1915.7</v>
      </c>
      <c r="L1078" s="126">
        <v>71</v>
      </c>
      <c r="M1078" s="124" t="s">
        <v>267</v>
      </c>
      <c r="N1078" s="124" t="s">
        <v>271</v>
      </c>
      <c r="O1078" s="127" t="s">
        <v>327</v>
      </c>
      <c r="P1078" s="128">
        <v>4487224.8899999997</v>
      </c>
      <c r="Q1078" s="128">
        <v>0</v>
      </c>
      <c r="R1078" s="128">
        <v>0</v>
      </c>
      <c r="S1078" s="128">
        <f t="shared" ref="S1078:S1103" si="336">P1078-Q1078-R1078</f>
        <v>4487224.8899999997</v>
      </c>
      <c r="T1078" s="128">
        <f t="shared" si="327"/>
        <v>2134.1314990963569</v>
      </c>
      <c r="U1078" s="128">
        <v>2768.941643679254</v>
      </c>
      <c r="V1078" s="257">
        <f t="shared" si="333"/>
        <v>634.81014458289701</v>
      </c>
      <c r="W1078" s="257">
        <f t="shared" ref="W1078:W1103" si="337">X1078+Y1078+Z1078+AA1078+AB1078+AD1078+AF1078+AH1078+AJ1078+AL1078+AN1078+AO1078</f>
        <v>2759.529297060782</v>
      </c>
      <c r="X1078" s="257">
        <v>0</v>
      </c>
      <c r="Y1078" s="258">
        <v>0</v>
      </c>
      <c r="Z1078" s="258">
        <v>0</v>
      </c>
      <c r="AA1078" s="258">
        <v>0</v>
      </c>
      <c r="AB1078" s="258">
        <v>0</v>
      </c>
      <c r="AC1078" s="258">
        <v>0</v>
      </c>
      <c r="AD1078" s="258">
        <v>0</v>
      </c>
      <c r="AE1078" s="258">
        <v>930</v>
      </c>
      <c r="AF1078" s="257">
        <f>6238.91*AE1078/I1078</f>
        <v>2759.529297060782</v>
      </c>
      <c r="AG1078" s="258">
        <v>0</v>
      </c>
      <c r="AH1078" s="257">
        <v>0</v>
      </c>
      <c r="AI1078" s="258">
        <v>0</v>
      </c>
      <c r="AJ1078" s="257">
        <v>0</v>
      </c>
      <c r="AK1078" s="258">
        <v>0</v>
      </c>
      <c r="AL1078" s="258">
        <v>0</v>
      </c>
      <c r="AM1078" s="258">
        <v>0</v>
      </c>
      <c r="AN1078" s="258"/>
      <c r="AO1078" s="258">
        <v>0</v>
      </c>
    </row>
    <row r="1079" spans="1:41" s="259" customFormat="1" ht="36" customHeight="1" x14ac:dyDescent="0.25">
      <c r="A1079" s="259">
        <v>1</v>
      </c>
      <c r="B1079" s="135">
        <f>SUBTOTAL(103,$A$1000:A1079)</f>
        <v>78</v>
      </c>
      <c r="C1079" s="94" t="s">
        <v>426</v>
      </c>
      <c r="D1079" s="124">
        <v>1989</v>
      </c>
      <c r="E1079" s="124"/>
      <c r="F1079" s="129" t="s">
        <v>269</v>
      </c>
      <c r="G1079" s="124">
        <v>5</v>
      </c>
      <c r="H1079" s="124" t="s">
        <v>314</v>
      </c>
      <c r="I1079" s="125">
        <v>2042.1</v>
      </c>
      <c r="J1079" s="125">
        <v>1817.7</v>
      </c>
      <c r="K1079" s="125">
        <v>1675.9</v>
      </c>
      <c r="L1079" s="126">
        <v>83</v>
      </c>
      <c r="M1079" s="124" t="s">
        <v>267</v>
      </c>
      <c r="N1079" s="124" t="s">
        <v>271</v>
      </c>
      <c r="O1079" s="127" t="s">
        <v>996</v>
      </c>
      <c r="P1079" s="128">
        <v>3810770.28</v>
      </c>
      <c r="Q1079" s="128">
        <v>0</v>
      </c>
      <c r="R1079" s="128">
        <v>0</v>
      </c>
      <c r="S1079" s="128">
        <f t="shared" si="336"/>
        <v>3810770.28</v>
      </c>
      <c r="T1079" s="128">
        <f t="shared" si="327"/>
        <v>1866.1036579991185</v>
      </c>
      <c r="U1079" s="128">
        <v>3608.58</v>
      </c>
      <c r="V1079" s="257">
        <f t="shared" si="333"/>
        <v>1742.4763420008815</v>
      </c>
      <c r="W1079" s="257">
        <f t="shared" si="337"/>
        <v>1814.755663287792</v>
      </c>
      <c r="X1079" s="257">
        <v>0</v>
      </c>
      <c r="Y1079" s="258">
        <v>0</v>
      </c>
      <c r="Z1079" s="258">
        <v>0</v>
      </c>
      <c r="AA1079" s="258">
        <v>0</v>
      </c>
      <c r="AB1079" s="258">
        <v>0</v>
      </c>
      <c r="AC1079" s="258">
        <v>0</v>
      </c>
      <c r="AD1079" s="258">
        <v>0</v>
      </c>
      <c r="AE1079" s="258">
        <v>594</v>
      </c>
      <c r="AF1079" s="257">
        <f>6238.91*AE1079/I1079</f>
        <v>1814.755663287792</v>
      </c>
      <c r="AG1079" s="258">
        <v>0</v>
      </c>
      <c r="AH1079" s="257">
        <v>0</v>
      </c>
      <c r="AI1079" s="258">
        <v>0</v>
      </c>
      <c r="AJ1079" s="257">
        <v>0</v>
      </c>
      <c r="AK1079" s="258">
        <v>0</v>
      </c>
      <c r="AL1079" s="258">
        <v>0</v>
      </c>
      <c r="AM1079" s="258">
        <v>0</v>
      </c>
      <c r="AN1079" s="258"/>
      <c r="AO1079" s="258">
        <v>0</v>
      </c>
    </row>
    <row r="1080" spans="1:41" s="259" customFormat="1" ht="36" customHeight="1" x14ac:dyDescent="0.25">
      <c r="A1080" s="259">
        <v>1</v>
      </c>
      <c r="B1080" s="135">
        <f>SUBTOTAL(103,$A$1000:A1080)</f>
        <v>79</v>
      </c>
      <c r="C1080" s="94" t="s">
        <v>427</v>
      </c>
      <c r="D1080" s="124">
        <v>1972</v>
      </c>
      <c r="E1080" s="124"/>
      <c r="F1080" s="129" t="s">
        <v>269</v>
      </c>
      <c r="G1080" s="124">
        <v>5</v>
      </c>
      <c r="H1080" s="124" t="s">
        <v>310</v>
      </c>
      <c r="I1080" s="125">
        <v>3577.12</v>
      </c>
      <c r="J1080" s="125">
        <v>3306.9</v>
      </c>
      <c r="K1080" s="125">
        <v>2940.98</v>
      </c>
      <c r="L1080" s="126">
        <v>152</v>
      </c>
      <c r="M1080" s="124" t="s">
        <v>267</v>
      </c>
      <c r="N1080" s="124" t="s">
        <v>271</v>
      </c>
      <c r="O1080" s="127" t="s">
        <v>330</v>
      </c>
      <c r="P1080" s="128">
        <v>5394319.6899999995</v>
      </c>
      <c r="Q1080" s="128">
        <v>0</v>
      </c>
      <c r="R1080" s="128">
        <v>0</v>
      </c>
      <c r="S1080" s="128">
        <f t="shared" si="336"/>
        <v>5394319.6899999995</v>
      </c>
      <c r="T1080" s="128">
        <f t="shared" si="327"/>
        <v>1508.0063542738292</v>
      </c>
      <c r="U1080" s="128">
        <v>1956.5718846446302</v>
      </c>
      <c r="V1080" s="257">
        <f t="shared" si="333"/>
        <v>448.56553037080107</v>
      </c>
      <c r="W1080" s="257">
        <f t="shared" si="337"/>
        <v>1949.9209923066601</v>
      </c>
      <c r="X1080" s="257">
        <v>0</v>
      </c>
      <c r="Y1080" s="258">
        <v>0</v>
      </c>
      <c r="Z1080" s="258">
        <v>0</v>
      </c>
      <c r="AA1080" s="258">
        <v>0</v>
      </c>
      <c r="AB1080" s="258">
        <v>0</v>
      </c>
      <c r="AC1080" s="258">
        <v>0</v>
      </c>
      <c r="AD1080" s="258">
        <v>0</v>
      </c>
      <c r="AE1080" s="258">
        <v>1118</v>
      </c>
      <c r="AF1080" s="257">
        <f>6238.91*AE1080/I1080</f>
        <v>1949.9209923066601</v>
      </c>
      <c r="AG1080" s="258">
        <v>0</v>
      </c>
      <c r="AH1080" s="257">
        <v>0</v>
      </c>
      <c r="AI1080" s="258">
        <v>0</v>
      </c>
      <c r="AJ1080" s="257">
        <v>0</v>
      </c>
      <c r="AK1080" s="258">
        <v>0</v>
      </c>
      <c r="AL1080" s="258">
        <v>0</v>
      </c>
      <c r="AM1080" s="258">
        <v>0</v>
      </c>
      <c r="AN1080" s="258"/>
      <c r="AO1080" s="258">
        <v>0</v>
      </c>
    </row>
    <row r="1081" spans="1:41" s="259" customFormat="1" ht="36" customHeight="1" x14ac:dyDescent="0.25">
      <c r="A1081" s="259">
        <v>1</v>
      </c>
      <c r="B1081" s="135">
        <f>SUBTOTAL(103,$A$1000:A1081)</f>
        <v>80</v>
      </c>
      <c r="C1081" s="94" t="s">
        <v>428</v>
      </c>
      <c r="D1081" s="124">
        <v>1955</v>
      </c>
      <c r="E1081" s="124"/>
      <c r="F1081" s="129" t="s">
        <v>269</v>
      </c>
      <c r="G1081" s="124">
        <v>2</v>
      </c>
      <c r="H1081" s="124" t="s">
        <v>314</v>
      </c>
      <c r="I1081" s="125">
        <v>1501.5</v>
      </c>
      <c r="J1081" s="125">
        <v>1386.8</v>
      </c>
      <c r="K1081" s="125">
        <v>1250.54</v>
      </c>
      <c r="L1081" s="126">
        <v>46</v>
      </c>
      <c r="M1081" s="124" t="s">
        <v>267</v>
      </c>
      <c r="N1081" s="124" t="s">
        <v>271</v>
      </c>
      <c r="O1081" s="127" t="s">
        <v>330</v>
      </c>
      <c r="P1081" s="128">
        <v>5949950</v>
      </c>
      <c r="Q1081" s="128">
        <v>0</v>
      </c>
      <c r="R1081" s="128">
        <v>0</v>
      </c>
      <c r="S1081" s="128">
        <f t="shared" si="336"/>
        <v>5949950</v>
      </c>
      <c r="T1081" s="128">
        <f t="shared" si="327"/>
        <v>3962.6706626706628</v>
      </c>
      <c r="U1081" s="128">
        <v>5202.1678321678319</v>
      </c>
      <c r="V1081" s="257">
        <f t="shared" si="333"/>
        <v>1239.4971694971691</v>
      </c>
      <c r="W1081" s="257">
        <f t="shared" si="337"/>
        <v>5202.1678321678319</v>
      </c>
      <c r="X1081" s="257">
        <v>0</v>
      </c>
      <c r="Y1081" s="258">
        <v>0</v>
      </c>
      <c r="Z1081" s="258">
        <v>0</v>
      </c>
      <c r="AA1081" s="258">
        <v>0</v>
      </c>
      <c r="AB1081" s="258">
        <v>0</v>
      </c>
      <c r="AC1081" s="258">
        <v>0</v>
      </c>
      <c r="AD1081" s="258">
        <v>0</v>
      </c>
      <c r="AE1081" s="258">
        <v>0</v>
      </c>
      <c r="AF1081" s="257">
        <v>0</v>
      </c>
      <c r="AG1081" s="258">
        <v>0</v>
      </c>
      <c r="AH1081" s="257">
        <v>0</v>
      </c>
      <c r="AI1081" s="258">
        <v>1050</v>
      </c>
      <c r="AJ1081" s="257">
        <f>7439.1*AI1081/I1081</f>
        <v>5202.1678321678319</v>
      </c>
      <c r="AK1081" s="258">
        <v>0</v>
      </c>
      <c r="AL1081" s="258">
        <v>0</v>
      </c>
      <c r="AM1081" s="258">
        <v>0</v>
      </c>
      <c r="AN1081" s="258"/>
      <c r="AO1081" s="258">
        <v>0</v>
      </c>
    </row>
    <row r="1082" spans="1:41" s="259" customFormat="1" ht="36" customHeight="1" x14ac:dyDescent="0.25">
      <c r="A1082" s="259">
        <v>1</v>
      </c>
      <c r="B1082" s="135">
        <f>SUBTOTAL(103,$A$1000:A1082)</f>
        <v>81</v>
      </c>
      <c r="C1082" s="94" t="s">
        <v>421</v>
      </c>
      <c r="D1082" s="124">
        <v>1846</v>
      </c>
      <c r="E1082" s="124"/>
      <c r="F1082" s="129" t="s">
        <v>269</v>
      </c>
      <c r="G1082" s="124">
        <v>2</v>
      </c>
      <c r="H1082" s="124" t="s">
        <v>306</v>
      </c>
      <c r="I1082" s="125">
        <v>378.89</v>
      </c>
      <c r="J1082" s="125">
        <v>325.39999999999998</v>
      </c>
      <c r="K1082" s="125">
        <v>325.39999999999998</v>
      </c>
      <c r="L1082" s="126">
        <v>17</v>
      </c>
      <c r="M1082" s="124" t="s">
        <v>267</v>
      </c>
      <c r="N1082" s="124" t="s">
        <v>268</v>
      </c>
      <c r="O1082" s="127" t="s">
        <v>270</v>
      </c>
      <c r="P1082" s="128">
        <v>2345314.9499999997</v>
      </c>
      <c r="Q1082" s="128">
        <v>0</v>
      </c>
      <c r="R1082" s="128">
        <v>0</v>
      </c>
      <c r="S1082" s="128">
        <f t="shared" si="336"/>
        <v>2345314.9499999997</v>
      </c>
      <c r="T1082" s="128">
        <f t="shared" si="327"/>
        <v>6189.9626540684631</v>
      </c>
      <c r="U1082" s="128">
        <v>6189.9626540684631</v>
      </c>
      <c r="V1082" s="257">
        <f t="shared" si="333"/>
        <v>0</v>
      </c>
      <c r="W1082" s="257">
        <f t="shared" si="337"/>
        <v>12086.251788117923</v>
      </c>
      <c r="X1082" s="257">
        <v>0</v>
      </c>
      <c r="Y1082" s="258">
        <v>0</v>
      </c>
      <c r="Z1082" s="258">
        <v>0</v>
      </c>
      <c r="AA1082" s="258">
        <v>0</v>
      </c>
      <c r="AB1082" s="258">
        <v>0</v>
      </c>
      <c r="AC1082" s="258">
        <v>0</v>
      </c>
      <c r="AD1082" s="258">
        <v>0</v>
      </c>
      <c r="AE1082" s="258">
        <v>734</v>
      </c>
      <c r="AF1082" s="257">
        <f>6238.91*AE1082/I1082</f>
        <v>12086.251788117923</v>
      </c>
      <c r="AG1082" s="258">
        <v>0</v>
      </c>
      <c r="AH1082" s="257">
        <v>0</v>
      </c>
      <c r="AI1082" s="258">
        <v>0</v>
      </c>
      <c r="AJ1082" s="257">
        <v>0</v>
      </c>
      <c r="AK1082" s="258">
        <v>0</v>
      </c>
      <c r="AL1082" s="258">
        <v>0</v>
      </c>
      <c r="AM1082" s="258">
        <v>0</v>
      </c>
      <c r="AN1082" s="258"/>
      <c r="AO1082" s="258">
        <v>0</v>
      </c>
    </row>
    <row r="1083" spans="1:41" s="259" customFormat="1" ht="36" customHeight="1" x14ac:dyDescent="0.25">
      <c r="A1083" s="259">
        <v>1</v>
      </c>
      <c r="B1083" s="135">
        <f>SUBTOTAL(103,$A$1000:A1083)</f>
        <v>82</v>
      </c>
      <c r="C1083" s="94" t="s">
        <v>430</v>
      </c>
      <c r="D1083" s="124">
        <v>1969</v>
      </c>
      <c r="E1083" s="124"/>
      <c r="F1083" s="129" t="s">
        <v>269</v>
      </c>
      <c r="G1083" s="124">
        <v>5</v>
      </c>
      <c r="H1083" s="124" t="s">
        <v>373</v>
      </c>
      <c r="I1083" s="125">
        <v>4890.1099999999997</v>
      </c>
      <c r="J1083" s="125">
        <v>4490.3999999999996</v>
      </c>
      <c r="K1083" s="125">
        <v>4177.2300000000005</v>
      </c>
      <c r="L1083" s="126">
        <v>210</v>
      </c>
      <c r="M1083" s="124" t="s">
        <v>267</v>
      </c>
      <c r="N1083" s="124" t="s">
        <v>271</v>
      </c>
      <c r="O1083" s="127" t="s">
        <v>323</v>
      </c>
      <c r="P1083" s="128">
        <v>8270003.5300000003</v>
      </c>
      <c r="Q1083" s="128">
        <v>0</v>
      </c>
      <c r="R1083" s="128">
        <v>0</v>
      </c>
      <c r="S1083" s="128">
        <f t="shared" si="336"/>
        <v>8270003.5300000003</v>
      </c>
      <c r="T1083" s="128">
        <f t="shared" si="327"/>
        <v>1691.1692231872087</v>
      </c>
      <c r="U1083" s="128">
        <v>2194.2176474557832</v>
      </c>
      <c r="V1083" s="257">
        <f t="shared" si="333"/>
        <v>503.04842426857454</v>
      </c>
      <c r="W1083" s="257">
        <f t="shared" si="337"/>
        <v>2186.7589358930577</v>
      </c>
      <c r="X1083" s="257">
        <v>0</v>
      </c>
      <c r="Y1083" s="258">
        <v>0</v>
      </c>
      <c r="Z1083" s="258">
        <v>0</v>
      </c>
      <c r="AA1083" s="258">
        <v>0</v>
      </c>
      <c r="AB1083" s="258">
        <v>0</v>
      </c>
      <c r="AC1083" s="258">
        <v>0</v>
      </c>
      <c r="AD1083" s="258">
        <v>0</v>
      </c>
      <c r="AE1083" s="258">
        <v>1714</v>
      </c>
      <c r="AF1083" s="257">
        <f>6238.91*AE1083/I1083</f>
        <v>2186.7589358930577</v>
      </c>
      <c r="AG1083" s="258">
        <v>0</v>
      </c>
      <c r="AH1083" s="257">
        <v>0</v>
      </c>
      <c r="AI1083" s="258">
        <v>0</v>
      </c>
      <c r="AJ1083" s="257">
        <v>0</v>
      </c>
      <c r="AK1083" s="258">
        <v>0</v>
      </c>
      <c r="AL1083" s="258">
        <v>0</v>
      </c>
      <c r="AM1083" s="258">
        <v>0</v>
      </c>
      <c r="AN1083" s="258"/>
      <c r="AO1083" s="258">
        <v>0</v>
      </c>
    </row>
    <row r="1084" spans="1:41" s="259" customFormat="1" ht="36" customHeight="1" x14ac:dyDescent="0.25">
      <c r="A1084" s="259">
        <v>1</v>
      </c>
      <c r="B1084" s="135">
        <f>SUBTOTAL(103,$A$1000:A1084)</f>
        <v>83</v>
      </c>
      <c r="C1084" s="94" t="s">
        <v>431</v>
      </c>
      <c r="D1084" s="124">
        <v>1961</v>
      </c>
      <c r="E1084" s="124"/>
      <c r="F1084" s="129" t="s">
        <v>269</v>
      </c>
      <c r="G1084" s="124">
        <v>2</v>
      </c>
      <c r="H1084" s="124" t="s">
        <v>305</v>
      </c>
      <c r="I1084" s="125">
        <v>824.04</v>
      </c>
      <c r="J1084" s="125">
        <v>777.74</v>
      </c>
      <c r="K1084" s="125">
        <v>728.73</v>
      </c>
      <c r="L1084" s="126">
        <v>37</v>
      </c>
      <c r="M1084" s="124" t="s">
        <v>267</v>
      </c>
      <c r="N1084" s="124" t="s">
        <v>271</v>
      </c>
      <c r="O1084" s="127" t="s">
        <v>327</v>
      </c>
      <c r="P1084" s="128">
        <v>2894983.73</v>
      </c>
      <c r="Q1084" s="128">
        <v>0</v>
      </c>
      <c r="R1084" s="128">
        <v>0</v>
      </c>
      <c r="S1084" s="128">
        <f t="shared" si="336"/>
        <v>2894983.73</v>
      </c>
      <c r="T1084" s="128">
        <f t="shared" si="327"/>
        <v>3513.1592277073928</v>
      </c>
      <c r="U1084" s="128">
        <v>4558.1695063346433</v>
      </c>
      <c r="V1084" s="257">
        <f t="shared" si="333"/>
        <v>1045.0102786272505</v>
      </c>
      <c r="W1084" s="257">
        <f t="shared" si="337"/>
        <v>4542.6751128585993</v>
      </c>
      <c r="X1084" s="257">
        <v>0</v>
      </c>
      <c r="Y1084" s="258">
        <v>0</v>
      </c>
      <c r="Z1084" s="258">
        <v>0</v>
      </c>
      <c r="AA1084" s="258">
        <v>0</v>
      </c>
      <c r="AB1084" s="258">
        <v>0</v>
      </c>
      <c r="AC1084" s="258">
        <v>0</v>
      </c>
      <c r="AD1084" s="258">
        <v>0</v>
      </c>
      <c r="AE1084" s="258">
        <v>600</v>
      </c>
      <c r="AF1084" s="257">
        <f>6238.91*AE1084/I1084</f>
        <v>4542.6751128585993</v>
      </c>
      <c r="AG1084" s="258">
        <v>0</v>
      </c>
      <c r="AH1084" s="257">
        <v>0</v>
      </c>
      <c r="AI1084" s="258">
        <v>0</v>
      </c>
      <c r="AJ1084" s="257">
        <v>0</v>
      </c>
      <c r="AK1084" s="258">
        <v>0</v>
      </c>
      <c r="AL1084" s="258">
        <v>0</v>
      </c>
      <c r="AM1084" s="258">
        <v>0</v>
      </c>
      <c r="AN1084" s="258"/>
      <c r="AO1084" s="258">
        <v>0</v>
      </c>
    </row>
    <row r="1085" spans="1:41" s="259" customFormat="1" ht="36" customHeight="1" x14ac:dyDescent="0.25">
      <c r="A1085" s="259">
        <v>1</v>
      </c>
      <c r="B1085" s="135">
        <f>SUBTOTAL(103,$A$1000:A1085)</f>
        <v>84</v>
      </c>
      <c r="C1085" s="94" t="s">
        <v>1714</v>
      </c>
      <c r="D1085" s="124">
        <v>1980</v>
      </c>
      <c r="E1085" s="124"/>
      <c r="F1085" s="129" t="s">
        <v>269</v>
      </c>
      <c r="G1085" s="124">
        <v>5</v>
      </c>
      <c r="H1085" s="124" t="s">
        <v>305</v>
      </c>
      <c r="I1085" s="125">
        <v>1589.4</v>
      </c>
      <c r="J1085" s="125">
        <v>1176.4000000000001</v>
      </c>
      <c r="K1085" s="125">
        <v>1117.8000000000002</v>
      </c>
      <c r="L1085" s="126">
        <v>61</v>
      </c>
      <c r="M1085" s="124" t="s">
        <v>267</v>
      </c>
      <c r="N1085" s="124" t="s">
        <v>271</v>
      </c>
      <c r="O1085" s="127" t="s">
        <v>327</v>
      </c>
      <c r="P1085" s="128">
        <v>1688740.5100000002</v>
      </c>
      <c r="Q1085" s="128">
        <v>0</v>
      </c>
      <c r="R1085" s="128">
        <v>0</v>
      </c>
      <c r="S1085" s="128">
        <f t="shared" si="336"/>
        <v>1688740.5100000002</v>
      </c>
      <c r="T1085" s="128">
        <f t="shared" si="327"/>
        <v>1062.5018937964012</v>
      </c>
      <c r="U1085" s="128">
        <v>1378.5494526236314</v>
      </c>
      <c r="V1085" s="257">
        <f t="shared" si="333"/>
        <v>316.0475588272302</v>
      </c>
      <c r="W1085" s="257">
        <f t="shared" si="337"/>
        <v>1373.8634075751854</v>
      </c>
      <c r="X1085" s="257">
        <v>0</v>
      </c>
      <c r="Y1085" s="258">
        <v>0</v>
      </c>
      <c r="Z1085" s="258">
        <v>0</v>
      </c>
      <c r="AA1085" s="258">
        <v>0</v>
      </c>
      <c r="AB1085" s="258">
        <v>0</v>
      </c>
      <c r="AC1085" s="258">
        <v>0</v>
      </c>
      <c r="AD1085" s="258">
        <v>0</v>
      </c>
      <c r="AE1085" s="258">
        <v>350</v>
      </c>
      <c r="AF1085" s="257">
        <f>6238.91*AE1085/I1085</f>
        <v>1373.8634075751854</v>
      </c>
      <c r="AG1085" s="258">
        <v>0</v>
      </c>
      <c r="AH1085" s="257">
        <v>0</v>
      </c>
      <c r="AI1085" s="258">
        <v>0</v>
      </c>
      <c r="AJ1085" s="257">
        <v>0</v>
      </c>
      <c r="AK1085" s="258">
        <v>0</v>
      </c>
      <c r="AL1085" s="258">
        <v>0</v>
      </c>
      <c r="AM1085" s="258">
        <v>0</v>
      </c>
      <c r="AN1085" s="258"/>
      <c r="AO1085" s="258">
        <v>0</v>
      </c>
    </row>
    <row r="1086" spans="1:41" s="259" customFormat="1" ht="36" customHeight="1" x14ac:dyDescent="0.25">
      <c r="A1086" s="259">
        <v>1</v>
      </c>
      <c r="B1086" s="135">
        <f>SUBTOTAL(103,$A$1000:A1086)</f>
        <v>85</v>
      </c>
      <c r="C1086" s="94" t="s">
        <v>205</v>
      </c>
      <c r="D1086" s="124">
        <v>1983</v>
      </c>
      <c r="E1086" s="124"/>
      <c r="F1086" s="129" t="s">
        <v>269</v>
      </c>
      <c r="G1086" s="124">
        <v>5</v>
      </c>
      <c r="H1086" s="124" t="s">
        <v>310</v>
      </c>
      <c r="I1086" s="125">
        <v>3097.1</v>
      </c>
      <c r="J1086" s="125">
        <v>2812.2</v>
      </c>
      <c r="K1086" s="125">
        <v>2810.6</v>
      </c>
      <c r="L1086" s="126">
        <v>133</v>
      </c>
      <c r="M1086" s="124" t="s">
        <v>267</v>
      </c>
      <c r="N1086" s="124" t="s">
        <v>271</v>
      </c>
      <c r="O1086" s="127" t="s">
        <v>996</v>
      </c>
      <c r="P1086" s="128">
        <v>4821497.92</v>
      </c>
      <c r="Q1086" s="128">
        <v>0</v>
      </c>
      <c r="R1086" s="128">
        <v>0</v>
      </c>
      <c r="S1086" s="128">
        <f t="shared" si="336"/>
        <v>4821497.92</v>
      </c>
      <c r="T1086" s="128">
        <f t="shared" si="327"/>
        <v>1556.7782506215492</v>
      </c>
      <c r="U1086" s="128">
        <v>2019.2857221271511</v>
      </c>
      <c r="V1086" s="257">
        <f t="shared" si="333"/>
        <v>462.50747150560187</v>
      </c>
      <c r="W1086" s="257">
        <f t="shared" si="337"/>
        <v>2012.4216492848147</v>
      </c>
      <c r="X1086" s="257">
        <v>0</v>
      </c>
      <c r="Y1086" s="258">
        <v>0</v>
      </c>
      <c r="Z1086" s="258">
        <v>0</v>
      </c>
      <c r="AA1086" s="258">
        <v>0</v>
      </c>
      <c r="AB1086" s="258">
        <v>0</v>
      </c>
      <c r="AC1086" s="258">
        <v>0</v>
      </c>
      <c r="AD1086" s="258">
        <v>0</v>
      </c>
      <c r="AE1086" s="258">
        <v>999</v>
      </c>
      <c r="AF1086" s="257">
        <f>6238.91*AE1086/I1086</f>
        <v>2012.4216492848147</v>
      </c>
      <c r="AG1086" s="258">
        <v>0</v>
      </c>
      <c r="AH1086" s="257">
        <v>0</v>
      </c>
      <c r="AI1086" s="258">
        <v>0</v>
      </c>
      <c r="AJ1086" s="257">
        <v>0</v>
      </c>
      <c r="AK1086" s="258">
        <v>0</v>
      </c>
      <c r="AL1086" s="258">
        <v>0</v>
      </c>
      <c r="AM1086" s="258">
        <v>0</v>
      </c>
      <c r="AN1086" s="258"/>
      <c r="AO1086" s="258">
        <v>0</v>
      </c>
    </row>
    <row r="1087" spans="1:41" s="259" customFormat="1" ht="36" customHeight="1" x14ac:dyDescent="0.25">
      <c r="A1087" s="259">
        <v>1</v>
      </c>
      <c r="B1087" s="135">
        <f>SUBTOTAL(103,$A$1000:A1087)</f>
        <v>86</v>
      </c>
      <c r="C1087" s="94" t="s">
        <v>206</v>
      </c>
      <c r="D1087" s="124">
        <v>1963</v>
      </c>
      <c r="E1087" s="124"/>
      <c r="F1087" s="129" t="s">
        <v>269</v>
      </c>
      <c r="G1087" s="124">
        <v>2</v>
      </c>
      <c r="H1087" s="124" t="s">
        <v>305</v>
      </c>
      <c r="I1087" s="125">
        <v>444.9</v>
      </c>
      <c r="J1087" s="125">
        <v>444.9</v>
      </c>
      <c r="K1087" s="125">
        <v>442.2</v>
      </c>
      <c r="L1087" s="126">
        <v>17</v>
      </c>
      <c r="M1087" s="124" t="s">
        <v>267</v>
      </c>
      <c r="N1087" s="124" t="s">
        <v>271</v>
      </c>
      <c r="O1087" s="127" t="s">
        <v>328</v>
      </c>
      <c r="P1087" s="128">
        <v>527907</v>
      </c>
      <c r="Q1087" s="128">
        <v>0</v>
      </c>
      <c r="R1087" s="128">
        <v>0</v>
      </c>
      <c r="S1087" s="128">
        <f t="shared" si="336"/>
        <v>527907</v>
      </c>
      <c r="T1087" s="128">
        <f t="shared" si="327"/>
        <v>1186.5745111260958</v>
      </c>
      <c r="U1087" s="128">
        <v>1186.5745111260958</v>
      </c>
      <c r="V1087" s="257">
        <f t="shared" si="333"/>
        <v>0</v>
      </c>
      <c r="W1087" s="257">
        <f t="shared" ref="W1087:W1089" si="338">T1087</f>
        <v>1186.5745111260958</v>
      </c>
      <c r="X1087" s="257">
        <v>0</v>
      </c>
      <c r="Y1087" s="258">
        <v>0</v>
      </c>
      <c r="Z1087" s="258">
        <v>0</v>
      </c>
      <c r="AA1087" s="258">
        <v>0</v>
      </c>
      <c r="AB1087" s="258">
        <v>810.46</v>
      </c>
      <c r="AC1087" s="258">
        <v>0</v>
      </c>
      <c r="AD1087" s="258">
        <v>0</v>
      </c>
      <c r="AE1087" s="258">
        <v>0</v>
      </c>
      <c r="AF1087" s="257">
        <v>0</v>
      </c>
      <c r="AG1087" s="258">
        <v>0</v>
      </c>
      <c r="AH1087" s="257">
        <v>0</v>
      </c>
      <c r="AI1087" s="258">
        <v>0</v>
      </c>
      <c r="AJ1087" s="257">
        <v>0</v>
      </c>
      <c r="AK1087" s="258">
        <v>0</v>
      </c>
      <c r="AL1087" s="258">
        <v>0</v>
      </c>
      <c r="AM1087" s="258">
        <v>0</v>
      </c>
      <c r="AN1087" s="258"/>
      <c r="AO1087" s="258">
        <v>0</v>
      </c>
    </row>
    <row r="1088" spans="1:41" s="259" customFormat="1" ht="36" customHeight="1" x14ac:dyDescent="0.25">
      <c r="A1088" s="259">
        <v>1</v>
      </c>
      <c r="B1088" s="135">
        <f>SUBTOTAL(103,$A$1000:A1088)</f>
        <v>87</v>
      </c>
      <c r="C1088" s="94" t="s">
        <v>207</v>
      </c>
      <c r="D1088" s="124">
        <v>1969</v>
      </c>
      <c r="E1088" s="124"/>
      <c r="F1088" s="129" t="s">
        <v>269</v>
      </c>
      <c r="G1088" s="124">
        <v>2</v>
      </c>
      <c r="H1088" s="124" t="s">
        <v>305</v>
      </c>
      <c r="I1088" s="125">
        <v>589.1</v>
      </c>
      <c r="J1088" s="125">
        <v>589.1</v>
      </c>
      <c r="K1088" s="125">
        <v>537.5</v>
      </c>
      <c r="L1088" s="126">
        <v>31</v>
      </c>
      <c r="M1088" s="124" t="s">
        <v>267</v>
      </c>
      <c r="N1088" s="124" t="s">
        <v>271</v>
      </c>
      <c r="O1088" s="127" t="s">
        <v>328</v>
      </c>
      <c r="P1088" s="128">
        <v>702281</v>
      </c>
      <c r="Q1088" s="128">
        <v>0</v>
      </c>
      <c r="R1088" s="128">
        <v>0</v>
      </c>
      <c r="S1088" s="128">
        <f t="shared" si="336"/>
        <v>702281</v>
      </c>
      <c r="T1088" s="128">
        <f t="shared" si="327"/>
        <v>1192.1252758445085</v>
      </c>
      <c r="U1088" s="128">
        <v>1192.1252758445085</v>
      </c>
      <c r="V1088" s="257">
        <f t="shared" si="333"/>
        <v>0</v>
      </c>
      <c r="W1088" s="257">
        <f t="shared" si="338"/>
        <v>1192.1252758445085</v>
      </c>
      <c r="X1088" s="257">
        <v>0</v>
      </c>
      <c r="Y1088" s="258">
        <v>0</v>
      </c>
      <c r="Z1088" s="258">
        <v>0</v>
      </c>
      <c r="AA1088" s="258">
        <v>0</v>
      </c>
      <c r="AB1088" s="258">
        <v>810.46</v>
      </c>
      <c r="AC1088" s="258">
        <v>0</v>
      </c>
      <c r="AD1088" s="258">
        <v>0</v>
      </c>
      <c r="AE1088" s="258">
        <v>0</v>
      </c>
      <c r="AF1088" s="257">
        <v>0</v>
      </c>
      <c r="AG1088" s="258">
        <v>0</v>
      </c>
      <c r="AH1088" s="257">
        <v>0</v>
      </c>
      <c r="AI1088" s="258">
        <v>0</v>
      </c>
      <c r="AJ1088" s="257">
        <v>0</v>
      </c>
      <c r="AK1088" s="258">
        <v>0</v>
      </c>
      <c r="AL1088" s="258">
        <v>0</v>
      </c>
      <c r="AM1088" s="258">
        <v>0</v>
      </c>
      <c r="AN1088" s="258"/>
      <c r="AO1088" s="258">
        <v>0</v>
      </c>
    </row>
    <row r="1089" spans="1:41" s="259" customFormat="1" ht="36" customHeight="1" x14ac:dyDescent="0.25">
      <c r="A1089" s="259">
        <v>1</v>
      </c>
      <c r="B1089" s="135">
        <f>SUBTOTAL(103,$A$1000:A1089)</f>
        <v>88</v>
      </c>
      <c r="C1089" s="94" t="s">
        <v>208</v>
      </c>
      <c r="D1089" s="124">
        <v>1966</v>
      </c>
      <c r="E1089" s="124"/>
      <c r="F1089" s="129" t="s">
        <v>269</v>
      </c>
      <c r="G1089" s="124">
        <v>2</v>
      </c>
      <c r="H1089" s="124" t="s">
        <v>305</v>
      </c>
      <c r="I1089" s="125">
        <v>719.9</v>
      </c>
      <c r="J1089" s="125">
        <v>719.9</v>
      </c>
      <c r="K1089" s="125">
        <v>670.3</v>
      </c>
      <c r="L1089" s="126">
        <v>26</v>
      </c>
      <c r="M1089" s="124" t="s">
        <v>267</v>
      </c>
      <c r="N1089" s="124" t="s">
        <v>271</v>
      </c>
      <c r="O1089" s="127" t="s">
        <v>328</v>
      </c>
      <c r="P1089" s="128">
        <v>801529</v>
      </c>
      <c r="Q1089" s="128">
        <v>0</v>
      </c>
      <c r="R1089" s="128">
        <v>0</v>
      </c>
      <c r="S1089" s="128">
        <f t="shared" si="336"/>
        <v>801529</v>
      </c>
      <c r="T1089" s="128">
        <f t="shared" si="327"/>
        <v>1113.3893596332825</v>
      </c>
      <c r="U1089" s="128">
        <v>1113.3893596332825</v>
      </c>
      <c r="V1089" s="257">
        <f t="shared" si="333"/>
        <v>0</v>
      </c>
      <c r="W1089" s="257">
        <f t="shared" si="338"/>
        <v>1113.3893596332825</v>
      </c>
      <c r="X1089" s="257">
        <v>0</v>
      </c>
      <c r="Y1089" s="258">
        <v>0</v>
      </c>
      <c r="Z1089" s="258">
        <v>0</v>
      </c>
      <c r="AA1089" s="258">
        <v>0</v>
      </c>
      <c r="AB1089" s="258">
        <v>810.46</v>
      </c>
      <c r="AC1089" s="258">
        <v>0</v>
      </c>
      <c r="AD1089" s="258">
        <v>0</v>
      </c>
      <c r="AE1089" s="258">
        <v>0</v>
      </c>
      <c r="AF1089" s="257">
        <v>0</v>
      </c>
      <c r="AG1089" s="258">
        <v>0</v>
      </c>
      <c r="AH1089" s="257">
        <v>0</v>
      </c>
      <c r="AI1089" s="258">
        <v>0</v>
      </c>
      <c r="AJ1089" s="257">
        <v>0</v>
      </c>
      <c r="AK1089" s="258">
        <v>0</v>
      </c>
      <c r="AL1089" s="258">
        <v>0</v>
      </c>
      <c r="AM1089" s="258">
        <v>0</v>
      </c>
      <c r="AN1089" s="258"/>
      <c r="AO1089" s="258">
        <v>0</v>
      </c>
    </row>
    <row r="1090" spans="1:41" s="259" customFormat="1" ht="36" customHeight="1" x14ac:dyDescent="0.25">
      <c r="A1090" s="259">
        <v>1</v>
      </c>
      <c r="B1090" s="135">
        <f>SUBTOTAL(103,$A$1000:A1090)</f>
        <v>89</v>
      </c>
      <c r="C1090" s="94" t="s">
        <v>432</v>
      </c>
      <c r="D1090" s="124">
        <v>1963</v>
      </c>
      <c r="E1090" s="124"/>
      <c r="F1090" s="129" t="s">
        <v>269</v>
      </c>
      <c r="G1090" s="124">
        <v>4</v>
      </c>
      <c r="H1090" s="124" t="s">
        <v>314</v>
      </c>
      <c r="I1090" s="125">
        <v>2141.94</v>
      </c>
      <c r="J1090" s="125">
        <v>1876.78</v>
      </c>
      <c r="K1090" s="125">
        <v>1544.6799999999998</v>
      </c>
      <c r="L1090" s="126">
        <v>77</v>
      </c>
      <c r="M1090" s="124" t="s">
        <v>267</v>
      </c>
      <c r="N1090" s="124" t="s">
        <v>271</v>
      </c>
      <c r="O1090" s="127" t="s">
        <v>996</v>
      </c>
      <c r="P1090" s="128">
        <v>4940772.24</v>
      </c>
      <c r="Q1090" s="128">
        <v>0</v>
      </c>
      <c r="R1090" s="128">
        <v>0</v>
      </c>
      <c r="S1090" s="128">
        <f t="shared" si="336"/>
        <v>4940772.24</v>
      </c>
      <c r="T1090" s="128">
        <f t="shared" si="327"/>
        <v>2306.680971455783</v>
      </c>
      <c r="U1090" s="128">
        <v>2992.8170536989828</v>
      </c>
      <c r="V1090" s="257">
        <f t="shared" si="333"/>
        <v>686.13608224319978</v>
      </c>
      <c r="W1090" s="257">
        <f t="shared" si="337"/>
        <v>2982.6436968355788</v>
      </c>
      <c r="X1090" s="257">
        <v>0</v>
      </c>
      <c r="Y1090" s="258">
        <v>0</v>
      </c>
      <c r="Z1090" s="258">
        <v>0</v>
      </c>
      <c r="AA1090" s="258">
        <v>0</v>
      </c>
      <c r="AB1090" s="258">
        <v>0</v>
      </c>
      <c r="AC1090" s="258">
        <v>0</v>
      </c>
      <c r="AD1090" s="258">
        <v>0</v>
      </c>
      <c r="AE1090" s="258">
        <v>1024</v>
      </c>
      <c r="AF1090" s="257">
        <f>6238.91*AE1090/I1090</f>
        <v>2982.6436968355788</v>
      </c>
      <c r="AG1090" s="258">
        <v>0</v>
      </c>
      <c r="AH1090" s="257">
        <v>0</v>
      </c>
      <c r="AI1090" s="258">
        <v>0</v>
      </c>
      <c r="AJ1090" s="257">
        <v>0</v>
      </c>
      <c r="AK1090" s="258">
        <v>0</v>
      </c>
      <c r="AL1090" s="258">
        <v>0</v>
      </c>
      <c r="AM1090" s="258">
        <v>0</v>
      </c>
      <c r="AN1090" s="258"/>
      <c r="AO1090" s="258">
        <v>0</v>
      </c>
    </row>
    <row r="1091" spans="1:41" s="259" customFormat="1" ht="36" customHeight="1" x14ac:dyDescent="0.25">
      <c r="A1091" s="259">
        <v>1</v>
      </c>
      <c r="B1091" s="135">
        <f>SUBTOTAL(103,$A$1000:A1091)</f>
        <v>90</v>
      </c>
      <c r="C1091" s="94" t="s">
        <v>433</v>
      </c>
      <c r="D1091" s="124">
        <v>1974</v>
      </c>
      <c r="E1091" s="124"/>
      <c r="F1091" s="129" t="s">
        <v>269</v>
      </c>
      <c r="G1091" s="124">
        <v>9</v>
      </c>
      <c r="H1091" s="124" t="s">
        <v>305</v>
      </c>
      <c r="I1091" s="125">
        <v>5409.4</v>
      </c>
      <c r="J1091" s="125">
        <v>5101.5</v>
      </c>
      <c r="K1091" s="125">
        <v>4227.7</v>
      </c>
      <c r="L1091" s="126">
        <v>198</v>
      </c>
      <c r="M1091" s="124" t="s">
        <v>267</v>
      </c>
      <c r="N1091" s="124" t="s">
        <v>271</v>
      </c>
      <c r="O1091" s="127" t="s">
        <v>996</v>
      </c>
      <c r="P1091" s="128">
        <v>4431631.53</v>
      </c>
      <c r="Q1091" s="128">
        <v>0</v>
      </c>
      <c r="R1091" s="128">
        <v>0</v>
      </c>
      <c r="S1091" s="128">
        <f t="shared" si="336"/>
        <v>4431631.53</v>
      </c>
      <c r="T1091" s="128">
        <f t="shared" si="327"/>
        <v>819.2464099530448</v>
      </c>
      <c r="U1091" s="128">
        <v>908.71446001404968</v>
      </c>
      <c r="V1091" s="257">
        <f t="shared" si="333"/>
        <v>89.468050061004874</v>
      </c>
      <c r="W1091" s="257">
        <f t="shared" si="337"/>
        <v>908.71446001404968</v>
      </c>
      <c r="X1091" s="257">
        <v>0</v>
      </c>
      <c r="Y1091" s="258">
        <v>0</v>
      </c>
      <c r="Z1091" s="258">
        <v>0</v>
      </c>
      <c r="AA1091" s="258">
        <v>0</v>
      </c>
      <c r="AB1091" s="258">
        <v>0</v>
      </c>
      <c r="AC1091" s="258">
        <v>2</v>
      </c>
      <c r="AD1091" s="257">
        <f>2457800*AC1091/I1091</f>
        <v>908.71446001404968</v>
      </c>
      <c r="AE1091" s="258">
        <v>0</v>
      </c>
      <c r="AF1091" s="257">
        <v>0</v>
      </c>
      <c r="AG1091" s="258">
        <v>0</v>
      </c>
      <c r="AH1091" s="257">
        <v>0</v>
      </c>
      <c r="AI1091" s="258">
        <v>0</v>
      </c>
      <c r="AJ1091" s="257">
        <v>0</v>
      </c>
      <c r="AK1091" s="258">
        <v>0</v>
      </c>
      <c r="AL1091" s="258">
        <v>0</v>
      </c>
      <c r="AM1091" s="258">
        <v>0</v>
      </c>
      <c r="AN1091" s="258"/>
      <c r="AO1091" s="258">
        <v>0</v>
      </c>
    </row>
    <row r="1092" spans="1:41" s="259" customFormat="1" ht="36" customHeight="1" x14ac:dyDescent="0.25">
      <c r="A1092" s="259">
        <v>1</v>
      </c>
      <c r="B1092" s="135">
        <f>SUBTOTAL(103,$A$1000:A1092)</f>
        <v>91</v>
      </c>
      <c r="C1092" s="94" t="s">
        <v>434</v>
      </c>
      <c r="D1092" s="124">
        <v>1958</v>
      </c>
      <c r="E1092" s="124"/>
      <c r="F1092" s="129" t="s">
        <v>269</v>
      </c>
      <c r="G1092" s="124">
        <v>2</v>
      </c>
      <c r="H1092" s="124" t="s">
        <v>305</v>
      </c>
      <c r="I1092" s="125">
        <v>717.8</v>
      </c>
      <c r="J1092" s="125">
        <v>649.4</v>
      </c>
      <c r="K1092" s="125">
        <v>507.29999999999995</v>
      </c>
      <c r="L1092" s="126">
        <v>46</v>
      </c>
      <c r="M1092" s="124" t="s">
        <v>267</v>
      </c>
      <c r="N1092" s="124" t="s">
        <v>271</v>
      </c>
      <c r="O1092" s="127" t="s">
        <v>327</v>
      </c>
      <c r="P1092" s="128">
        <v>2939948.7</v>
      </c>
      <c r="Q1092" s="128">
        <v>0</v>
      </c>
      <c r="R1092" s="128">
        <v>0</v>
      </c>
      <c r="S1092" s="128">
        <f t="shared" si="336"/>
        <v>2939948.7</v>
      </c>
      <c r="T1092" s="128">
        <f t="shared" si="327"/>
        <v>4095.7769573697415</v>
      </c>
      <c r="U1092" s="128">
        <v>5232.8141543605461</v>
      </c>
      <c r="V1092" s="257">
        <f t="shared" si="333"/>
        <v>1137.0371969908047</v>
      </c>
      <c r="W1092" s="257">
        <f t="shared" si="337"/>
        <v>5215.026469768738</v>
      </c>
      <c r="X1092" s="257">
        <v>0</v>
      </c>
      <c r="Y1092" s="258">
        <v>0</v>
      </c>
      <c r="Z1092" s="258">
        <v>0</v>
      </c>
      <c r="AA1092" s="258">
        <v>0</v>
      </c>
      <c r="AB1092" s="258">
        <v>0</v>
      </c>
      <c r="AC1092" s="258">
        <v>0</v>
      </c>
      <c r="AD1092" s="258">
        <v>0</v>
      </c>
      <c r="AE1092" s="258">
        <v>600</v>
      </c>
      <c r="AF1092" s="257">
        <f t="shared" ref="AF1092:AF1102" si="339">6238.91*AE1092/I1092</f>
        <v>5215.026469768738</v>
      </c>
      <c r="AG1092" s="258">
        <v>0</v>
      </c>
      <c r="AH1092" s="257">
        <v>0</v>
      </c>
      <c r="AI1092" s="258">
        <v>0</v>
      </c>
      <c r="AJ1092" s="257">
        <v>0</v>
      </c>
      <c r="AK1092" s="258">
        <v>0</v>
      </c>
      <c r="AL1092" s="258">
        <v>0</v>
      </c>
      <c r="AM1092" s="258">
        <v>0</v>
      </c>
      <c r="AN1092" s="258"/>
      <c r="AO1092" s="258">
        <v>0</v>
      </c>
    </row>
    <row r="1093" spans="1:41" s="259" customFormat="1" ht="36" customHeight="1" x14ac:dyDescent="0.25">
      <c r="A1093" s="259">
        <v>1</v>
      </c>
      <c r="B1093" s="135">
        <f>SUBTOTAL(103,$A$1000:A1093)</f>
        <v>92</v>
      </c>
      <c r="C1093" s="94" t="s">
        <v>435</v>
      </c>
      <c r="D1093" s="124">
        <v>1956</v>
      </c>
      <c r="E1093" s="124"/>
      <c r="F1093" s="129" t="s">
        <v>326</v>
      </c>
      <c r="G1093" s="124">
        <v>2</v>
      </c>
      <c r="H1093" s="124" t="s">
        <v>314</v>
      </c>
      <c r="I1093" s="125">
        <v>1239.2</v>
      </c>
      <c r="J1093" s="125">
        <v>1131.0999999999999</v>
      </c>
      <c r="K1093" s="125">
        <v>643.79999999999995</v>
      </c>
      <c r="L1093" s="126">
        <v>46</v>
      </c>
      <c r="M1093" s="124" t="s">
        <v>267</v>
      </c>
      <c r="N1093" s="124" t="s">
        <v>271</v>
      </c>
      <c r="O1093" s="127" t="s">
        <v>323</v>
      </c>
      <c r="P1093" s="128">
        <v>3392314.75</v>
      </c>
      <c r="Q1093" s="128">
        <v>0</v>
      </c>
      <c r="R1093" s="128">
        <v>0</v>
      </c>
      <c r="S1093" s="128">
        <f t="shared" si="336"/>
        <v>3392314.75</v>
      </c>
      <c r="T1093" s="128">
        <f t="shared" si="327"/>
        <v>2737.5038331181408</v>
      </c>
      <c r="U1093" s="128">
        <v>3773.694262427372</v>
      </c>
      <c r="V1093" s="257">
        <f t="shared" si="333"/>
        <v>1036.1904293092311</v>
      </c>
      <c r="W1093" s="257">
        <f t="shared" si="337"/>
        <v>3760.8665025823107</v>
      </c>
      <c r="X1093" s="257">
        <v>0</v>
      </c>
      <c r="Y1093" s="258">
        <v>0</v>
      </c>
      <c r="Z1093" s="258">
        <v>0</v>
      </c>
      <c r="AA1093" s="258">
        <v>0</v>
      </c>
      <c r="AB1093" s="258">
        <v>0</v>
      </c>
      <c r="AC1093" s="258">
        <v>0</v>
      </c>
      <c r="AD1093" s="258">
        <v>0</v>
      </c>
      <c r="AE1093" s="258">
        <v>747</v>
      </c>
      <c r="AF1093" s="257">
        <f t="shared" si="339"/>
        <v>3760.8665025823107</v>
      </c>
      <c r="AG1093" s="258">
        <v>0</v>
      </c>
      <c r="AH1093" s="257">
        <v>0</v>
      </c>
      <c r="AI1093" s="258">
        <v>0</v>
      </c>
      <c r="AJ1093" s="257">
        <v>0</v>
      </c>
      <c r="AK1093" s="258">
        <v>0</v>
      </c>
      <c r="AL1093" s="258">
        <v>0</v>
      </c>
      <c r="AM1093" s="258">
        <v>0</v>
      </c>
      <c r="AN1093" s="258"/>
      <c r="AO1093" s="258">
        <v>0</v>
      </c>
    </row>
    <row r="1094" spans="1:41" s="259" customFormat="1" ht="36" customHeight="1" x14ac:dyDescent="0.25">
      <c r="A1094" s="259">
        <v>1</v>
      </c>
      <c r="B1094" s="135">
        <f>SUBTOTAL(103,$A$1000:A1094)</f>
        <v>93</v>
      </c>
      <c r="C1094" s="94" t="s">
        <v>436</v>
      </c>
      <c r="D1094" s="124">
        <v>1968</v>
      </c>
      <c r="E1094" s="124"/>
      <c r="F1094" s="129" t="s">
        <v>269</v>
      </c>
      <c r="G1094" s="124">
        <v>3</v>
      </c>
      <c r="H1094" s="124" t="s">
        <v>305</v>
      </c>
      <c r="I1094" s="125">
        <v>1032.5</v>
      </c>
      <c r="J1094" s="125">
        <v>644</v>
      </c>
      <c r="K1094" s="125">
        <v>445.9</v>
      </c>
      <c r="L1094" s="126">
        <v>83</v>
      </c>
      <c r="M1094" s="124" t="s">
        <v>267</v>
      </c>
      <c r="N1094" s="124" t="s">
        <v>271</v>
      </c>
      <c r="O1094" s="127" t="s">
        <v>330</v>
      </c>
      <c r="P1094" s="128">
        <v>2330461.9000000004</v>
      </c>
      <c r="Q1094" s="128">
        <v>0</v>
      </c>
      <c r="R1094" s="128">
        <v>0</v>
      </c>
      <c r="S1094" s="128">
        <f t="shared" si="336"/>
        <v>2330461.9000000004</v>
      </c>
      <c r="T1094" s="128">
        <f t="shared" si="327"/>
        <v>2257.1059564164652</v>
      </c>
      <c r="U1094" s="128">
        <v>2928.4956610169493</v>
      </c>
      <c r="V1094" s="257">
        <f t="shared" si="333"/>
        <v>671.38970460048404</v>
      </c>
      <c r="W1094" s="257">
        <f t="shared" si="337"/>
        <v>2918.540949152542</v>
      </c>
      <c r="X1094" s="257">
        <v>0</v>
      </c>
      <c r="Y1094" s="258">
        <v>0</v>
      </c>
      <c r="Z1094" s="258">
        <v>0</v>
      </c>
      <c r="AA1094" s="258">
        <v>0</v>
      </c>
      <c r="AB1094" s="258">
        <v>0</v>
      </c>
      <c r="AC1094" s="258">
        <v>0</v>
      </c>
      <c r="AD1094" s="258">
        <v>0</v>
      </c>
      <c r="AE1094" s="258">
        <v>483</v>
      </c>
      <c r="AF1094" s="257">
        <f t="shared" si="339"/>
        <v>2918.540949152542</v>
      </c>
      <c r="AG1094" s="258">
        <v>0</v>
      </c>
      <c r="AH1094" s="257">
        <v>0</v>
      </c>
      <c r="AI1094" s="258">
        <v>0</v>
      </c>
      <c r="AJ1094" s="257">
        <v>0</v>
      </c>
      <c r="AK1094" s="258">
        <v>0</v>
      </c>
      <c r="AL1094" s="258">
        <v>0</v>
      </c>
      <c r="AM1094" s="258">
        <v>0</v>
      </c>
      <c r="AN1094" s="258"/>
      <c r="AO1094" s="258">
        <v>0</v>
      </c>
    </row>
    <row r="1095" spans="1:41" s="259" customFormat="1" ht="36" customHeight="1" x14ac:dyDescent="0.25">
      <c r="A1095" s="259">
        <v>1</v>
      </c>
      <c r="B1095" s="135">
        <f>SUBTOTAL(103,$A$1000:A1095)</f>
        <v>94</v>
      </c>
      <c r="C1095" s="94" t="s">
        <v>437</v>
      </c>
      <c r="D1095" s="124">
        <v>1969</v>
      </c>
      <c r="E1095" s="124"/>
      <c r="F1095" s="129" t="s">
        <v>269</v>
      </c>
      <c r="G1095" s="124">
        <v>5</v>
      </c>
      <c r="H1095" s="124" t="s">
        <v>373</v>
      </c>
      <c r="I1095" s="125">
        <v>5048.3</v>
      </c>
      <c r="J1095" s="125">
        <v>4655.2</v>
      </c>
      <c r="K1095" s="125">
        <v>3957.13</v>
      </c>
      <c r="L1095" s="126">
        <v>217</v>
      </c>
      <c r="M1095" s="124" t="s">
        <v>267</v>
      </c>
      <c r="N1095" s="124" t="s">
        <v>271</v>
      </c>
      <c r="O1095" s="127" t="s">
        <v>330</v>
      </c>
      <c r="P1095" s="128">
        <v>7737284.3099999996</v>
      </c>
      <c r="Q1095" s="128">
        <v>0</v>
      </c>
      <c r="R1095" s="128">
        <v>0</v>
      </c>
      <c r="S1095" s="128">
        <f t="shared" si="336"/>
        <v>7737284.3099999996</v>
      </c>
      <c r="T1095" s="128">
        <f t="shared" si="327"/>
        <v>1532.6514490026343</v>
      </c>
      <c r="U1095" s="128">
        <v>1861.3286036883701</v>
      </c>
      <c r="V1095" s="257">
        <f t="shared" si="333"/>
        <v>328.67715468573579</v>
      </c>
      <c r="W1095" s="257">
        <f t="shared" si="337"/>
        <v>1855.0014678208506</v>
      </c>
      <c r="X1095" s="257">
        <v>0</v>
      </c>
      <c r="Y1095" s="258">
        <v>0</v>
      </c>
      <c r="Z1095" s="258">
        <v>0</v>
      </c>
      <c r="AA1095" s="258">
        <v>0</v>
      </c>
      <c r="AB1095" s="258">
        <v>0</v>
      </c>
      <c r="AC1095" s="258">
        <v>0</v>
      </c>
      <c r="AD1095" s="258">
        <v>0</v>
      </c>
      <c r="AE1095" s="258">
        <v>1501</v>
      </c>
      <c r="AF1095" s="257">
        <f t="shared" si="339"/>
        <v>1855.0014678208506</v>
      </c>
      <c r="AG1095" s="258">
        <v>0</v>
      </c>
      <c r="AH1095" s="257">
        <v>0</v>
      </c>
      <c r="AI1095" s="258">
        <v>0</v>
      </c>
      <c r="AJ1095" s="257">
        <v>0</v>
      </c>
      <c r="AK1095" s="258">
        <v>0</v>
      </c>
      <c r="AL1095" s="258">
        <v>0</v>
      </c>
      <c r="AM1095" s="258">
        <v>0</v>
      </c>
      <c r="AN1095" s="258"/>
      <c r="AO1095" s="258">
        <v>0</v>
      </c>
    </row>
    <row r="1096" spans="1:41" s="259" customFormat="1" ht="36" customHeight="1" x14ac:dyDescent="0.25">
      <c r="A1096" s="259">
        <v>1</v>
      </c>
      <c r="B1096" s="135">
        <f>SUBTOTAL(103,$A$1000:A1096)</f>
        <v>95</v>
      </c>
      <c r="C1096" s="94" t="s">
        <v>438</v>
      </c>
      <c r="D1096" s="124">
        <v>1943</v>
      </c>
      <c r="E1096" s="124"/>
      <c r="F1096" s="129" t="s">
        <v>269</v>
      </c>
      <c r="G1096" s="124">
        <v>2</v>
      </c>
      <c r="H1096" s="124" t="s">
        <v>306</v>
      </c>
      <c r="I1096" s="125">
        <v>722.9</v>
      </c>
      <c r="J1096" s="125">
        <v>653.9</v>
      </c>
      <c r="K1096" s="125">
        <v>547.55999999999995</v>
      </c>
      <c r="L1096" s="126">
        <v>34</v>
      </c>
      <c r="M1096" s="124" t="s">
        <v>267</v>
      </c>
      <c r="N1096" s="124" t="s">
        <v>271</v>
      </c>
      <c r="O1096" s="127" t="s">
        <v>327</v>
      </c>
      <c r="P1096" s="128">
        <v>3223377.74</v>
      </c>
      <c r="Q1096" s="128">
        <v>0</v>
      </c>
      <c r="R1096" s="128">
        <v>0</v>
      </c>
      <c r="S1096" s="128">
        <f t="shared" si="336"/>
        <v>3223377.74</v>
      </c>
      <c r="T1096" s="128">
        <f t="shared" si="327"/>
        <v>4458.9538525383878</v>
      </c>
      <c r="U1096" s="128">
        <v>5195.8970812007192</v>
      </c>
      <c r="V1096" s="257">
        <f t="shared" si="333"/>
        <v>736.94322866233142</v>
      </c>
      <c r="W1096" s="257">
        <f t="shared" si="337"/>
        <v>5178.2348872596485</v>
      </c>
      <c r="X1096" s="257">
        <v>0</v>
      </c>
      <c r="Y1096" s="258">
        <v>0</v>
      </c>
      <c r="Z1096" s="258">
        <v>0</v>
      </c>
      <c r="AA1096" s="258">
        <v>0</v>
      </c>
      <c r="AB1096" s="258">
        <v>0</v>
      </c>
      <c r="AC1096" s="258">
        <v>0</v>
      </c>
      <c r="AD1096" s="258">
        <v>0</v>
      </c>
      <c r="AE1096" s="258">
        <v>600</v>
      </c>
      <c r="AF1096" s="257">
        <f t="shared" si="339"/>
        <v>5178.2348872596485</v>
      </c>
      <c r="AG1096" s="258">
        <v>0</v>
      </c>
      <c r="AH1096" s="257">
        <v>0</v>
      </c>
      <c r="AI1096" s="258">
        <v>0</v>
      </c>
      <c r="AJ1096" s="257">
        <v>0</v>
      </c>
      <c r="AK1096" s="258">
        <v>0</v>
      </c>
      <c r="AL1096" s="258">
        <v>0</v>
      </c>
      <c r="AM1096" s="258">
        <v>0</v>
      </c>
      <c r="AN1096" s="258"/>
      <c r="AO1096" s="258">
        <v>0</v>
      </c>
    </row>
    <row r="1097" spans="1:41" s="259" customFormat="1" ht="36" customHeight="1" x14ac:dyDescent="0.25">
      <c r="A1097" s="259">
        <v>1</v>
      </c>
      <c r="B1097" s="135">
        <f>SUBTOTAL(103,$A$1000:A1097)</f>
        <v>96</v>
      </c>
      <c r="C1097" s="94" t="s">
        <v>439</v>
      </c>
      <c r="D1097" s="124">
        <v>1917</v>
      </c>
      <c r="E1097" s="124"/>
      <c r="F1097" s="129" t="s">
        <v>332</v>
      </c>
      <c r="G1097" s="124">
        <v>2</v>
      </c>
      <c r="H1097" s="124" t="s">
        <v>305</v>
      </c>
      <c r="I1097" s="125">
        <v>643.4</v>
      </c>
      <c r="J1097" s="125">
        <v>615.9</v>
      </c>
      <c r="K1097" s="125">
        <v>423.09999999999997</v>
      </c>
      <c r="L1097" s="126">
        <v>21</v>
      </c>
      <c r="M1097" s="124" t="s">
        <v>267</v>
      </c>
      <c r="N1097" s="124" t="s">
        <v>271</v>
      </c>
      <c r="O1097" s="127" t="s">
        <v>323</v>
      </c>
      <c r="P1097" s="128">
        <v>1785415</v>
      </c>
      <c r="Q1097" s="128">
        <v>0</v>
      </c>
      <c r="R1097" s="128">
        <v>0</v>
      </c>
      <c r="S1097" s="128">
        <f t="shared" si="336"/>
        <v>1785415</v>
      </c>
      <c r="T1097" s="128">
        <f t="shared" si="327"/>
        <v>2774.9689151383277</v>
      </c>
      <c r="U1097" s="128">
        <v>3590.3172365557971</v>
      </c>
      <c r="V1097" s="257">
        <f t="shared" si="333"/>
        <v>815.34832141746938</v>
      </c>
      <c r="W1097" s="257">
        <f t="shared" si="337"/>
        <v>3578.1128225054399</v>
      </c>
      <c r="X1097" s="257">
        <v>0</v>
      </c>
      <c r="Y1097" s="258">
        <v>0</v>
      </c>
      <c r="Z1097" s="258">
        <v>0</v>
      </c>
      <c r="AA1097" s="258">
        <v>0</v>
      </c>
      <c r="AB1097" s="258">
        <v>0</v>
      </c>
      <c r="AC1097" s="258">
        <v>0</v>
      </c>
      <c r="AD1097" s="258">
        <v>0</v>
      </c>
      <c r="AE1097" s="258">
        <v>369</v>
      </c>
      <c r="AF1097" s="257">
        <f t="shared" si="339"/>
        <v>3578.1128225054399</v>
      </c>
      <c r="AG1097" s="258">
        <v>0</v>
      </c>
      <c r="AH1097" s="257">
        <v>0</v>
      </c>
      <c r="AI1097" s="258">
        <v>0</v>
      </c>
      <c r="AJ1097" s="257">
        <v>0</v>
      </c>
      <c r="AK1097" s="258">
        <v>0</v>
      </c>
      <c r="AL1097" s="258">
        <v>0</v>
      </c>
      <c r="AM1097" s="258">
        <v>0</v>
      </c>
      <c r="AN1097" s="258"/>
      <c r="AO1097" s="258">
        <v>0</v>
      </c>
    </row>
    <row r="1098" spans="1:41" s="259" customFormat="1" ht="36" customHeight="1" x14ac:dyDescent="0.25">
      <c r="A1098" s="259">
        <v>1</v>
      </c>
      <c r="B1098" s="135">
        <f>SUBTOTAL(103,$A$1000:A1098)</f>
        <v>97</v>
      </c>
      <c r="C1098" s="94" t="s">
        <v>210</v>
      </c>
      <c r="D1098" s="124">
        <v>1967</v>
      </c>
      <c r="E1098" s="124"/>
      <c r="F1098" s="129" t="s">
        <v>269</v>
      </c>
      <c r="G1098" s="124">
        <v>2</v>
      </c>
      <c r="H1098" s="124" t="s">
        <v>305</v>
      </c>
      <c r="I1098" s="125">
        <v>678.4</v>
      </c>
      <c r="J1098" s="125">
        <v>629.79999999999995</v>
      </c>
      <c r="K1098" s="125">
        <v>589.79999999999995</v>
      </c>
      <c r="L1098" s="126">
        <v>35</v>
      </c>
      <c r="M1098" s="124" t="s">
        <v>267</v>
      </c>
      <c r="N1098" s="124" t="s">
        <v>271</v>
      </c>
      <c r="O1098" s="127" t="s">
        <v>329</v>
      </c>
      <c r="P1098" s="128">
        <v>2534110.7700000005</v>
      </c>
      <c r="Q1098" s="128">
        <v>0</v>
      </c>
      <c r="R1098" s="128">
        <v>0</v>
      </c>
      <c r="S1098" s="128">
        <f t="shared" si="336"/>
        <v>2534110.7700000005</v>
      </c>
      <c r="T1098" s="128">
        <f t="shared" si="327"/>
        <v>3735.4227152122648</v>
      </c>
      <c r="U1098" s="128">
        <v>4844.6340654481137</v>
      </c>
      <c r="V1098" s="257">
        <f t="shared" si="333"/>
        <v>1109.2113502358488</v>
      </c>
      <c r="W1098" s="257">
        <f t="shared" si="337"/>
        <v>4828.1659050707549</v>
      </c>
      <c r="X1098" s="257">
        <v>0</v>
      </c>
      <c r="Y1098" s="258">
        <v>0</v>
      </c>
      <c r="Z1098" s="258">
        <v>0</v>
      </c>
      <c r="AA1098" s="258">
        <v>0</v>
      </c>
      <c r="AB1098" s="258">
        <v>0</v>
      </c>
      <c r="AC1098" s="258">
        <v>0</v>
      </c>
      <c r="AD1098" s="258">
        <v>0</v>
      </c>
      <c r="AE1098" s="258">
        <v>525</v>
      </c>
      <c r="AF1098" s="257">
        <f t="shared" si="339"/>
        <v>4828.1659050707549</v>
      </c>
      <c r="AG1098" s="258">
        <v>0</v>
      </c>
      <c r="AH1098" s="257">
        <v>0</v>
      </c>
      <c r="AI1098" s="258">
        <v>0</v>
      </c>
      <c r="AJ1098" s="257">
        <v>0</v>
      </c>
      <c r="AK1098" s="258">
        <v>0</v>
      </c>
      <c r="AL1098" s="258">
        <v>0</v>
      </c>
      <c r="AM1098" s="258">
        <v>0</v>
      </c>
      <c r="AN1098" s="258"/>
      <c r="AO1098" s="258">
        <v>0</v>
      </c>
    </row>
    <row r="1099" spans="1:41" s="259" customFormat="1" ht="36" customHeight="1" x14ac:dyDescent="0.25">
      <c r="A1099" s="259">
        <v>1</v>
      </c>
      <c r="B1099" s="135">
        <f>SUBTOTAL(103,$A$1000:A1099)</f>
        <v>98</v>
      </c>
      <c r="C1099" s="94" t="s">
        <v>209</v>
      </c>
      <c r="D1099" s="124">
        <v>1975</v>
      </c>
      <c r="E1099" s="124"/>
      <c r="F1099" s="129" t="s">
        <v>269</v>
      </c>
      <c r="G1099" s="124">
        <v>2</v>
      </c>
      <c r="H1099" s="124" t="s">
        <v>305</v>
      </c>
      <c r="I1099" s="125">
        <v>817.4</v>
      </c>
      <c r="J1099" s="125">
        <v>755.8</v>
      </c>
      <c r="K1099" s="125">
        <v>652</v>
      </c>
      <c r="L1099" s="126">
        <v>43</v>
      </c>
      <c r="M1099" s="124" t="s">
        <v>267</v>
      </c>
      <c r="N1099" s="124" t="s">
        <v>271</v>
      </c>
      <c r="O1099" s="127" t="s">
        <v>329</v>
      </c>
      <c r="P1099" s="128">
        <v>2967533.3499999996</v>
      </c>
      <c r="Q1099" s="128">
        <v>0</v>
      </c>
      <c r="R1099" s="128">
        <v>0</v>
      </c>
      <c r="S1099" s="128">
        <f t="shared" si="336"/>
        <v>2967533.3499999996</v>
      </c>
      <c r="T1099" s="128">
        <f t="shared" si="327"/>
        <v>3630.4543063371661</v>
      </c>
      <c r="U1099" s="128">
        <v>4702.4182285294837</v>
      </c>
      <c r="V1099" s="257">
        <f t="shared" si="333"/>
        <v>1071.9639221923176</v>
      </c>
      <c r="W1099" s="257">
        <f t="shared" si="337"/>
        <v>4686.4334964521649</v>
      </c>
      <c r="X1099" s="257">
        <v>0</v>
      </c>
      <c r="Y1099" s="258">
        <v>0</v>
      </c>
      <c r="Z1099" s="258">
        <v>0</v>
      </c>
      <c r="AA1099" s="258">
        <v>0</v>
      </c>
      <c r="AB1099" s="258">
        <v>0</v>
      </c>
      <c r="AC1099" s="258">
        <v>0</v>
      </c>
      <c r="AD1099" s="258">
        <v>0</v>
      </c>
      <c r="AE1099" s="258">
        <v>614</v>
      </c>
      <c r="AF1099" s="257">
        <f t="shared" si="339"/>
        <v>4686.4334964521649</v>
      </c>
      <c r="AG1099" s="258">
        <v>0</v>
      </c>
      <c r="AH1099" s="257">
        <v>0</v>
      </c>
      <c r="AI1099" s="258">
        <v>0</v>
      </c>
      <c r="AJ1099" s="257">
        <v>0</v>
      </c>
      <c r="AK1099" s="258">
        <v>0</v>
      </c>
      <c r="AL1099" s="258">
        <v>0</v>
      </c>
      <c r="AM1099" s="258">
        <v>0</v>
      </c>
      <c r="AN1099" s="258"/>
      <c r="AO1099" s="258">
        <v>0</v>
      </c>
    </row>
    <row r="1100" spans="1:41" s="259" customFormat="1" ht="36" customHeight="1" x14ac:dyDescent="0.25">
      <c r="A1100" s="259">
        <v>1</v>
      </c>
      <c r="B1100" s="135">
        <f>SUBTOTAL(103,$A$1000:A1100)</f>
        <v>99</v>
      </c>
      <c r="C1100" s="94" t="s">
        <v>441</v>
      </c>
      <c r="D1100" s="124">
        <v>1950</v>
      </c>
      <c r="E1100" s="124"/>
      <c r="F1100" s="129" t="s">
        <v>269</v>
      </c>
      <c r="G1100" s="124">
        <v>2</v>
      </c>
      <c r="H1100" s="124" t="s">
        <v>306</v>
      </c>
      <c r="I1100" s="125">
        <v>411.15</v>
      </c>
      <c r="J1100" s="125">
        <v>411.15</v>
      </c>
      <c r="K1100" s="125">
        <v>369.45</v>
      </c>
      <c r="L1100" s="126">
        <v>18</v>
      </c>
      <c r="M1100" s="124" t="s">
        <v>267</v>
      </c>
      <c r="N1100" s="124" t="s">
        <v>271</v>
      </c>
      <c r="O1100" s="127" t="s">
        <v>323</v>
      </c>
      <c r="P1100" s="128">
        <v>1780239.97</v>
      </c>
      <c r="Q1100" s="128">
        <v>0</v>
      </c>
      <c r="R1100" s="128">
        <v>0</v>
      </c>
      <c r="S1100" s="128">
        <f t="shared" si="336"/>
        <v>1780239.97</v>
      </c>
      <c r="T1100" s="128">
        <f t="shared" si="327"/>
        <v>4329.9038550407395</v>
      </c>
      <c r="U1100" s="128">
        <v>5633.6380882889453</v>
      </c>
      <c r="V1100" s="257">
        <f t="shared" si="333"/>
        <v>1303.7342332482058</v>
      </c>
      <c r="W1100" s="257">
        <f t="shared" si="337"/>
        <v>5614.4878997932628</v>
      </c>
      <c r="X1100" s="257">
        <v>0</v>
      </c>
      <c r="Y1100" s="258">
        <v>0</v>
      </c>
      <c r="Z1100" s="258">
        <v>0</v>
      </c>
      <c r="AA1100" s="258">
        <v>0</v>
      </c>
      <c r="AB1100" s="258">
        <v>0</v>
      </c>
      <c r="AC1100" s="258">
        <v>0</v>
      </c>
      <c r="AD1100" s="258">
        <v>0</v>
      </c>
      <c r="AE1100" s="258">
        <v>370</v>
      </c>
      <c r="AF1100" s="257">
        <f t="shared" si="339"/>
        <v>5614.4878997932628</v>
      </c>
      <c r="AG1100" s="258">
        <v>0</v>
      </c>
      <c r="AH1100" s="257">
        <v>0</v>
      </c>
      <c r="AI1100" s="258">
        <v>0</v>
      </c>
      <c r="AJ1100" s="257">
        <v>0</v>
      </c>
      <c r="AK1100" s="258">
        <v>0</v>
      </c>
      <c r="AL1100" s="258">
        <v>0</v>
      </c>
      <c r="AM1100" s="258">
        <v>0</v>
      </c>
      <c r="AN1100" s="258"/>
      <c r="AO1100" s="258">
        <v>0</v>
      </c>
    </row>
    <row r="1101" spans="1:41" s="259" customFormat="1" ht="36" customHeight="1" x14ac:dyDescent="0.25">
      <c r="A1101" s="259">
        <v>1</v>
      </c>
      <c r="B1101" s="135">
        <f>SUBTOTAL(103,$A$1000:A1101)</f>
        <v>100</v>
      </c>
      <c r="C1101" s="94" t="s">
        <v>442</v>
      </c>
      <c r="D1101" s="124">
        <v>1966</v>
      </c>
      <c r="E1101" s="124"/>
      <c r="F1101" s="129" t="s">
        <v>269</v>
      </c>
      <c r="G1101" s="124">
        <v>2</v>
      </c>
      <c r="H1101" s="124" t="s">
        <v>305</v>
      </c>
      <c r="I1101" s="125">
        <v>667.6</v>
      </c>
      <c r="J1101" s="125">
        <v>667.6</v>
      </c>
      <c r="K1101" s="125">
        <v>586.70000000000005</v>
      </c>
      <c r="L1101" s="126">
        <v>39</v>
      </c>
      <c r="M1101" s="124" t="s">
        <v>267</v>
      </c>
      <c r="N1101" s="124" t="s">
        <v>271</v>
      </c>
      <c r="O1101" s="127" t="s">
        <v>329</v>
      </c>
      <c r="P1101" s="128">
        <v>2557235.63</v>
      </c>
      <c r="Q1101" s="128">
        <v>0</v>
      </c>
      <c r="R1101" s="128">
        <v>0</v>
      </c>
      <c r="S1101" s="128">
        <f t="shared" si="336"/>
        <v>2557235.63</v>
      </c>
      <c r="T1101" s="128">
        <f t="shared" si="327"/>
        <v>3830.4907579388851</v>
      </c>
      <c r="U1101" s="128">
        <v>4969.8931995206704</v>
      </c>
      <c r="V1101" s="257">
        <f t="shared" si="333"/>
        <v>1139.4024415817853</v>
      </c>
      <c r="W1101" s="257">
        <f t="shared" si="337"/>
        <v>4952.9992510485317</v>
      </c>
      <c r="X1101" s="257">
        <v>0</v>
      </c>
      <c r="Y1101" s="258">
        <v>0</v>
      </c>
      <c r="Z1101" s="258">
        <v>0</v>
      </c>
      <c r="AA1101" s="258">
        <v>0</v>
      </c>
      <c r="AB1101" s="258">
        <v>0</v>
      </c>
      <c r="AC1101" s="258">
        <v>0</v>
      </c>
      <c r="AD1101" s="258">
        <v>0</v>
      </c>
      <c r="AE1101" s="258">
        <v>530</v>
      </c>
      <c r="AF1101" s="257">
        <f t="shared" si="339"/>
        <v>4952.9992510485317</v>
      </c>
      <c r="AG1101" s="258">
        <v>0</v>
      </c>
      <c r="AH1101" s="257">
        <v>0</v>
      </c>
      <c r="AI1101" s="258">
        <v>0</v>
      </c>
      <c r="AJ1101" s="257">
        <v>0</v>
      </c>
      <c r="AK1101" s="258">
        <v>0</v>
      </c>
      <c r="AL1101" s="258">
        <v>0</v>
      </c>
      <c r="AM1101" s="258">
        <v>0</v>
      </c>
      <c r="AN1101" s="258"/>
      <c r="AO1101" s="258">
        <v>0</v>
      </c>
    </row>
    <row r="1102" spans="1:41" s="259" customFormat="1" ht="36" customHeight="1" x14ac:dyDescent="0.25">
      <c r="A1102" s="259">
        <v>1</v>
      </c>
      <c r="B1102" s="135">
        <f>SUBTOTAL(103,$A$1000:A1102)</f>
        <v>101</v>
      </c>
      <c r="C1102" s="94" t="s">
        <v>443</v>
      </c>
      <c r="D1102" s="124">
        <v>1977</v>
      </c>
      <c r="E1102" s="124"/>
      <c r="F1102" s="129" t="s">
        <v>269</v>
      </c>
      <c r="G1102" s="124">
        <v>9</v>
      </c>
      <c r="H1102" s="124" t="s">
        <v>306</v>
      </c>
      <c r="I1102" s="125">
        <v>2576</v>
      </c>
      <c r="J1102" s="125">
        <v>2271.29</v>
      </c>
      <c r="K1102" s="125">
        <v>2123.6999999999998</v>
      </c>
      <c r="L1102" s="126">
        <v>119</v>
      </c>
      <c r="M1102" s="124" t="s">
        <v>267</v>
      </c>
      <c r="N1102" s="124" t="s">
        <v>271</v>
      </c>
      <c r="O1102" s="127" t="s">
        <v>329</v>
      </c>
      <c r="P1102" s="128">
        <v>1910689.27</v>
      </c>
      <c r="Q1102" s="128">
        <v>0</v>
      </c>
      <c r="R1102" s="128">
        <v>0</v>
      </c>
      <c r="S1102" s="128">
        <f t="shared" si="336"/>
        <v>1910689.27</v>
      </c>
      <c r="T1102" s="128">
        <f t="shared" ref="T1102:T1165" si="340">P1102/I1102</f>
        <v>741.72720108695648</v>
      </c>
      <c r="U1102" s="128">
        <v>962.35840062111788</v>
      </c>
      <c r="V1102" s="257">
        <f t="shared" si="333"/>
        <v>220.6311995341614</v>
      </c>
      <c r="W1102" s="257">
        <f t="shared" si="337"/>
        <v>959.08709627329188</v>
      </c>
      <c r="X1102" s="257">
        <v>0</v>
      </c>
      <c r="Y1102" s="258">
        <v>0</v>
      </c>
      <c r="Z1102" s="258">
        <v>0</v>
      </c>
      <c r="AA1102" s="258">
        <v>0</v>
      </c>
      <c r="AB1102" s="258">
        <v>0</v>
      </c>
      <c r="AC1102" s="258">
        <v>0</v>
      </c>
      <c r="AD1102" s="258">
        <v>0</v>
      </c>
      <c r="AE1102" s="258">
        <v>396</v>
      </c>
      <c r="AF1102" s="257">
        <f t="shared" si="339"/>
        <v>959.08709627329188</v>
      </c>
      <c r="AG1102" s="258">
        <v>0</v>
      </c>
      <c r="AH1102" s="257">
        <v>0</v>
      </c>
      <c r="AI1102" s="258">
        <v>0</v>
      </c>
      <c r="AJ1102" s="257">
        <v>0</v>
      </c>
      <c r="AK1102" s="258">
        <v>0</v>
      </c>
      <c r="AL1102" s="258">
        <v>0</v>
      </c>
      <c r="AM1102" s="258">
        <v>0</v>
      </c>
      <c r="AN1102" s="258"/>
      <c r="AO1102" s="258">
        <v>0</v>
      </c>
    </row>
    <row r="1103" spans="1:41" s="259" customFormat="1" ht="36" customHeight="1" x14ac:dyDescent="0.25">
      <c r="A1103" s="259">
        <v>1</v>
      </c>
      <c r="B1103" s="135">
        <f>SUBTOTAL(103,$A$1000:A1103)</f>
        <v>102</v>
      </c>
      <c r="C1103" s="94" t="s">
        <v>820</v>
      </c>
      <c r="D1103" s="124">
        <v>1988</v>
      </c>
      <c r="E1103" s="124"/>
      <c r="F1103" s="129" t="s">
        <v>269</v>
      </c>
      <c r="G1103" s="124">
        <v>9</v>
      </c>
      <c r="H1103" s="124" t="s">
        <v>314</v>
      </c>
      <c r="I1103" s="125">
        <v>5795.4</v>
      </c>
      <c r="J1103" s="125">
        <v>5795.4</v>
      </c>
      <c r="K1103" s="125">
        <v>5264.2</v>
      </c>
      <c r="L1103" s="126">
        <v>304</v>
      </c>
      <c r="M1103" s="124" t="s">
        <v>267</v>
      </c>
      <c r="N1103" s="124" t="s">
        <v>271</v>
      </c>
      <c r="O1103" s="127" t="s">
        <v>993</v>
      </c>
      <c r="P1103" s="128">
        <v>6400000</v>
      </c>
      <c r="Q1103" s="128">
        <v>0</v>
      </c>
      <c r="R1103" s="128">
        <v>0</v>
      </c>
      <c r="S1103" s="128">
        <f t="shared" si="336"/>
        <v>6400000</v>
      </c>
      <c r="T1103" s="128">
        <f t="shared" si="340"/>
        <v>1104.3241191289644</v>
      </c>
      <c r="U1103" s="128">
        <v>1272.2849156227353</v>
      </c>
      <c r="V1103" s="257">
        <f t="shared" si="333"/>
        <v>167.96079649377089</v>
      </c>
      <c r="W1103" s="257">
        <f t="shared" si="337"/>
        <v>1272.2849156227353</v>
      </c>
      <c r="X1103" s="257">
        <v>0</v>
      </c>
      <c r="Y1103" s="258">
        <v>0</v>
      </c>
      <c r="Z1103" s="258">
        <v>0</v>
      </c>
      <c r="AA1103" s="258">
        <v>0</v>
      </c>
      <c r="AB1103" s="258">
        <v>0</v>
      </c>
      <c r="AC1103" s="258">
        <v>3</v>
      </c>
      <c r="AD1103" s="257">
        <f>2457800*AC1103/I1103</f>
        <v>1272.2849156227353</v>
      </c>
      <c r="AE1103" s="258">
        <v>0</v>
      </c>
      <c r="AF1103" s="257">
        <v>0</v>
      </c>
      <c r="AG1103" s="258">
        <v>0</v>
      </c>
      <c r="AH1103" s="257">
        <v>0</v>
      </c>
      <c r="AI1103" s="258">
        <v>0</v>
      </c>
      <c r="AJ1103" s="257">
        <v>0</v>
      </c>
      <c r="AK1103" s="258">
        <v>0</v>
      </c>
      <c r="AL1103" s="258">
        <v>0</v>
      </c>
      <c r="AM1103" s="258">
        <v>0</v>
      </c>
      <c r="AN1103" s="258"/>
      <c r="AO1103" s="258">
        <v>0</v>
      </c>
    </row>
    <row r="1104" spans="1:41" s="259" customFormat="1" ht="36" customHeight="1" x14ac:dyDescent="0.25">
      <c r="B1104" s="94" t="s">
        <v>787</v>
      </c>
      <c r="C1104" s="94"/>
      <c r="D1104" s="124" t="s">
        <v>896</v>
      </c>
      <c r="E1104" s="124" t="s">
        <v>896</v>
      </c>
      <c r="F1104" s="124" t="s">
        <v>896</v>
      </c>
      <c r="G1104" s="124" t="s">
        <v>896</v>
      </c>
      <c r="H1104" s="124" t="s">
        <v>896</v>
      </c>
      <c r="I1104" s="125">
        <f>SUM(I1105:I1115)</f>
        <v>28818.510000000002</v>
      </c>
      <c r="J1104" s="125">
        <f>SUM(J1105:J1115)</f>
        <v>20731.500000000004</v>
      </c>
      <c r="K1104" s="125">
        <f>SUM(K1105:K1115)</f>
        <v>19493.600000000002</v>
      </c>
      <c r="L1104" s="126">
        <f>SUM(L1105:L1115)</f>
        <v>844</v>
      </c>
      <c r="M1104" s="124" t="s">
        <v>896</v>
      </c>
      <c r="N1104" s="124" t="s">
        <v>896</v>
      </c>
      <c r="O1104" s="127" t="s">
        <v>896</v>
      </c>
      <c r="P1104" s="125">
        <v>46331140.729999997</v>
      </c>
      <c r="Q1104" s="125">
        <f>SUM(Q1105:Q1115)</f>
        <v>0</v>
      </c>
      <c r="R1104" s="125">
        <f>SUM(R1105:R1115)</f>
        <v>0</v>
      </c>
      <c r="S1104" s="125">
        <f>SUM(S1105:S1115)</f>
        <v>46331140.729999997</v>
      </c>
      <c r="T1104" s="128">
        <f t="shared" si="340"/>
        <v>1607.6868904742123</v>
      </c>
      <c r="U1104" s="128">
        <f>MAX(U1105:U1115)</f>
        <v>8661.3065976714097</v>
      </c>
      <c r="V1104" s="257">
        <f t="shared" si="333"/>
        <v>7053.6197071971974</v>
      </c>
      <c r="W1104" s="257"/>
      <c r="X1104" s="257"/>
      <c r="Y1104" s="258"/>
      <c r="Z1104" s="258"/>
      <c r="AA1104" s="258"/>
      <c r="AB1104" s="258"/>
      <c r="AC1104" s="258"/>
      <c r="AD1104" s="258"/>
      <c r="AE1104" s="258"/>
      <c r="AF1104" s="258"/>
      <c r="AG1104" s="258"/>
      <c r="AH1104" s="258"/>
      <c r="AI1104" s="258"/>
      <c r="AJ1104" s="258"/>
      <c r="AK1104" s="258"/>
      <c r="AL1104" s="258"/>
      <c r="AM1104" s="258"/>
      <c r="AN1104" s="258"/>
      <c r="AO1104" s="258"/>
    </row>
    <row r="1105" spans="1:41" s="259" customFormat="1" ht="36" customHeight="1" x14ac:dyDescent="0.25">
      <c r="A1105" s="259">
        <v>1</v>
      </c>
      <c r="B1105" s="135">
        <f>SUBTOTAL(103,$A$1000:A1105)</f>
        <v>103</v>
      </c>
      <c r="C1105" s="94" t="s">
        <v>788</v>
      </c>
      <c r="D1105" s="124">
        <v>1961</v>
      </c>
      <c r="E1105" s="124"/>
      <c r="F1105" s="129" t="s">
        <v>269</v>
      </c>
      <c r="G1105" s="124">
        <v>3</v>
      </c>
      <c r="H1105" s="124" t="s">
        <v>305</v>
      </c>
      <c r="I1105" s="125">
        <v>1044</v>
      </c>
      <c r="J1105" s="125">
        <v>968.1</v>
      </c>
      <c r="K1105" s="125">
        <v>968.1</v>
      </c>
      <c r="L1105" s="126">
        <v>40</v>
      </c>
      <c r="M1105" s="124" t="s">
        <v>267</v>
      </c>
      <c r="N1105" s="124" t="s">
        <v>271</v>
      </c>
      <c r="O1105" s="127" t="s">
        <v>807</v>
      </c>
      <c r="P1105" s="128">
        <v>2642230.7999999998</v>
      </c>
      <c r="Q1105" s="128">
        <v>0</v>
      </c>
      <c r="R1105" s="128">
        <v>0</v>
      </c>
      <c r="S1105" s="128">
        <f t="shared" ref="S1105:S1115" si="341">P1105-Q1105-R1105</f>
        <v>2642230.7999999998</v>
      </c>
      <c r="T1105" s="128">
        <f t="shared" si="340"/>
        <v>2530.8724137931031</v>
      </c>
      <c r="U1105" s="128">
        <v>3034.1533908045972</v>
      </c>
      <c r="V1105" s="257">
        <f t="shared" si="333"/>
        <v>503.28097701149409</v>
      </c>
      <c r="W1105" s="257">
        <f t="shared" ref="W1105:W1115" si="342">X1105+Y1105+Z1105+AA1105+AB1105+AD1105+AF1105+AH1105+AJ1105+AL1105+AN1105+AO1105</f>
        <v>3023.8395210727967</v>
      </c>
      <c r="X1105" s="257">
        <v>0</v>
      </c>
      <c r="Y1105" s="258">
        <v>0</v>
      </c>
      <c r="Z1105" s="258">
        <v>0</v>
      </c>
      <c r="AA1105" s="258">
        <v>0</v>
      </c>
      <c r="AB1105" s="258">
        <v>0</v>
      </c>
      <c r="AC1105" s="258">
        <v>0</v>
      </c>
      <c r="AD1105" s="258">
        <v>0</v>
      </c>
      <c r="AE1105" s="258">
        <v>506</v>
      </c>
      <c r="AF1105" s="257">
        <f>6238.91*AE1105/I1105</f>
        <v>3023.8395210727967</v>
      </c>
      <c r="AG1105" s="258">
        <v>0</v>
      </c>
      <c r="AH1105" s="257">
        <v>0</v>
      </c>
      <c r="AI1105" s="258">
        <v>0</v>
      </c>
      <c r="AJ1105" s="257">
        <v>0</v>
      </c>
      <c r="AK1105" s="258">
        <v>0</v>
      </c>
      <c r="AL1105" s="258">
        <v>0</v>
      </c>
      <c r="AM1105" s="258">
        <v>0</v>
      </c>
      <c r="AN1105" s="258"/>
      <c r="AO1105" s="258">
        <v>0</v>
      </c>
    </row>
    <row r="1106" spans="1:41" s="259" customFormat="1" ht="36" customHeight="1" x14ac:dyDescent="0.25">
      <c r="A1106" s="259">
        <v>1</v>
      </c>
      <c r="B1106" s="135">
        <f>SUBTOTAL(103,$A$1000:A1106)</f>
        <v>104</v>
      </c>
      <c r="C1106" s="94" t="s">
        <v>789</v>
      </c>
      <c r="D1106" s="124">
        <v>1960</v>
      </c>
      <c r="E1106" s="124"/>
      <c r="F1106" s="129" t="s">
        <v>269</v>
      </c>
      <c r="G1106" s="124">
        <v>2</v>
      </c>
      <c r="H1106" s="124" t="s">
        <v>305</v>
      </c>
      <c r="I1106" s="125">
        <v>711.5</v>
      </c>
      <c r="J1106" s="125">
        <v>515.1</v>
      </c>
      <c r="K1106" s="125">
        <v>515.1</v>
      </c>
      <c r="L1106" s="126">
        <v>13</v>
      </c>
      <c r="M1106" s="124" t="s">
        <v>267</v>
      </c>
      <c r="N1106" s="124" t="s">
        <v>268</v>
      </c>
      <c r="O1106" s="127" t="s">
        <v>270</v>
      </c>
      <c r="P1106" s="128">
        <v>2496020.4</v>
      </c>
      <c r="Q1106" s="128">
        <v>0</v>
      </c>
      <c r="R1106" s="128">
        <v>0</v>
      </c>
      <c r="S1106" s="128">
        <f t="shared" si="341"/>
        <v>2496020.4</v>
      </c>
      <c r="T1106" s="128">
        <f t="shared" si="340"/>
        <v>3508.1101897399858</v>
      </c>
      <c r="U1106" s="128">
        <v>4205.7214617006321</v>
      </c>
      <c r="V1106" s="257">
        <f t="shared" si="333"/>
        <v>697.61127196064626</v>
      </c>
      <c r="W1106" s="257">
        <f t="shared" si="342"/>
        <v>4191.4251300070273</v>
      </c>
      <c r="X1106" s="257">
        <v>0</v>
      </c>
      <c r="Y1106" s="258">
        <v>0</v>
      </c>
      <c r="Z1106" s="258">
        <v>0</v>
      </c>
      <c r="AA1106" s="258">
        <v>0</v>
      </c>
      <c r="AB1106" s="258">
        <v>0</v>
      </c>
      <c r="AC1106" s="258">
        <v>0</v>
      </c>
      <c r="AD1106" s="258">
        <v>0</v>
      </c>
      <c r="AE1106" s="258">
        <v>478</v>
      </c>
      <c r="AF1106" s="257">
        <f>6238.91*AE1106/I1106</f>
        <v>4191.4251300070273</v>
      </c>
      <c r="AG1106" s="258">
        <v>0</v>
      </c>
      <c r="AH1106" s="257">
        <v>0</v>
      </c>
      <c r="AI1106" s="258">
        <v>0</v>
      </c>
      <c r="AJ1106" s="257">
        <v>0</v>
      </c>
      <c r="AK1106" s="258">
        <v>0</v>
      </c>
      <c r="AL1106" s="258">
        <v>0</v>
      </c>
      <c r="AM1106" s="258">
        <v>0</v>
      </c>
      <c r="AN1106" s="258"/>
      <c r="AO1106" s="258">
        <v>0</v>
      </c>
    </row>
    <row r="1107" spans="1:41" s="259" customFormat="1" ht="36" customHeight="1" x14ac:dyDescent="0.25">
      <c r="A1107" s="259">
        <v>1</v>
      </c>
      <c r="B1107" s="135">
        <f>SUBTOTAL(103,$A$1000:A1107)</f>
        <v>105</v>
      </c>
      <c r="C1107" s="94" t="s">
        <v>2301</v>
      </c>
      <c r="D1107" s="124">
        <v>1962</v>
      </c>
      <c r="E1107" s="124"/>
      <c r="F1107" s="129" t="s">
        <v>269</v>
      </c>
      <c r="G1107" s="124">
        <v>4</v>
      </c>
      <c r="H1107" s="124" t="s">
        <v>305</v>
      </c>
      <c r="I1107" s="125">
        <v>1599.4</v>
      </c>
      <c r="J1107" s="125">
        <v>1280.9000000000001</v>
      </c>
      <c r="K1107" s="125">
        <v>975</v>
      </c>
      <c r="L1107" s="126">
        <v>60</v>
      </c>
      <c r="M1107" s="124" t="s">
        <v>267</v>
      </c>
      <c r="N1107" s="124" t="s">
        <v>271</v>
      </c>
      <c r="O1107" s="127" t="s">
        <v>811</v>
      </c>
      <c r="P1107" s="128">
        <v>3119600</v>
      </c>
      <c r="Q1107" s="128">
        <v>0</v>
      </c>
      <c r="R1107" s="128">
        <v>0</v>
      </c>
      <c r="S1107" s="128">
        <f t="shared" si="341"/>
        <v>3119600</v>
      </c>
      <c r="T1107" s="128">
        <f t="shared" si="340"/>
        <v>1950.4814305364512</v>
      </c>
      <c r="U1107" s="128">
        <v>2454.1322558459419</v>
      </c>
      <c r="V1107" s="257">
        <f t="shared" si="333"/>
        <v>503.65082530949076</v>
      </c>
      <c r="W1107" s="257">
        <f t="shared" si="342"/>
        <v>2445.7900275103161</v>
      </c>
      <c r="X1107" s="257">
        <v>0</v>
      </c>
      <c r="Y1107" s="258">
        <v>0</v>
      </c>
      <c r="Z1107" s="258">
        <v>0</v>
      </c>
      <c r="AA1107" s="258">
        <v>0</v>
      </c>
      <c r="AB1107" s="258">
        <v>0</v>
      </c>
      <c r="AC1107" s="258">
        <v>0</v>
      </c>
      <c r="AD1107" s="258">
        <v>0</v>
      </c>
      <c r="AE1107" s="258">
        <v>627</v>
      </c>
      <c r="AF1107" s="257">
        <f>6238.91*AE1107/I1107</f>
        <v>2445.7900275103161</v>
      </c>
      <c r="AG1107" s="258">
        <v>0</v>
      </c>
      <c r="AH1107" s="257">
        <v>0</v>
      </c>
      <c r="AI1107" s="258">
        <v>0</v>
      </c>
      <c r="AJ1107" s="257">
        <v>0</v>
      </c>
      <c r="AK1107" s="258">
        <v>0</v>
      </c>
      <c r="AL1107" s="258">
        <v>0</v>
      </c>
      <c r="AM1107" s="258">
        <v>0</v>
      </c>
      <c r="AN1107" s="258"/>
      <c r="AO1107" s="258">
        <v>0</v>
      </c>
    </row>
    <row r="1108" spans="1:41" s="259" customFormat="1" ht="36" customHeight="1" x14ac:dyDescent="0.25">
      <c r="A1108" s="259">
        <v>1</v>
      </c>
      <c r="B1108" s="135">
        <f>SUBTOTAL(103,$A$1000:A1108)</f>
        <v>106</v>
      </c>
      <c r="C1108" s="94" t="s">
        <v>791</v>
      </c>
      <c r="D1108" s="124">
        <v>1991</v>
      </c>
      <c r="E1108" s="124"/>
      <c r="F1108" s="129" t="s">
        <v>320</v>
      </c>
      <c r="G1108" s="124">
        <v>9</v>
      </c>
      <c r="H1108" s="124" t="s">
        <v>310</v>
      </c>
      <c r="I1108" s="125">
        <v>10990.1</v>
      </c>
      <c r="J1108" s="125">
        <v>7793.3</v>
      </c>
      <c r="K1108" s="125">
        <v>7793.3</v>
      </c>
      <c r="L1108" s="126">
        <v>318</v>
      </c>
      <c r="M1108" s="124" t="s">
        <v>267</v>
      </c>
      <c r="N1108" s="124" t="s">
        <v>271</v>
      </c>
      <c r="O1108" s="127" t="s">
        <v>813</v>
      </c>
      <c r="P1108" s="128">
        <v>8572796.0600000005</v>
      </c>
      <c r="Q1108" s="128">
        <v>0</v>
      </c>
      <c r="R1108" s="128">
        <v>0</v>
      </c>
      <c r="S1108" s="128">
        <f t="shared" si="341"/>
        <v>8572796.0600000005</v>
      </c>
      <c r="T1108" s="128">
        <f t="shared" si="340"/>
        <v>780.04713878854602</v>
      </c>
      <c r="U1108" s="128">
        <v>894.55055004049098</v>
      </c>
      <c r="V1108" s="257">
        <f t="shared" si="333"/>
        <v>114.50341125194495</v>
      </c>
      <c r="W1108" s="257">
        <f t="shared" si="342"/>
        <v>894.55055004049098</v>
      </c>
      <c r="X1108" s="257">
        <v>0</v>
      </c>
      <c r="Y1108" s="258">
        <v>0</v>
      </c>
      <c r="Z1108" s="258">
        <v>0</v>
      </c>
      <c r="AA1108" s="258">
        <v>0</v>
      </c>
      <c r="AB1108" s="258">
        <v>0</v>
      </c>
      <c r="AC1108" s="258">
        <v>4</v>
      </c>
      <c r="AD1108" s="257">
        <f>2457800*AC1108/I1108</f>
        <v>894.55055004049098</v>
      </c>
      <c r="AE1108" s="258">
        <v>0</v>
      </c>
      <c r="AF1108" s="257">
        <v>0</v>
      </c>
      <c r="AG1108" s="258">
        <v>0</v>
      </c>
      <c r="AH1108" s="257">
        <v>0</v>
      </c>
      <c r="AI1108" s="258">
        <v>0</v>
      </c>
      <c r="AJ1108" s="257">
        <v>0</v>
      </c>
      <c r="AK1108" s="258">
        <v>0</v>
      </c>
      <c r="AL1108" s="258">
        <v>0</v>
      </c>
      <c r="AM1108" s="258">
        <v>0</v>
      </c>
      <c r="AN1108" s="258"/>
      <c r="AO1108" s="258">
        <v>0</v>
      </c>
    </row>
    <row r="1109" spans="1:41" s="259" customFormat="1" ht="36" customHeight="1" x14ac:dyDescent="0.25">
      <c r="A1109" s="259">
        <v>1</v>
      </c>
      <c r="B1109" s="135">
        <f>SUBTOTAL(103,$A$1000:A1109)</f>
        <v>107</v>
      </c>
      <c r="C1109" s="94" t="s">
        <v>793</v>
      </c>
      <c r="D1109" s="124">
        <v>1937</v>
      </c>
      <c r="E1109" s="124"/>
      <c r="F1109" s="129" t="s">
        <v>269</v>
      </c>
      <c r="G1109" s="124">
        <v>3</v>
      </c>
      <c r="H1109" s="124" t="s">
        <v>310</v>
      </c>
      <c r="I1109" s="125">
        <v>2758</v>
      </c>
      <c r="J1109" s="125">
        <v>1462.7</v>
      </c>
      <c r="K1109" s="125">
        <v>1347.2</v>
      </c>
      <c r="L1109" s="126">
        <v>62</v>
      </c>
      <c r="M1109" s="124" t="s">
        <v>267</v>
      </c>
      <c r="N1109" s="124" t="s">
        <v>271</v>
      </c>
      <c r="O1109" s="127" t="s">
        <v>811</v>
      </c>
      <c r="P1109" s="128">
        <v>7101648</v>
      </c>
      <c r="Q1109" s="128">
        <v>0</v>
      </c>
      <c r="R1109" s="128">
        <v>0</v>
      </c>
      <c r="S1109" s="128">
        <f t="shared" si="341"/>
        <v>7101648</v>
      </c>
      <c r="T1109" s="128">
        <f t="shared" si="340"/>
        <v>2574.9267585206671</v>
      </c>
      <c r="U1109" s="128">
        <v>3086.9682378535172</v>
      </c>
      <c r="V1109" s="257">
        <f t="shared" si="333"/>
        <v>512.04147933285003</v>
      </c>
      <c r="W1109" s="257">
        <f t="shared" si="342"/>
        <v>3076.4748368382884</v>
      </c>
      <c r="X1109" s="257">
        <v>0</v>
      </c>
      <c r="Y1109" s="258">
        <v>0</v>
      </c>
      <c r="Z1109" s="258">
        <v>0</v>
      </c>
      <c r="AA1109" s="258">
        <v>0</v>
      </c>
      <c r="AB1109" s="258">
        <v>0</v>
      </c>
      <c r="AC1109" s="258">
        <v>0</v>
      </c>
      <c r="AD1109" s="258">
        <v>0</v>
      </c>
      <c r="AE1109" s="258">
        <v>1360</v>
      </c>
      <c r="AF1109" s="257">
        <f>6238.91*AE1109/I1109</f>
        <v>3076.4748368382884</v>
      </c>
      <c r="AG1109" s="258">
        <v>0</v>
      </c>
      <c r="AH1109" s="257">
        <v>0</v>
      </c>
      <c r="AI1109" s="258">
        <v>0</v>
      </c>
      <c r="AJ1109" s="257">
        <v>0</v>
      </c>
      <c r="AK1109" s="258">
        <v>0</v>
      </c>
      <c r="AL1109" s="258">
        <v>0</v>
      </c>
      <c r="AM1109" s="258">
        <v>0</v>
      </c>
      <c r="AN1109" s="258"/>
      <c r="AO1109" s="258">
        <v>0</v>
      </c>
    </row>
    <row r="1110" spans="1:41" s="259" customFormat="1" ht="36" customHeight="1" x14ac:dyDescent="0.25">
      <c r="A1110" s="259">
        <v>1</v>
      </c>
      <c r="B1110" s="135">
        <f>SUBTOTAL(103,$A$1000:A1110)</f>
        <v>108</v>
      </c>
      <c r="C1110" s="94" t="s">
        <v>794</v>
      </c>
      <c r="D1110" s="124">
        <v>1959</v>
      </c>
      <c r="E1110" s="124"/>
      <c r="F1110" s="129" t="s">
        <v>269</v>
      </c>
      <c r="G1110" s="124">
        <v>4</v>
      </c>
      <c r="H1110" s="124" t="s">
        <v>305</v>
      </c>
      <c r="I1110" s="125">
        <v>1406.5</v>
      </c>
      <c r="J1110" s="125">
        <v>1307.5</v>
      </c>
      <c r="K1110" s="125">
        <v>809</v>
      </c>
      <c r="L1110" s="126">
        <v>67</v>
      </c>
      <c r="M1110" s="124" t="s">
        <v>267</v>
      </c>
      <c r="N1110" s="124" t="s">
        <v>271</v>
      </c>
      <c r="O1110" s="127" t="s">
        <v>811</v>
      </c>
      <c r="P1110" s="128">
        <v>3388948.1999999997</v>
      </c>
      <c r="Q1110" s="128">
        <v>0</v>
      </c>
      <c r="R1110" s="128">
        <v>0</v>
      </c>
      <c r="S1110" s="128">
        <f t="shared" si="341"/>
        <v>3388948.1999999997</v>
      </c>
      <c r="T1110" s="128">
        <f t="shared" si="340"/>
        <v>2409.4903661571275</v>
      </c>
      <c r="U1110" s="128">
        <v>2888.6337077852822</v>
      </c>
      <c r="V1110" s="257">
        <f t="shared" si="333"/>
        <v>479.14334162815476</v>
      </c>
      <c r="W1110" s="257">
        <f t="shared" si="342"/>
        <v>2878.8144969783148</v>
      </c>
      <c r="X1110" s="257">
        <v>0</v>
      </c>
      <c r="Y1110" s="258">
        <v>0</v>
      </c>
      <c r="Z1110" s="258">
        <v>0</v>
      </c>
      <c r="AA1110" s="258">
        <v>0</v>
      </c>
      <c r="AB1110" s="258">
        <v>0</v>
      </c>
      <c r="AC1110" s="258">
        <v>0</v>
      </c>
      <c r="AD1110" s="258">
        <v>0</v>
      </c>
      <c r="AE1110" s="258">
        <v>649</v>
      </c>
      <c r="AF1110" s="257">
        <f>6238.91*AE1110/I1110</f>
        <v>2878.8144969783148</v>
      </c>
      <c r="AG1110" s="258">
        <v>0</v>
      </c>
      <c r="AH1110" s="257">
        <v>0</v>
      </c>
      <c r="AI1110" s="258">
        <v>0</v>
      </c>
      <c r="AJ1110" s="257">
        <v>0</v>
      </c>
      <c r="AK1110" s="258">
        <v>0</v>
      </c>
      <c r="AL1110" s="258">
        <v>0</v>
      </c>
      <c r="AM1110" s="258">
        <v>0</v>
      </c>
      <c r="AN1110" s="258"/>
      <c r="AO1110" s="258">
        <v>0</v>
      </c>
    </row>
    <row r="1111" spans="1:41" s="259" customFormat="1" ht="36" customHeight="1" x14ac:dyDescent="0.25">
      <c r="A1111" s="259">
        <v>1</v>
      </c>
      <c r="B1111" s="135">
        <f>SUBTOTAL(103,$A$1000:A1111)</f>
        <v>109</v>
      </c>
      <c r="C1111" s="94" t="s">
        <v>795</v>
      </c>
      <c r="D1111" s="124">
        <v>1965</v>
      </c>
      <c r="E1111" s="124"/>
      <c r="F1111" s="129" t="s">
        <v>269</v>
      </c>
      <c r="G1111" s="124">
        <v>5</v>
      </c>
      <c r="H1111" s="124" t="s">
        <v>305</v>
      </c>
      <c r="I1111" s="125">
        <v>2042.45</v>
      </c>
      <c r="J1111" s="125">
        <v>1565</v>
      </c>
      <c r="K1111" s="125">
        <v>1565</v>
      </c>
      <c r="L1111" s="126">
        <v>65</v>
      </c>
      <c r="M1111" s="124" t="s">
        <v>267</v>
      </c>
      <c r="N1111" s="124" t="s">
        <v>271</v>
      </c>
      <c r="O1111" s="127" t="s">
        <v>809</v>
      </c>
      <c r="P1111" s="128">
        <v>3446388</v>
      </c>
      <c r="Q1111" s="128">
        <v>0</v>
      </c>
      <c r="R1111" s="128">
        <v>0</v>
      </c>
      <c r="S1111" s="128">
        <f t="shared" si="341"/>
        <v>3446388</v>
      </c>
      <c r="T1111" s="128">
        <f t="shared" si="340"/>
        <v>1687.3793728120638</v>
      </c>
      <c r="U1111" s="128">
        <v>2022.9260936620235</v>
      </c>
      <c r="V1111" s="257">
        <f t="shared" si="333"/>
        <v>335.54672084995968</v>
      </c>
      <c r="W1111" s="257">
        <f t="shared" si="342"/>
        <v>2016.0496462581702</v>
      </c>
      <c r="X1111" s="257">
        <v>0</v>
      </c>
      <c r="Y1111" s="258">
        <v>0</v>
      </c>
      <c r="Z1111" s="258">
        <v>0</v>
      </c>
      <c r="AA1111" s="258">
        <v>0</v>
      </c>
      <c r="AB1111" s="258">
        <v>0</v>
      </c>
      <c r="AC1111" s="258">
        <v>0</v>
      </c>
      <c r="AD1111" s="258">
        <v>0</v>
      </c>
      <c r="AE1111" s="258">
        <v>660</v>
      </c>
      <c r="AF1111" s="257">
        <f>6238.91*AE1111/I1111</f>
        <v>2016.0496462581702</v>
      </c>
      <c r="AG1111" s="258">
        <v>0</v>
      </c>
      <c r="AH1111" s="257">
        <v>0</v>
      </c>
      <c r="AI1111" s="258">
        <v>0</v>
      </c>
      <c r="AJ1111" s="257">
        <v>0</v>
      </c>
      <c r="AK1111" s="258">
        <v>0</v>
      </c>
      <c r="AL1111" s="258">
        <v>0</v>
      </c>
      <c r="AM1111" s="258">
        <v>0</v>
      </c>
      <c r="AN1111" s="258"/>
      <c r="AO1111" s="258">
        <v>0</v>
      </c>
    </row>
    <row r="1112" spans="1:41" s="259" customFormat="1" ht="36" customHeight="1" x14ac:dyDescent="0.25">
      <c r="A1112" s="259">
        <v>1</v>
      </c>
      <c r="B1112" s="135">
        <f>SUBTOTAL(103,$A$1000:A1112)</f>
        <v>110</v>
      </c>
      <c r="C1112" s="94" t="s">
        <v>796</v>
      </c>
      <c r="D1112" s="124">
        <v>1955</v>
      </c>
      <c r="E1112" s="124"/>
      <c r="F1112" s="129" t="s">
        <v>338</v>
      </c>
      <c r="G1112" s="124">
        <v>2</v>
      </c>
      <c r="H1112" s="124" t="s">
        <v>305</v>
      </c>
      <c r="I1112" s="125">
        <v>685.7</v>
      </c>
      <c r="J1112" s="125">
        <v>629.20000000000005</v>
      </c>
      <c r="K1112" s="125">
        <v>629.20000000000005</v>
      </c>
      <c r="L1112" s="126">
        <v>28</v>
      </c>
      <c r="M1112" s="124" t="s">
        <v>267</v>
      </c>
      <c r="N1112" s="124" t="s">
        <v>268</v>
      </c>
      <c r="O1112" s="127" t="s">
        <v>270</v>
      </c>
      <c r="P1112" s="128">
        <v>2827058</v>
      </c>
      <c r="Q1112" s="128">
        <v>0</v>
      </c>
      <c r="R1112" s="128">
        <v>0</v>
      </c>
      <c r="S1112" s="128">
        <f t="shared" si="341"/>
        <v>2827058</v>
      </c>
      <c r="T1112" s="128">
        <f t="shared" si="340"/>
        <v>4122.8788099752073</v>
      </c>
      <c r="U1112" s="128">
        <v>4665.2429488114331</v>
      </c>
      <c r="V1112" s="257">
        <f t="shared" si="333"/>
        <v>542.36413883622572</v>
      </c>
      <c r="W1112" s="257">
        <f t="shared" si="342"/>
        <v>4649.3845850955222</v>
      </c>
      <c r="X1112" s="257">
        <v>0</v>
      </c>
      <c r="Y1112" s="258">
        <v>0</v>
      </c>
      <c r="Z1112" s="258">
        <v>0</v>
      </c>
      <c r="AA1112" s="258">
        <v>0</v>
      </c>
      <c r="AB1112" s="258">
        <v>0</v>
      </c>
      <c r="AC1112" s="258">
        <v>0</v>
      </c>
      <c r="AD1112" s="258">
        <v>0</v>
      </c>
      <c r="AE1112" s="258">
        <v>511</v>
      </c>
      <c r="AF1112" s="257">
        <f>6238.91*AE1112/I1112</f>
        <v>4649.3845850955222</v>
      </c>
      <c r="AG1112" s="258">
        <v>0</v>
      </c>
      <c r="AH1112" s="257">
        <v>0</v>
      </c>
      <c r="AI1112" s="258">
        <v>0</v>
      </c>
      <c r="AJ1112" s="257">
        <v>0</v>
      </c>
      <c r="AK1112" s="258">
        <v>0</v>
      </c>
      <c r="AL1112" s="258">
        <v>0</v>
      </c>
      <c r="AM1112" s="258">
        <v>0</v>
      </c>
      <c r="AN1112" s="258"/>
      <c r="AO1112" s="258">
        <v>0</v>
      </c>
    </row>
    <row r="1113" spans="1:41" s="259" customFormat="1" ht="36" customHeight="1" x14ac:dyDescent="0.25">
      <c r="A1113" s="259">
        <v>1</v>
      </c>
      <c r="B1113" s="135">
        <f>SUBTOTAL(103,$A$1000:A1113)</f>
        <v>111</v>
      </c>
      <c r="C1113" s="94" t="s">
        <v>797</v>
      </c>
      <c r="D1113" s="124">
        <v>1975</v>
      </c>
      <c r="E1113" s="124"/>
      <c r="F1113" s="129" t="s">
        <v>269</v>
      </c>
      <c r="G1113" s="124">
        <v>5</v>
      </c>
      <c r="H1113" s="124" t="s">
        <v>373</v>
      </c>
      <c r="I1113" s="125">
        <v>6824.86</v>
      </c>
      <c r="J1113" s="125">
        <v>4475.3999999999996</v>
      </c>
      <c r="K1113" s="125">
        <v>4306.8999999999996</v>
      </c>
      <c r="L1113" s="126">
        <v>160</v>
      </c>
      <c r="M1113" s="124" t="s">
        <v>267</v>
      </c>
      <c r="N1113" s="124" t="s">
        <v>271</v>
      </c>
      <c r="O1113" s="127" t="s">
        <v>816</v>
      </c>
      <c r="P1113" s="128">
        <v>8660275.6699999981</v>
      </c>
      <c r="Q1113" s="128">
        <v>0</v>
      </c>
      <c r="R1113" s="128">
        <v>0</v>
      </c>
      <c r="S1113" s="128">
        <f t="shared" si="341"/>
        <v>8660275.6699999981</v>
      </c>
      <c r="T1113" s="128">
        <f t="shared" si="340"/>
        <v>1268.9308894248377</v>
      </c>
      <c r="U1113" s="128">
        <v>1878.0955250364109</v>
      </c>
      <c r="V1113" s="257">
        <f t="shared" si="333"/>
        <v>609.1646356115732</v>
      </c>
      <c r="W1113" s="257">
        <f t="shared" si="342"/>
        <v>1871.7113940798786</v>
      </c>
      <c r="X1113" s="257">
        <v>0</v>
      </c>
      <c r="Y1113" s="258">
        <v>0</v>
      </c>
      <c r="Z1113" s="258">
        <v>0</v>
      </c>
      <c r="AA1113" s="258">
        <v>0</v>
      </c>
      <c r="AB1113" s="258">
        <v>0</v>
      </c>
      <c r="AC1113" s="258">
        <v>0</v>
      </c>
      <c r="AD1113" s="258">
        <v>0</v>
      </c>
      <c r="AE1113" s="258">
        <v>2047.5</v>
      </c>
      <c r="AF1113" s="257">
        <f>6238.91*AE1113/I1113</f>
        <v>1871.7113940798786</v>
      </c>
      <c r="AG1113" s="258">
        <v>0</v>
      </c>
      <c r="AH1113" s="257">
        <v>0</v>
      </c>
      <c r="AI1113" s="258">
        <v>0</v>
      </c>
      <c r="AJ1113" s="257">
        <v>0</v>
      </c>
      <c r="AK1113" s="258">
        <v>0</v>
      </c>
      <c r="AL1113" s="258">
        <v>0</v>
      </c>
      <c r="AM1113" s="258">
        <v>0</v>
      </c>
      <c r="AN1113" s="258"/>
      <c r="AO1113" s="258">
        <v>0</v>
      </c>
    </row>
    <row r="1114" spans="1:41" s="259" customFormat="1" ht="36" customHeight="1" x14ac:dyDescent="0.25">
      <c r="A1114" s="259">
        <v>1</v>
      </c>
      <c r="B1114" s="135">
        <f>SUBTOTAL(103,$A$1000:A1114)</f>
        <v>112</v>
      </c>
      <c r="C1114" s="94" t="s">
        <v>819</v>
      </c>
      <c r="D1114" s="124">
        <v>1959</v>
      </c>
      <c r="E1114" s="124"/>
      <c r="F1114" s="129" t="s">
        <v>269</v>
      </c>
      <c r="G1114" s="124">
        <v>2</v>
      </c>
      <c r="H1114" s="124" t="s">
        <v>306</v>
      </c>
      <c r="I1114" s="125">
        <v>309.2</v>
      </c>
      <c r="J1114" s="125">
        <v>287.5</v>
      </c>
      <c r="K1114" s="125">
        <v>287.5</v>
      </c>
      <c r="L1114" s="126">
        <v>14</v>
      </c>
      <c r="M1114" s="124" t="s">
        <v>267</v>
      </c>
      <c r="N1114" s="124" t="s">
        <v>271</v>
      </c>
      <c r="O1114" s="127" t="s">
        <v>992</v>
      </c>
      <c r="P1114" s="128">
        <v>1991891.6</v>
      </c>
      <c r="Q1114" s="128">
        <v>0</v>
      </c>
      <c r="R1114" s="128">
        <v>0</v>
      </c>
      <c r="S1114" s="128">
        <f t="shared" si="341"/>
        <v>1991891.6</v>
      </c>
      <c r="T1114" s="128">
        <f t="shared" si="340"/>
        <v>6442.081500646831</v>
      </c>
      <c r="U1114" s="128">
        <v>8661.3065976714097</v>
      </c>
      <c r="V1114" s="257">
        <f t="shared" si="333"/>
        <v>2219.2250970245786</v>
      </c>
      <c r="W1114" s="257">
        <f t="shared" si="342"/>
        <v>8661.3065976714097</v>
      </c>
      <c r="X1114" s="257">
        <v>0</v>
      </c>
      <c r="Y1114" s="258">
        <v>0</v>
      </c>
      <c r="Z1114" s="258">
        <v>0</v>
      </c>
      <c r="AA1114" s="258">
        <v>0</v>
      </c>
      <c r="AB1114" s="258">
        <v>0</v>
      </c>
      <c r="AC1114" s="258">
        <v>0</v>
      </c>
      <c r="AD1114" s="258">
        <v>0</v>
      </c>
      <c r="AE1114" s="258">
        <v>0</v>
      </c>
      <c r="AF1114" s="257">
        <v>0</v>
      </c>
      <c r="AG1114" s="258">
        <v>0</v>
      </c>
      <c r="AH1114" s="257">
        <v>0</v>
      </c>
      <c r="AI1114" s="258">
        <v>360</v>
      </c>
      <c r="AJ1114" s="257">
        <f>7439.1*AI1114/I1114</f>
        <v>8661.3065976714097</v>
      </c>
      <c r="AK1114" s="258">
        <v>0</v>
      </c>
      <c r="AL1114" s="258">
        <v>0</v>
      </c>
      <c r="AM1114" s="258">
        <v>0</v>
      </c>
      <c r="AN1114" s="258"/>
      <c r="AO1114" s="258">
        <v>0</v>
      </c>
    </row>
    <row r="1115" spans="1:41" s="259" customFormat="1" ht="36" customHeight="1" x14ac:dyDescent="0.25">
      <c r="A1115" s="259">
        <v>1</v>
      </c>
      <c r="B1115" s="135">
        <f>SUBTOTAL(103,$A$1000:A1115)</f>
        <v>113</v>
      </c>
      <c r="C1115" s="94" t="s">
        <v>1614</v>
      </c>
      <c r="D1115" s="124">
        <v>1958</v>
      </c>
      <c r="E1115" s="124"/>
      <c r="F1115" s="129" t="s">
        <v>269</v>
      </c>
      <c r="G1115" s="124">
        <v>2</v>
      </c>
      <c r="H1115" s="124" t="s">
        <v>305</v>
      </c>
      <c r="I1115" s="125">
        <v>446.8</v>
      </c>
      <c r="J1115" s="125">
        <v>446.8</v>
      </c>
      <c r="K1115" s="125">
        <v>297.3</v>
      </c>
      <c r="L1115" s="126">
        <v>17</v>
      </c>
      <c r="M1115" s="124" t="s">
        <v>267</v>
      </c>
      <c r="N1115" s="124" t="s">
        <v>268</v>
      </c>
      <c r="O1115" s="127" t="s">
        <v>270</v>
      </c>
      <c r="P1115" s="128">
        <v>2084284</v>
      </c>
      <c r="Q1115" s="128">
        <v>0</v>
      </c>
      <c r="R1115" s="128">
        <v>0</v>
      </c>
      <c r="S1115" s="128">
        <f t="shared" si="341"/>
        <v>2084284</v>
      </c>
      <c r="T1115" s="128">
        <f t="shared" si="340"/>
        <v>4664.9149507609663</v>
      </c>
      <c r="U1115" s="128">
        <v>5324.243957027752</v>
      </c>
      <c r="V1115" s="257">
        <f t="shared" si="333"/>
        <v>659.32900626678565</v>
      </c>
      <c r="W1115" s="257">
        <f t="shared" si="342"/>
        <v>5306.1454789615036</v>
      </c>
      <c r="X1115" s="257">
        <v>0</v>
      </c>
      <c r="Y1115" s="258">
        <v>0</v>
      </c>
      <c r="Z1115" s="258">
        <v>0</v>
      </c>
      <c r="AA1115" s="258">
        <v>0</v>
      </c>
      <c r="AB1115" s="258">
        <v>0</v>
      </c>
      <c r="AC1115" s="258">
        <v>0</v>
      </c>
      <c r="AD1115" s="258">
        <v>0</v>
      </c>
      <c r="AE1115" s="258">
        <v>380</v>
      </c>
      <c r="AF1115" s="257">
        <f>6238.91*AE1115/I1115</f>
        <v>5306.1454789615036</v>
      </c>
      <c r="AG1115" s="258">
        <v>0</v>
      </c>
      <c r="AH1115" s="257">
        <v>0</v>
      </c>
      <c r="AI1115" s="258">
        <v>0</v>
      </c>
      <c r="AJ1115" s="257">
        <v>0</v>
      </c>
      <c r="AK1115" s="258">
        <v>0</v>
      </c>
      <c r="AL1115" s="258">
        <v>0</v>
      </c>
      <c r="AM1115" s="258">
        <v>0</v>
      </c>
      <c r="AN1115" s="258"/>
      <c r="AO1115" s="258">
        <v>0</v>
      </c>
    </row>
    <row r="1116" spans="1:41" s="259" customFormat="1" ht="36" customHeight="1" x14ac:dyDescent="0.25">
      <c r="B1116" s="94" t="s">
        <v>764</v>
      </c>
      <c r="C1116" s="261"/>
      <c r="D1116" s="124" t="s">
        <v>896</v>
      </c>
      <c r="E1116" s="124" t="s">
        <v>896</v>
      </c>
      <c r="F1116" s="124" t="s">
        <v>896</v>
      </c>
      <c r="G1116" s="124" t="s">
        <v>896</v>
      </c>
      <c r="H1116" s="124" t="s">
        <v>896</v>
      </c>
      <c r="I1116" s="125">
        <f>I1117+I1118</f>
        <v>13712.699999999999</v>
      </c>
      <c r="J1116" s="125">
        <f>J1117+J1118</f>
        <v>12166.6</v>
      </c>
      <c r="K1116" s="125">
        <f>K1117+K1118</f>
        <v>11718.300000000001</v>
      </c>
      <c r="L1116" s="126">
        <f>L1117+L1118</f>
        <v>547</v>
      </c>
      <c r="M1116" s="124" t="s">
        <v>896</v>
      </c>
      <c r="N1116" s="124" t="s">
        <v>896</v>
      </c>
      <c r="O1116" s="127" t="s">
        <v>896</v>
      </c>
      <c r="P1116" s="125">
        <v>21856214.649999999</v>
      </c>
      <c r="Q1116" s="125">
        <f>Q1117+Q1118</f>
        <v>0</v>
      </c>
      <c r="R1116" s="125">
        <f>R1117+R1118</f>
        <v>0</v>
      </c>
      <c r="S1116" s="125">
        <f>S1117+S1118</f>
        <v>21856214.649999999</v>
      </c>
      <c r="T1116" s="128">
        <f t="shared" si="340"/>
        <v>1593.8666090558388</v>
      </c>
      <c r="U1116" s="128">
        <f>MAX(U1117:U1118)</f>
        <v>5371.5068076009993</v>
      </c>
      <c r="V1116" s="257">
        <f t="shared" si="333"/>
        <v>3777.6401985451603</v>
      </c>
      <c r="W1116" s="257"/>
      <c r="X1116" s="257"/>
      <c r="Y1116" s="258"/>
      <c r="Z1116" s="258"/>
      <c r="AA1116" s="258"/>
      <c r="AB1116" s="258"/>
      <c r="AC1116" s="258"/>
      <c r="AD1116" s="258"/>
      <c r="AE1116" s="258"/>
      <c r="AF1116" s="258"/>
      <c r="AG1116" s="258"/>
      <c r="AH1116" s="258"/>
      <c r="AI1116" s="258"/>
      <c r="AJ1116" s="258"/>
      <c r="AK1116" s="258"/>
      <c r="AL1116" s="258"/>
      <c r="AM1116" s="258"/>
      <c r="AN1116" s="258"/>
      <c r="AO1116" s="258"/>
    </row>
    <row r="1117" spans="1:41" s="259" customFormat="1" ht="36" customHeight="1" x14ac:dyDescent="0.25">
      <c r="A1117" s="259">
        <v>1</v>
      </c>
      <c r="B1117" s="135">
        <f>SUBTOTAL(103,$A$1000:A1117)</f>
        <v>114</v>
      </c>
      <c r="C1117" s="94" t="s">
        <v>386</v>
      </c>
      <c r="D1117" s="124">
        <v>1981</v>
      </c>
      <c r="E1117" s="124">
        <v>2016</v>
      </c>
      <c r="F1117" s="129" t="s">
        <v>313</v>
      </c>
      <c r="G1117" s="124">
        <v>5</v>
      </c>
      <c r="H1117" s="124" t="s">
        <v>353</v>
      </c>
      <c r="I1117" s="125">
        <v>3982.4</v>
      </c>
      <c r="J1117" s="125">
        <v>3501.5</v>
      </c>
      <c r="K1117" s="125">
        <v>3375.6</v>
      </c>
      <c r="L1117" s="126">
        <v>165</v>
      </c>
      <c r="M1117" s="124" t="s">
        <v>267</v>
      </c>
      <c r="N1117" s="124" t="s">
        <v>271</v>
      </c>
      <c r="O1117" s="127" t="s">
        <v>321</v>
      </c>
      <c r="P1117" s="128">
        <v>7550257.2599999998</v>
      </c>
      <c r="Q1117" s="128">
        <v>0</v>
      </c>
      <c r="R1117" s="128">
        <v>0</v>
      </c>
      <c r="S1117" s="128">
        <f>P1117-Q1117-R1117</f>
        <v>7550257.2599999998</v>
      </c>
      <c r="T1117" s="128">
        <f t="shared" si="340"/>
        <v>1895.9063027320208</v>
      </c>
      <c r="U1117" s="128">
        <v>4532.13</v>
      </c>
      <c r="V1117" s="257">
        <f t="shared" si="333"/>
        <v>2636.2236972679793</v>
      </c>
      <c r="W1117" s="257">
        <f t="shared" ref="W1117:W1118" si="343">X1117+Y1117+Z1117+AA1117+AB1117+AD1117+AF1117+AH1117+AJ1117+AL1117+AN1117+AO1117</f>
        <v>4586.9399999999996</v>
      </c>
      <c r="X1117" s="257">
        <v>101.55</v>
      </c>
      <c r="Y1117" s="258">
        <v>245.44</v>
      </c>
      <c r="Z1117" s="258">
        <v>3259.66</v>
      </c>
      <c r="AA1117" s="258">
        <v>184.98</v>
      </c>
      <c r="AB1117" s="258">
        <v>795.31</v>
      </c>
      <c r="AC1117" s="258">
        <v>0</v>
      </c>
      <c r="AD1117" s="258">
        <v>0</v>
      </c>
      <c r="AE1117" s="258">
        <v>0</v>
      </c>
      <c r="AF1117" s="257">
        <v>0</v>
      </c>
      <c r="AG1117" s="258">
        <v>0</v>
      </c>
      <c r="AH1117" s="257">
        <v>0</v>
      </c>
      <c r="AI1117" s="258">
        <v>0</v>
      </c>
      <c r="AJ1117" s="257">
        <v>0</v>
      </c>
      <c r="AK1117" s="258">
        <v>0</v>
      </c>
      <c r="AL1117" s="258">
        <v>0</v>
      </c>
      <c r="AM1117" s="258">
        <v>0</v>
      </c>
      <c r="AN1117" s="258"/>
      <c r="AO1117" s="258">
        <v>0</v>
      </c>
    </row>
    <row r="1118" spans="1:41" s="259" customFormat="1" ht="36" customHeight="1" x14ac:dyDescent="0.25">
      <c r="A1118" s="259">
        <v>1</v>
      </c>
      <c r="B1118" s="135">
        <f>SUBTOTAL(103,$A$1000:A1118)</f>
        <v>115</v>
      </c>
      <c r="C1118" s="94" t="s">
        <v>387</v>
      </c>
      <c r="D1118" s="124">
        <v>1999</v>
      </c>
      <c r="E1118" s="124">
        <v>2016</v>
      </c>
      <c r="F1118" s="129" t="s">
        <v>313</v>
      </c>
      <c r="G1118" s="124">
        <v>9</v>
      </c>
      <c r="H1118" s="124" t="s">
        <v>310</v>
      </c>
      <c r="I1118" s="125">
        <v>9730.2999999999993</v>
      </c>
      <c r="J1118" s="125">
        <v>8665.1</v>
      </c>
      <c r="K1118" s="125">
        <v>8342.7000000000007</v>
      </c>
      <c r="L1118" s="126">
        <v>382</v>
      </c>
      <c r="M1118" s="124" t="s">
        <v>267</v>
      </c>
      <c r="N1118" s="124" t="s">
        <v>271</v>
      </c>
      <c r="O1118" s="127" t="s">
        <v>321</v>
      </c>
      <c r="P1118" s="128">
        <v>14305957.390000001</v>
      </c>
      <c r="Q1118" s="128">
        <v>0</v>
      </c>
      <c r="R1118" s="128">
        <v>0</v>
      </c>
      <c r="S1118" s="128">
        <f>P1118-Q1118-R1118</f>
        <v>14305957.390000001</v>
      </c>
      <c r="T1118" s="128">
        <f t="shared" si="340"/>
        <v>1470.2483366391582</v>
      </c>
      <c r="U1118" s="128">
        <v>5371.5068076009993</v>
      </c>
      <c r="V1118" s="257">
        <f t="shared" si="333"/>
        <v>3901.2584709618413</v>
      </c>
      <c r="W1118" s="257">
        <f t="shared" si="343"/>
        <v>5633.9843169275355</v>
      </c>
      <c r="X1118" s="257">
        <v>0</v>
      </c>
      <c r="Y1118" s="258">
        <v>0</v>
      </c>
      <c r="Z1118" s="258">
        <v>0</v>
      </c>
      <c r="AA1118" s="258">
        <v>0</v>
      </c>
      <c r="AB1118" s="258">
        <v>0</v>
      </c>
      <c r="AC1118" s="258">
        <v>0</v>
      </c>
      <c r="AD1118" s="258">
        <v>0</v>
      </c>
      <c r="AE1118" s="258">
        <v>0</v>
      </c>
      <c r="AF1118" s="257">
        <v>0</v>
      </c>
      <c r="AG1118" s="258">
        <v>0</v>
      </c>
      <c r="AH1118" s="257">
        <v>0</v>
      </c>
      <c r="AI1118" s="258">
        <v>7025.9</v>
      </c>
      <c r="AJ1118" s="257">
        <f>7802.61*AI1118/I1118</f>
        <v>5633.9843169275355</v>
      </c>
      <c r="AK1118" s="258">
        <v>0</v>
      </c>
      <c r="AL1118" s="258">
        <v>0</v>
      </c>
      <c r="AM1118" s="258">
        <v>0</v>
      </c>
      <c r="AN1118" s="258"/>
      <c r="AO1118" s="258">
        <v>0</v>
      </c>
    </row>
    <row r="1119" spans="1:41" s="259" customFormat="1" ht="36" customHeight="1" x14ac:dyDescent="0.25">
      <c r="B1119" s="94" t="s">
        <v>821</v>
      </c>
      <c r="C1119" s="261"/>
      <c r="D1119" s="124" t="s">
        <v>896</v>
      </c>
      <c r="E1119" s="124" t="s">
        <v>896</v>
      </c>
      <c r="F1119" s="124" t="s">
        <v>896</v>
      </c>
      <c r="G1119" s="124" t="s">
        <v>896</v>
      </c>
      <c r="H1119" s="124" t="s">
        <v>896</v>
      </c>
      <c r="I1119" s="125">
        <f>SUM(I1120:I1127)</f>
        <v>44403.5</v>
      </c>
      <c r="J1119" s="125">
        <f>SUM(J1120:J1127)</f>
        <v>37098.74</v>
      </c>
      <c r="K1119" s="125">
        <f>SUM(K1120:K1127)</f>
        <v>31970.329999999998</v>
      </c>
      <c r="L1119" s="126">
        <f>SUM(L1120:L1127)</f>
        <v>1743</v>
      </c>
      <c r="M1119" s="124" t="s">
        <v>896</v>
      </c>
      <c r="N1119" s="124" t="s">
        <v>896</v>
      </c>
      <c r="O1119" s="127" t="s">
        <v>896</v>
      </c>
      <c r="P1119" s="125">
        <v>51599396.32</v>
      </c>
      <c r="Q1119" s="125">
        <f>SUM(Q1120:Q1127)</f>
        <v>0</v>
      </c>
      <c r="R1119" s="125">
        <f>SUM(R1120:R1127)</f>
        <v>0</v>
      </c>
      <c r="S1119" s="125">
        <f>SUM(S1120:S1127)</f>
        <v>51599396.32</v>
      </c>
      <c r="T1119" s="128">
        <f t="shared" si="340"/>
        <v>1162.056962176405</v>
      </c>
      <c r="U1119" s="128">
        <f>MAX(U1120:U1127)</f>
        <v>7396.5430112644772</v>
      </c>
      <c r="V1119" s="257">
        <f t="shared" si="333"/>
        <v>6234.4860490880719</v>
      </c>
      <c r="W1119" s="257"/>
      <c r="X1119" s="257"/>
      <c r="Y1119" s="258"/>
      <c r="Z1119" s="258"/>
      <c r="AA1119" s="258"/>
      <c r="AB1119" s="258"/>
      <c r="AC1119" s="258"/>
      <c r="AD1119" s="258"/>
      <c r="AE1119" s="258"/>
      <c r="AF1119" s="258"/>
      <c r="AG1119" s="258"/>
      <c r="AH1119" s="258"/>
      <c r="AI1119" s="258"/>
      <c r="AJ1119" s="258"/>
      <c r="AK1119" s="258"/>
      <c r="AL1119" s="258"/>
      <c r="AM1119" s="258"/>
      <c r="AN1119" s="258"/>
      <c r="AO1119" s="258"/>
    </row>
    <row r="1120" spans="1:41" s="259" customFormat="1" ht="36" customHeight="1" x14ac:dyDescent="0.25">
      <c r="A1120" s="259">
        <v>1</v>
      </c>
      <c r="B1120" s="135">
        <f>SUBTOTAL(103,$A$1000:A1120)</f>
        <v>116</v>
      </c>
      <c r="C1120" s="94" t="s">
        <v>612</v>
      </c>
      <c r="D1120" s="124">
        <v>1967</v>
      </c>
      <c r="E1120" s="124"/>
      <c r="F1120" s="129" t="s">
        <v>269</v>
      </c>
      <c r="G1120" s="124">
        <v>5</v>
      </c>
      <c r="H1120" s="124" t="s">
        <v>310</v>
      </c>
      <c r="I1120" s="125">
        <v>5264.54</v>
      </c>
      <c r="J1120" s="125">
        <v>3236.74</v>
      </c>
      <c r="K1120" s="125">
        <v>2547.17</v>
      </c>
      <c r="L1120" s="126">
        <v>119</v>
      </c>
      <c r="M1120" s="124" t="s">
        <v>267</v>
      </c>
      <c r="N1120" s="124" t="s">
        <v>271</v>
      </c>
      <c r="O1120" s="127" t="s">
        <v>710</v>
      </c>
      <c r="P1120" s="128">
        <v>5121801</v>
      </c>
      <c r="Q1120" s="128">
        <v>0</v>
      </c>
      <c r="R1120" s="128">
        <v>0</v>
      </c>
      <c r="S1120" s="128">
        <f t="shared" ref="S1120:S1127" si="344">P1120-Q1120-R1120</f>
        <v>5121801</v>
      </c>
      <c r="T1120" s="128">
        <f t="shared" si="340"/>
        <v>972.8867099499671</v>
      </c>
      <c r="U1120" s="128">
        <v>1166.530483195113</v>
      </c>
      <c r="V1120" s="257">
        <f t="shared" si="333"/>
        <v>193.64377324514589</v>
      </c>
      <c r="W1120" s="257">
        <f t="shared" ref="W1120:W1127" si="345">X1120+Y1120+Z1120+AA1120+AB1120+AD1120+AF1120+AH1120+AJ1120+AL1120+AN1120+AO1120</f>
        <v>1162.5651452928462</v>
      </c>
      <c r="X1120" s="257">
        <v>0</v>
      </c>
      <c r="Y1120" s="258">
        <v>0</v>
      </c>
      <c r="Z1120" s="258">
        <v>0</v>
      </c>
      <c r="AA1120" s="258">
        <v>0</v>
      </c>
      <c r="AB1120" s="258">
        <v>0</v>
      </c>
      <c r="AC1120" s="258">
        <v>0</v>
      </c>
      <c r="AD1120" s="258">
        <v>0</v>
      </c>
      <c r="AE1120" s="258">
        <v>981</v>
      </c>
      <c r="AF1120" s="257">
        <f>6238.91*AE1120/I1120</f>
        <v>1162.5651452928462</v>
      </c>
      <c r="AG1120" s="258">
        <v>0</v>
      </c>
      <c r="AH1120" s="257">
        <v>0</v>
      </c>
      <c r="AI1120" s="258">
        <v>0</v>
      </c>
      <c r="AJ1120" s="257">
        <v>0</v>
      </c>
      <c r="AK1120" s="258">
        <v>0</v>
      </c>
      <c r="AL1120" s="258">
        <v>0</v>
      </c>
      <c r="AM1120" s="258">
        <v>0</v>
      </c>
      <c r="AN1120" s="258"/>
      <c r="AO1120" s="258">
        <v>0</v>
      </c>
    </row>
    <row r="1121" spans="1:41" s="259" customFormat="1" ht="36" customHeight="1" x14ac:dyDescent="0.25">
      <c r="A1121" s="259">
        <v>1</v>
      </c>
      <c r="B1121" s="135">
        <f>SUBTOTAL(103,$A$1000:A1121)</f>
        <v>117</v>
      </c>
      <c r="C1121" s="94" t="s">
        <v>613</v>
      </c>
      <c r="D1121" s="124">
        <v>1969</v>
      </c>
      <c r="E1121" s="124"/>
      <c r="F1121" s="129" t="s">
        <v>269</v>
      </c>
      <c r="G1121" s="124">
        <v>5</v>
      </c>
      <c r="H1121" s="124" t="s">
        <v>2293</v>
      </c>
      <c r="I1121" s="125">
        <v>8212.5400000000009</v>
      </c>
      <c r="J1121" s="125">
        <v>5998.64</v>
      </c>
      <c r="K1121" s="125">
        <v>5998.64</v>
      </c>
      <c r="L1121" s="126">
        <v>252</v>
      </c>
      <c r="M1121" s="124" t="s">
        <v>267</v>
      </c>
      <c r="N1121" s="124" t="s">
        <v>271</v>
      </c>
      <c r="O1121" s="127" t="s">
        <v>710</v>
      </c>
      <c r="P1121" s="128">
        <v>8124000</v>
      </c>
      <c r="Q1121" s="128">
        <v>0</v>
      </c>
      <c r="R1121" s="128">
        <v>0</v>
      </c>
      <c r="S1121" s="128">
        <f t="shared" si="344"/>
        <v>8124000</v>
      </c>
      <c r="T1121" s="128">
        <f t="shared" si="340"/>
        <v>989.21892617874607</v>
      </c>
      <c r="U1121" s="128">
        <v>1290.1455061406091</v>
      </c>
      <c r="V1121" s="257">
        <f t="shared" ref="V1121:V1127" si="346">U1121-T1121</f>
        <v>300.92657996186301</v>
      </c>
      <c r="W1121" s="257">
        <f t="shared" si="345"/>
        <v>1285.7599689012166</v>
      </c>
      <c r="X1121" s="257">
        <v>0</v>
      </c>
      <c r="Y1121" s="258">
        <v>0</v>
      </c>
      <c r="Z1121" s="258">
        <v>0</v>
      </c>
      <c r="AA1121" s="258">
        <v>0</v>
      </c>
      <c r="AB1121" s="258">
        <v>0</v>
      </c>
      <c r="AC1121" s="258">
        <v>0</v>
      </c>
      <c r="AD1121" s="258">
        <v>0</v>
      </c>
      <c r="AE1121" s="258">
        <v>1692.5</v>
      </c>
      <c r="AF1121" s="257">
        <f>6238.91*AE1121/I1121</f>
        <v>1285.7599689012166</v>
      </c>
      <c r="AG1121" s="258">
        <v>0</v>
      </c>
      <c r="AH1121" s="257">
        <v>0</v>
      </c>
      <c r="AI1121" s="258">
        <v>0</v>
      </c>
      <c r="AJ1121" s="257">
        <v>0</v>
      </c>
      <c r="AK1121" s="258">
        <v>0</v>
      </c>
      <c r="AL1121" s="258">
        <v>0</v>
      </c>
      <c r="AM1121" s="258">
        <v>0</v>
      </c>
      <c r="AN1121" s="258"/>
      <c r="AO1121" s="258">
        <v>0</v>
      </c>
    </row>
    <row r="1122" spans="1:41" s="259" customFormat="1" ht="36" customHeight="1" x14ac:dyDescent="0.25">
      <c r="A1122" s="259">
        <v>1</v>
      </c>
      <c r="B1122" s="135">
        <f>SUBTOTAL(103,$A$1000:A1122)</f>
        <v>118</v>
      </c>
      <c r="C1122" s="94" t="s">
        <v>1696</v>
      </c>
      <c r="D1122" s="124">
        <v>1990</v>
      </c>
      <c r="E1122" s="124"/>
      <c r="F1122" s="129" t="s">
        <v>320</v>
      </c>
      <c r="G1122" s="124">
        <v>2</v>
      </c>
      <c r="H1122" s="124" t="s">
        <v>305</v>
      </c>
      <c r="I1122" s="125">
        <v>630.29999999999995</v>
      </c>
      <c r="J1122" s="125">
        <v>568.70000000000005</v>
      </c>
      <c r="K1122" s="125">
        <v>568.70000000000005</v>
      </c>
      <c r="L1122" s="126">
        <v>25</v>
      </c>
      <c r="M1122" s="124" t="s">
        <v>267</v>
      </c>
      <c r="N1122" s="124" t="s">
        <v>271</v>
      </c>
      <c r="O1122" s="127" t="s">
        <v>712</v>
      </c>
      <c r="P1122" s="128">
        <v>4662041.0599999996</v>
      </c>
      <c r="Q1122" s="128">
        <v>0</v>
      </c>
      <c r="R1122" s="128">
        <v>0</v>
      </c>
      <c r="S1122" s="128">
        <f t="shared" si="344"/>
        <v>4662041.0599999996</v>
      </c>
      <c r="T1122" s="128">
        <f t="shared" si="340"/>
        <v>7396.5430112644772</v>
      </c>
      <c r="U1122" s="128">
        <v>7396.5430112644772</v>
      </c>
      <c r="V1122" s="257">
        <f t="shared" si="346"/>
        <v>0</v>
      </c>
      <c r="W1122" s="257">
        <f>T1122</f>
        <v>7396.5430112644772</v>
      </c>
      <c r="X1122" s="257">
        <v>0</v>
      </c>
      <c r="Y1122" s="258">
        <v>0</v>
      </c>
      <c r="Z1122" s="258">
        <v>0</v>
      </c>
      <c r="AA1122" s="258">
        <v>0</v>
      </c>
      <c r="AB1122" s="258">
        <v>0</v>
      </c>
      <c r="AC1122" s="258">
        <v>0</v>
      </c>
      <c r="AD1122" s="258">
        <v>0</v>
      </c>
      <c r="AE1122" s="258">
        <v>650</v>
      </c>
      <c r="AF1122" s="257">
        <f>6436.53*AE1122/I1122</f>
        <v>6637.703474535936</v>
      </c>
      <c r="AG1122" s="258">
        <v>0</v>
      </c>
      <c r="AH1122" s="257">
        <v>0</v>
      </c>
      <c r="AI1122" s="258">
        <v>0</v>
      </c>
      <c r="AJ1122" s="257">
        <v>0</v>
      </c>
      <c r="AK1122" s="258">
        <v>0</v>
      </c>
      <c r="AL1122" s="258">
        <v>0</v>
      </c>
      <c r="AM1122" s="258">
        <v>0</v>
      </c>
      <c r="AN1122" s="258"/>
      <c r="AO1122" s="258">
        <v>0</v>
      </c>
    </row>
    <row r="1123" spans="1:41" s="259" customFormat="1" ht="36" customHeight="1" x14ac:dyDescent="0.25">
      <c r="A1123" s="259">
        <v>1</v>
      </c>
      <c r="B1123" s="135">
        <f>SUBTOTAL(103,$A$1000:A1123)</f>
        <v>119</v>
      </c>
      <c r="C1123" s="94" t="s">
        <v>617</v>
      </c>
      <c r="D1123" s="124">
        <v>1982</v>
      </c>
      <c r="E1123" s="124"/>
      <c r="F1123" s="129" t="s">
        <v>269</v>
      </c>
      <c r="G1123" s="124">
        <v>9</v>
      </c>
      <c r="H1123" s="124" t="s">
        <v>373</v>
      </c>
      <c r="I1123" s="125">
        <v>12113.01</v>
      </c>
      <c r="J1123" s="125">
        <v>10694</v>
      </c>
      <c r="K1123" s="125">
        <v>10692.21</v>
      </c>
      <c r="L1123" s="126">
        <v>559</v>
      </c>
      <c r="M1123" s="124" t="s">
        <v>267</v>
      </c>
      <c r="N1123" s="124" t="s">
        <v>271</v>
      </c>
      <c r="O1123" s="127" t="s">
        <v>712</v>
      </c>
      <c r="P1123" s="128">
        <v>9052752</v>
      </c>
      <c r="Q1123" s="128">
        <v>0</v>
      </c>
      <c r="R1123" s="128">
        <v>0</v>
      </c>
      <c r="S1123" s="128">
        <f t="shared" si="344"/>
        <v>9052752</v>
      </c>
      <c r="T1123" s="128">
        <f t="shared" si="340"/>
        <v>747.35775831110516</v>
      </c>
      <c r="U1123" s="128">
        <v>936.46948859119232</v>
      </c>
      <c r="V1123" s="257">
        <f t="shared" si="346"/>
        <v>189.11173028008716</v>
      </c>
      <c r="W1123" s="257">
        <f t="shared" si="345"/>
        <v>933.28618733081203</v>
      </c>
      <c r="X1123" s="257">
        <v>0</v>
      </c>
      <c r="Y1123" s="258">
        <v>0</v>
      </c>
      <c r="Z1123" s="258">
        <v>0</v>
      </c>
      <c r="AA1123" s="258">
        <v>0</v>
      </c>
      <c r="AB1123" s="258">
        <v>0</v>
      </c>
      <c r="AC1123" s="258">
        <v>0</v>
      </c>
      <c r="AD1123" s="258">
        <v>0</v>
      </c>
      <c r="AE1123" s="258">
        <v>1812</v>
      </c>
      <c r="AF1123" s="257">
        <f>6238.91*AE1123/I1123</f>
        <v>933.28618733081203</v>
      </c>
      <c r="AG1123" s="258">
        <v>0</v>
      </c>
      <c r="AH1123" s="257">
        <v>0</v>
      </c>
      <c r="AI1123" s="258">
        <v>0</v>
      </c>
      <c r="AJ1123" s="257">
        <v>0</v>
      </c>
      <c r="AK1123" s="258">
        <v>0</v>
      </c>
      <c r="AL1123" s="258">
        <v>0</v>
      </c>
      <c r="AM1123" s="258">
        <v>0</v>
      </c>
      <c r="AN1123" s="258"/>
      <c r="AO1123" s="258">
        <v>0</v>
      </c>
    </row>
    <row r="1124" spans="1:41" s="259" customFormat="1" ht="36" customHeight="1" x14ac:dyDescent="0.25">
      <c r="A1124" s="259">
        <v>1</v>
      </c>
      <c r="B1124" s="135">
        <f>SUBTOTAL(103,$A$1000:A1124)</f>
        <v>120</v>
      </c>
      <c r="C1124" s="94" t="s">
        <v>630</v>
      </c>
      <c r="D1124" s="124">
        <v>1975</v>
      </c>
      <c r="E1124" s="124"/>
      <c r="F1124" s="129" t="s">
        <v>269</v>
      </c>
      <c r="G1124" s="124">
        <v>5</v>
      </c>
      <c r="H1124" s="124" t="s">
        <v>306</v>
      </c>
      <c r="I1124" s="125">
        <v>2310.5</v>
      </c>
      <c r="J1124" s="125">
        <v>1287.55</v>
      </c>
      <c r="K1124" s="125">
        <v>830.8</v>
      </c>
      <c r="L1124" s="126">
        <v>86</v>
      </c>
      <c r="M1124" s="124" t="s">
        <v>267</v>
      </c>
      <c r="N1124" s="124" t="s">
        <v>271</v>
      </c>
      <c r="O1124" s="127" t="s">
        <v>709</v>
      </c>
      <c r="P1124" s="128">
        <v>6820409.8600000003</v>
      </c>
      <c r="Q1124" s="128">
        <v>0</v>
      </c>
      <c r="R1124" s="128">
        <v>0</v>
      </c>
      <c r="S1124" s="128">
        <f t="shared" si="344"/>
        <v>6820409.8600000003</v>
      </c>
      <c r="T1124" s="128">
        <f t="shared" si="340"/>
        <v>2951.9194373512228</v>
      </c>
      <c r="U1124" s="128">
        <v>3055.0001731227003</v>
      </c>
      <c r="V1124" s="257">
        <f t="shared" si="346"/>
        <v>103.08073577147752</v>
      </c>
      <c r="W1124" s="257">
        <f t="shared" si="345"/>
        <v>6944.6272148885528</v>
      </c>
      <c r="X1124" s="257">
        <v>0</v>
      </c>
      <c r="Y1124" s="258">
        <v>0</v>
      </c>
      <c r="Z1124" s="258">
        <v>0</v>
      </c>
      <c r="AA1124" s="258">
        <v>0</v>
      </c>
      <c r="AB1124" s="258">
        <v>0</v>
      </c>
      <c r="AC1124" s="258">
        <v>0</v>
      </c>
      <c r="AD1124" s="258">
        <v>0</v>
      </c>
      <c r="AE1124" s="258">
        <v>0</v>
      </c>
      <c r="AF1124" s="257">
        <v>0</v>
      </c>
      <c r="AG1124" s="258">
        <v>0</v>
      </c>
      <c r="AH1124" s="257">
        <v>0</v>
      </c>
      <c r="AI1124" s="258">
        <v>0</v>
      </c>
      <c r="AJ1124" s="257">
        <v>0</v>
      </c>
      <c r="AK1124" s="258">
        <v>209</v>
      </c>
      <c r="AL1124" s="257">
        <f>76773.02*AK1124/I1124</f>
        <v>6944.6272148885528</v>
      </c>
      <c r="AM1124" s="258">
        <v>0</v>
      </c>
      <c r="AN1124" s="258"/>
      <c r="AO1124" s="258">
        <v>0</v>
      </c>
    </row>
    <row r="1125" spans="1:41" s="259" customFormat="1" ht="36" customHeight="1" x14ac:dyDescent="0.25">
      <c r="A1125" s="259">
        <v>1</v>
      </c>
      <c r="B1125" s="135">
        <f>SUBTOTAL(103,$A$1000:A1125)</f>
        <v>121</v>
      </c>
      <c r="C1125" s="94" t="s">
        <v>634</v>
      </c>
      <c r="D1125" s="124">
        <v>1982</v>
      </c>
      <c r="E1125" s="124"/>
      <c r="F1125" s="129" t="s">
        <v>269</v>
      </c>
      <c r="G1125" s="124">
        <v>9</v>
      </c>
      <c r="H1125" s="124" t="s">
        <v>310</v>
      </c>
      <c r="I1125" s="125">
        <v>9363</v>
      </c>
      <c r="J1125" s="125">
        <v>9363</v>
      </c>
      <c r="K1125" s="125">
        <v>5631</v>
      </c>
      <c r="L1125" s="126">
        <v>419</v>
      </c>
      <c r="M1125" s="124" t="s">
        <v>267</v>
      </c>
      <c r="N1125" s="124" t="s">
        <v>271</v>
      </c>
      <c r="O1125" s="127" t="s">
        <v>717</v>
      </c>
      <c r="P1125" s="128">
        <v>9102212.3999999985</v>
      </c>
      <c r="Q1125" s="128">
        <v>0</v>
      </c>
      <c r="R1125" s="128">
        <v>0</v>
      </c>
      <c r="S1125" s="128">
        <f t="shared" si="344"/>
        <v>9102212.3999999985</v>
      </c>
      <c r="T1125" s="128">
        <f t="shared" si="340"/>
        <v>972.14700416533151</v>
      </c>
      <c r="U1125" s="128">
        <v>1218.139502403076</v>
      </c>
      <c r="V1125" s="257">
        <f t="shared" si="346"/>
        <v>245.99249823774448</v>
      </c>
      <c r="W1125" s="257">
        <f t="shared" si="345"/>
        <v>1213.9987321371357</v>
      </c>
      <c r="X1125" s="257">
        <v>0</v>
      </c>
      <c r="Y1125" s="258">
        <v>0</v>
      </c>
      <c r="Z1125" s="258">
        <v>0</v>
      </c>
      <c r="AA1125" s="258">
        <v>0</v>
      </c>
      <c r="AB1125" s="258">
        <v>0</v>
      </c>
      <c r="AC1125" s="258">
        <v>0</v>
      </c>
      <c r="AD1125" s="258">
        <v>0</v>
      </c>
      <c r="AE1125" s="258">
        <v>1821.9</v>
      </c>
      <c r="AF1125" s="257">
        <f>6238.91*AE1125/I1125</f>
        <v>1213.9987321371357</v>
      </c>
      <c r="AG1125" s="258">
        <v>0</v>
      </c>
      <c r="AH1125" s="257">
        <v>0</v>
      </c>
      <c r="AI1125" s="258">
        <v>0</v>
      </c>
      <c r="AJ1125" s="257">
        <v>0</v>
      </c>
      <c r="AK1125" s="258">
        <v>0</v>
      </c>
      <c r="AL1125" s="258">
        <v>0</v>
      </c>
      <c r="AM1125" s="258">
        <v>0</v>
      </c>
      <c r="AN1125" s="258"/>
      <c r="AO1125" s="258">
        <v>0</v>
      </c>
    </row>
    <row r="1126" spans="1:41" s="259" customFormat="1" ht="36" customHeight="1" x14ac:dyDescent="0.25">
      <c r="A1126" s="259">
        <v>1</v>
      </c>
      <c r="B1126" s="135">
        <f>SUBTOTAL(103,$A$1000:A1126)</f>
        <v>122</v>
      </c>
      <c r="C1126" s="94" t="s">
        <v>638</v>
      </c>
      <c r="D1126" s="124">
        <v>1966</v>
      </c>
      <c r="E1126" s="124"/>
      <c r="F1126" s="129" t="s">
        <v>269</v>
      </c>
      <c r="G1126" s="124">
        <v>5</v>
      </c>
      <c r="H1126" s="124" t="s">
        <v>310</v>
      </c>
      <c r="I1126" s="125">
        <v>3420.4</v>
      </c>
      <c r="J1126" s="125">
        <v>3164.9</v>
      </c>
      <c r="K1126" s="125">
        <v>2916.6</v>
      </c>
      <c r="L1126" s="126">
        <v>75</v>
      </c>
      <c r="M1126" s="124" t="s">
        <v>267</v>
      </c>
      <c r="N1126" s="124" t="s">
        <v>271</v>
      </c>
      <c r="O1126" s="127" t="s">
        <v>716</v>
      </c>
      <c r="P1126" s="128">
        <v>4594480</v>
      </c>
      <c r="Q1126" s="128">
        <v>0</v>
      </c>
      <c r="R1126" s="128">
        <v>0</v>
      </c>
      <c r="S1126" s="128">
        <f t="shared" si="344"/>
        <v>4594480</v>
      </c>
      <c r="T1126" s="128">
        <f t="shared" si="340"/>
        <v>1343.2580984680153</v>
      </c>
      <c r="U1126" s="128">
        <v>1610.6207461115657</v>
      </c>
      <c r="V1126" s="257">
        <f t="shared" si="346"/>
        <v>267.36264764355042</v>
      </c>
      <c r="W1126" s="257">
        <f t="shared" si="345"/>
        <v>1605.1458308969711</v>
      </c>
      <c r="X1126" s="257">
        <v>0</v>
      </c>
      <c r="Y1126" s="258">
        <v>0</v>
      </c>
      <c r="Z1126" s="258">
        <v>0</v>
      </c>
      <c r="AA1126" s="258">
        <v>0</v>
      </c>
      <c r="AB1126" s="258">
        <v>0</v>
      </c>
      <c r="AC1126" s="258">
        <v>0</v>
      </c>
      <c r="AD1126" s="258">
        <v>0</v>
      </c>
      <c r="AE1126" s="258">
        <v>880</v>
      </c>
      <c r="AF1126" s="257">
        <f>6238.91*AE1126/I1126</f>
        <v>1605.1458308969711</v>
      </c>
      <c r="AG1126" s="258">
        <v>0</v>
      </c>
      <c r="AH1126" s="257">
        <v>0</v>
      </c>
      <c r="AI1126" s="258">
        <v>0</v>
      </c>
      <c r="AJ1126" s="257">
        <v>0</v>
      </c>
      <c r="AK1126" s="258">
        <v>0</v>
      </c>
      <c r="AL1126" s="258">
        <v>0</v>
      </c>
      <c r="AM1126" s="258">
        <v>0</v>
      </c>
      <c r="AN1126" s="258"/>
      <c r="AO1126" s="258">
        <v>0</v>
      </c>
    </row>
    <row r="1127" spans="1:41" s="259" customFormat="1" ht="36" customHeight="1" x14ac:dyDescent="0.25">
      <c r="A1127" s="259">
        <v>1</v>
      </c>
      <c r="B1127" s="135">
        <f>SUBTOTAL(103,$A$1000:A1127)</f>
        <v>123</v>
      </c>
      <c r="C1127" s="94" t="s">
        <v>637</v>
      </c>
      <c r="D1127" s="124">
        <v>1972</v>
      </c>
      <c r="E1127" s="124"/>
      <c r="F1127" s="129" t="s">
        <v>269</v>
      </c>
      <c r="G1127" s="124">
        <v>5</v>
      </c>
      <c r="H1127" s="124" t="s">
        <v>310</v>
      </c>
      <c r="I1127" s="125">
        <v>3089.21</v>
      </c>
      <c r="J1127" s="125">
        <v>2785.21</v>
      </c>
      <c r="K1127" s="125">
        <v>2785.21</v>
      </c>
      <c r="L1127" s="126">
        <v>208</v>
      </c>
      <c r="M1127" s="124" t="s">
        <v>267</v>
      </c>
      <c r="N1127" s="124" t="s">
        <v>271</v>
      </c>
      <c r="O1127" s="127" t="s">
        <v>712</v>
      </c>
      <c r="P1127" s="128">
        <v>4121700</v>
      </c>
      <c r="Q1127" s="128">
        <v>0</v>
      </c>
      <c r="R1127" s="128">
        <v>0</v>
      </c>
      <c r="S1127" s="128">
        <f t="shared" si="344"/>
        <v>4121700</v>
      </c>
      <c r="T1127" s="128">
        <f t="shared" si="340"/>
        <v>1334.2246075857581</v>
      </c>
      <c r="U1127" s="128">
        <v>1671.837379135766</v>
      </c>
      <c r="V1127" s="257">
        <f t="shared" si="346"/>
        <v>337.61277155000789</v>
      </c>
      <c r="W1127" s="257">
        <f t="shared" si="345"/>
        <v>1666.1543728008132</v>
      </c>
      <c r="X1127" s="257">
        <v>0</v>
      </c>
      <c r="Y1127" s="258">
        <v>0</v>
      </c>
      <c r="Z1127" s="258">
        <v>0</v>
      </c>
      <c r="AA1127" s="258">
        <v>0</v>
      </c>
      <c r="AB1127" s="258">
        <v>0</v>
      </c>
      <c r="AC1127" s="258">
        <v>0</v>
      </c>
      <c r="AD1127" s="258">
        <v>0</v>
      </c>
      <c r="AE1127" s="258">
        <v>825</v>
      </c>
      <c r="AF1127" s="257">
        <f>6238.91*AE1127/I1127</f>
        <v>1666.1543728008132</v>
      </c>
      <c r="AG1127" s="258">
        <v>0</v>
      </c>
      <c r="AH1127" s="257">
        <v>0</v>
      </c>
      <c r="AI1127" s="258">
        <v>0</v>
      </c>
      <c r="AJ1127" s="257">
        <v>0</v>
      </c>
      <c r="AK1127" s="258">
        <v>0</v>
      </c>
      <c r="AL1127" s="258">
        <v>0</v>
      </c>
      <c r="AM1127" s="258">
        <v>0</v>
      </c>
      <c r="AN1127" s="258"/>
      <c r="AO1127" s="258">
        <v>0</v>
      </c>
    </row>
    <row r="1128" spans="1:41" s="259" customFormat="1" ht="36" customHeight="1" x14ac:dyDescent="0.25">
      <c r="B1128" s="94" t="s">
        <v>822</v>
      </c>
      <c r="C1128" s="94"/>
      <c r="D1128" s="124" t="s">
        <v>896</v>
      </c>
      <c r="E1128" s="124" t="s">
        <v>896</v>
      </c>
      <c r="F1128" s="124" t="s">
        <v>896</v>
      </c>
      <c r="G1128" s="124" t="s">
        <v>896</v>
      </c>
      <c r="H1128" s="124" t="s">
        <v>896</v>
      </c>
      <c r="I1128" s="125">
        <f>SUM(I1129:I1130)</f>
        <v>6151.9</v>
      </c>
      <c r="J1128" s="125">
        <f>SUM(J1129:J1130)</f>
        <v>3654</v>
      </c>
      <c r="K1128" s="125">
        <f>SUM(K1129:K1130)</f>
        <v>3396.8</v>
      </c>
      <c r="L1128" s="126">
        <f>SUM(L1129:L1130)</f>
        <v>158</v>
      </c>
      <c r="M1128" s="124" t="s">
        <v>896</v>
      </c>
      <c r="N1128" s="124" t="s">
        <v>896</v>
      </c>
      <c r="O1128" s="127" t="s">
        <v>896</v>
      </c>
      <c r="P1128" s="125">
        <v>5663822.2999999998</v>
      </c>
      <c r="Q1128" s="125">
        <f>SUM(Q1129:Q1130)</f>
        <v>0</v>
      </c>
      <c r="R1128" s="125">
        <f>SUM(R1129:R1130)</f>
        <v>0</v>
      </c>
      <c r="S1128" s="125">
        <f>SUM(S1129:S1130)</f>
        <v>5663822.2999999998</v>
      </c>
      <c r="T1128" s="128">
        <f t="shared" si="340"/>
        <v>920.66228319706113</v>
      </c>
      <c r="U1128" s="128">
        <f>MAX(U1129:U1130)</f>
        <v>2567.8276735851869</v>
      </c>
      <c r="V1128" s="257">
        <f t="shared" ref="V1128:V1185" si="347">U1128-T1128</f>
        <v>1647.1653903881256</v>
      </c>
      <c r="W1128" s="257"/>
      <c r="X1128" s="257"/>
      <c r="Y1128" s="258"/>
      <c r="Z1128" s="258"/>
      <c r="AA1128" s="258"/>
      <c r="AB1128" s="258"/>
      <c r="AC1128" s="258"/>
      <c r="AD1128" s="258"/>
      <c r="AE1128" s="258"/>
      <c r="AF1128" s="258"/>
      <c r="AG1128" s="258"/>
      <c r="AH1128" s="258"/>
      <c r="AI1128" s="258"/>
      <c r="AJ1128" s="258"/>
      <c r="AK1128" s="258"/>
      <c r="AL1128" s="258"/>
      <c r="AM1128" s="258"/>
      <c r="AN1128" s="258"/>
      <c r="AO1128" s="258"/>
    </row>
    <row r="1129" spans="1:41" s="259" customFormat="1" ht="36" customHeight="1" x14ac:dyDescent="0.25">
      <c r="A1129" s="259">
        <v>1</v>
      </c>
      <c r="B1129" s="135">
        <f>SUBTOTAL(103,$A$1000:A1129)</f>
        <v>124</v>
      </c>
      <c r="C1129" s="94" t="s">
        <v>643</v>
      </c>
      <c r="D1129" s="124">
        <v>1993</v>
      </c>
      <c r="E1129" s="124"/>
      <c r="F1129" s="129" t="s">
        <v>313</v>
      </c>
      <c r="G1129" s="124">
        <v>5</v>
      </c>
      <c r="H1129" s="124" t="s">
        <v>314</v>
      </c>
      <c r="I1129" s="125">
        <v>5482.2</v>
      </c>
      <c r="J1129" s="125">
        <v>3303.8</v>
      </c>
      <c r="K1129" s="125">
        <v>3096.3</v>
      </c>
      <c r="L1129" s="126">
        <v>147</v>
      </c>
      <c r="M1129" s="124" t="s">
        <v>267</v>
      </c>
      <c r="N1129" s="124" t="s">
        <v>271</v>
      </c>
      <c r="O1129" s="127" t="s">
        <v>714</v>
      </c>
      <c r="P1129" s="128">
        <v>4229613.5999999996</v>
      </c>
      <c r="Q1129" s="128">
        <v>0</v>
      </c>
      <c r="R1129" s="128">
        <v>0</v>
      </c>
      <c r="S1129" s="128">
        <f>P1129-Q1129-R1129</f>
        <v>4229613.5999999996</v>
      </c>
      <c r="T1129" s="128">
        <f t="shared" si="340"/>
        <v>771.5175659406807</v>
      </c>
      <c r="U1129" s="128">
        <v>966.74270438874896</v>
      </c>
      <c r="V1129" s="257">
        <f t="shared" si="347"/>
        <v>195.22513844806826</v>
      </c>
      <c r="W1129" s="257">
        <f t="shared" ref="W1129:W1130" si="348">X1129+Y1129+Z1129+AA1129+AB1129+AD1129+AF1129+AH1129+AJ1129+AL1129+AN1129+AO1129</f>
        <v>963.45649666192412</v>
      </c>
      <c r="X1129" s="257">
        <v>0</v>
      </c>
      <c r="Y1129" s="258">
        <v>0</v>
      </c>
      <c r="Z1129" s="258">
        <v>0</v>
      </c>
      <c r="AA1129" s="258">
        <v>0</v>
      </c>
      <c r="AB1129" s="258">
        <v>0</v>
      </c>
      <c r="AC1129" s="258">
        <v>0</v>
      </c>
      <c r="AD1129" s="258">
        <v>0</v>
      </c>
      <c r="AE1129" s="258">
        <v>846.6</v>
      </c>
      <c r="AF1129" s="257">
        <f>6238.91*AE1129/I1129</f>
        <v>963.45649666192412</v>
      </c>
      <c r="AG1129" s="258">
        <v>0</v>
      </c>
      <c r="AH1129" s="257">
        <v>0</v>
      </c>
      <c r="AI1129" s="258">
        <v>0</v>
      </c>
      <c r="AJ1129" s="257">
        <v>0</v>
      </c>
      <c r="AK1129" s="258">
        <v>0</v>
      </c>
      <c r="AL1129" s="258">
        <v>0</v>
      </c>
      <c r="AM1129" s="258">
        <v>0</v>
      </c>
      <c r="AN1129" s="258"/>
      <c r="AO1129" s="258">
        <v>0</v>
      </c>
    </row>
    <row r="1130" spans="1:41" s="259" customFormat="1" ht="36" customHeight="1" x14ac:dyDescent="0.25">
      <c r="A1130" s="259">
        <v>1</v>
      </c>
      <c r="B1130" s="135">
        <f>SUBTOTAL(103,$A$1000:A1130)</f>
        <v>125</v>
      </c>
      <c r="C1130" s="94" t="s">
        <v>641</v>
      </c>
      <c r="D1130" s="124">
        <v>1964</v>
      </c>
      <c r="E1130" s="124"/>
      <c r="F1130" s="129" t="s">
        <v>269</v>
      </c>
      <c r="G1130" s="124">
        <v>2</v>
      </c>
      <c r="H1130" s="124" t="s">
        <v>305</v>
      </c>
      <c r="I1130" s="125">
        <v>669.7</v>
      </c>
      <c r="J1130" s="125">
        <v>350.2</v>
      </c>
      <c r="K1130" s="125">
        <v>300.5</v>
      </c>
      <c r="L1130" s="126">
        <v>11</v>
      </c>
      <c r="M1130" s="124" t="s">
        <v>267</v>
      </c>
      <c r="N1130" s="124" t="s">
        <v>271</v>
      </c>
      <c r="O1130" s="127" t="s">
        <v>714</v>
      </c>
      <c r="P1130" s="128">
        <v>1434208.7</v>
      </c>
      <c r="Q1130" s="128">
        <v>0</v>
      </c>
      <c r="R1130" s="128">
        <v>0</v>
      </c>
      <c r="S1130" s="128">
        <f>P1130-Q1130-R1130</f>
        <v>1434208.7</v>
      </c>
      <c r="T1130" s="128">
        <f t="shared" si="340"/>
        <v>2141.5689114528891</v>
      </c>
      <c r="U1130" s="128">
        <v>2567.8276735851869</v>
      </c>
      <c r="V1130" s="257">
        <f t="shared" si="347"/>
        <v>426.25876213229776</v>
      </c>
      <c r="W1130" s="257">
        <f t="shared" si="348"/>
        <v>2559.0989652083017</v>
      </c>
      <c r="X1130" s="257">
        <v>0</v>
      </c>
      <c r="Y1130" s="258">
        <v>0</v>
      </c>
      <c r="Z1130" s="258">
        <v>0</v>
      </c>
      <c r="AA1130" s="258">
        <v>0</v>
      </c>
      <c r="AB1130" s="258">
        <v>0</v>
      </c>
      <c r="AC1130" s="258">
        <v>0</v>
      </c>
      <c r="AD1130" s="258">
        <v>0</v>
      </c>
      <c r="AE1130" s="258">
        <v>274.7</v>
      </c>
      <c r="AF1130" s="257">
        <f>6238.91*AE1130/I1130</f>
        <v>2559.0989652083017</v>
      </c>
      <c r="AG1130" s="258">
        <v>0</v>
      </c>
      <c r="AH1130" s="257">
        <v>0</v>
      </c>
      <c r="AI1130" s="258">
        <v>0</v>
      </c>
      <c r="AJ1130" s="257">
        <v>0</v>
      </c>
      <c r="AK1130" s="258">
        <v>0</v>
      </c>
      <c r="AL1130" s="258">
        <v>0</v>
      </c>
      <c r="AM1130" s="258">
        <v>0</v>
      </c>
      <c r="AN1130" s="258"/>
      <c r="AO1130" s="258">
        <v>0</v>
      </c>
    </row>
    <row r="1131" spans="1:41" s="259" customFormat="1" ht="36" customHeight="1" x14ac:dyDescent="0.25">
      <c r="B1131" s="94" t="s">
        <v>823</v>
      </c>
      <c r="C1131" s="94"/>
      <c r="D1131" s="124" t="s">
        <v>896</v>
      </c>
      <c r="E1131" s="124" t="s">
        <v>896</v>
      </c>
      <c r="F1131" s="124" t="s">
        <v>896</v>
      </c>
      <c r="G1131" s="124" t="s">
        <v>896</v>
      </c>
      <c r="H1131" s="124" t="s">
        <v>896</v>
      </c>
      <c r="I1131" s="125">
        <f>SUM(I1132:I1134)</f>
        <v>11575.699999999999</v>
      </c>
      <c r="J1131" s="125">
        <f>SUM(J1132:J1134)</f>
        <v>8980.6999999999989</v>
      </c>
      <c r="K1131" s="125">
        <f>SUM(K1132:K1134)</f>
        <v>7069.9000000000005</v>
      </c>
      <c r="L1131" s="126">
        <f>SUM(L1132:L1134)</f>
        <v>348</v>
      </c>
      <c r="M1131" s="124" t="s">
        <v>896</v>
      </c>
      <c r="N1131" s="124" t="s">
        <v>896</v>
      </c>
      <c r="O1131" s="127" t="s">
        <v>896</v>
      </c>
      <c r="P1131" s="128">
        <v>9644472.4000000004</v>
      </c>
      <c r="Q1131" s="128">
        <f t="shared" ref="Q1131:S1131" si="349">SUM(Q1132:Q1134)</f>
        <v>0</v>
      </c>
      <c r="R1131" s="128">
        <f t="shared" si="349"/>
        <v>0</v>
      </c>
      <c r="S1131" s="128">
        <f t="shared" si="349"/>
        <v>9644472.4000000004</v>
      </c>
      <c r="T1131" s="128">
        <f t="shared" si="340"/>
        <v>833.16537228850098</v>
      </c>
      <c r="U1131" s="128">
        <f>MAX(U1132:U1134)</f>
        <v>3259.66</v>
      </c>
      <c r="V1131" s="257">
        <f t="shared" si="347"/>
        <v>2426.4946277114987</v>
      </c>
      <c r="W1131" s="257"/>
      <c r="X1131" s="257"/>
      <c r="Y1131" s="258"/>
      <c r="Z1131" s="258"/>
      <c r="AA1131" s="258"/>
      <c r="AB1131" s="258"/>
      <c r="AC1131" s="258"/>
      <c r="AD1131" s="258"/>
      <c r="AE1131" s="258"/>
      <c r="AF1131" s="258"/>
      <c r="AG1131" s="258"/>
      <c r="AH1131" s="258"/>
      <c r="AI1131" s="258"/>
      <c r="AJ1131" s="258"/>
      <c r="AK1131" s="258"/>
      <c r="AL1131" s="258"/>
      <c r="AM1131" s="258"/>
      <c r="AN1131" s="258"/>
      <c r="AO1131" s="258"/>
    </row>
    <row r="1132" spans="1:41" s="259" customFormat="1" ht="36" customHeight="1" x14ac:dyDescent="0.25">
      <c r="A1132" s="259">
        <v>1</v>
      </c>
      <c r="B1132" s="135">
        <f>SUBTOTAL(103,$A$1000:A1132)</f>
        <v>126</v>
      </c>
      <c r="C1132" s="94" t="s">
        <v>647</v>
      </c>
      <c r="D1132" s="124">
        <v>1882</v>
      </c>
      <c r="E1132" s="124"/>
      <c r="F1132" s="129" t="s">
        <v>269</v>
      </c>
      <c r="G1132" s="124">
        <v>3</v>
      </c>
      <c r="H1132" s="124" t="s">
        <v>314</v>
      </c>
      <c r="I1132" s="125">
        <v>3501.8</v>
      </c>
      <c r="J1132" s="125">
        <v>2939.7</v>
      </c>
      <c r="K1132" s="125">
        <v>1028.9000000000001</v>
      </c>
      <c r="L1132" s="126">
        <v>88</v>
      </c>
      <c r="M1132" s="124" t="s">
        <v>267</v>
      </c>
      <c r="N1132" s="124" t="s">
        <v>271</v>
      </c>
      <c r="O1132" s="127" t="s">
        <v>715</v>
      </c>
      <c r="P1132" s="128">
        <v>4240119.51</v>
      </c>
      <c r="Q1132" s="128">
        <v>0</v>
      </c>
      <c r="R1132" s="128">
        <v>0</v>
      </c>
      <c r="S1132" s="128">
        <f>P1132-Q1132-R1132</f>
        <v>4240119.51</v>
      </c>
      <c r="T1132" s="128">
        <f t="shared" si="340"/>
        <v>1210.839999428865</v>
      </c>
      <c r="U1132" s="128">
        <v>3259.66</v>
      </c>
      <c r="V1132" s="257">
        <f t="shared" si="347"/>
        <v>2048.8200005711351</v>
      </c>
      <c r="W1132" s="257">
        <f t="shared" ref="W1132:W1134" si="350">X1132+Y1132+Z1132+AA1132+AB1132+AD1132+AF1132+AH1132+AJ1132+AL1132+AN1132+AO1132</f>
        <v>3259.66</v>
      </c>
      <c r="X1132" s="257">
        <v>0</v>
      </c>
      <c r="Y1132" s="258">
        <v>0</v>
      </c>
      <c r="Z1132" s="258">
        <v>3259.66</v>
      </c>
      <c r="AA1132" s="258">
        <v>0</v>
      </c>
      <c r="AB1132" s="258">
        <v>0</v>
      </c>
      <c r="AC1132" s="258">
        <v>0</v>
      </c>
      <c r="AD1132" s="258">
        <v>0</v>
      </c>
      <c r="AE1132" s="258">
        <v>0</v>
      </c>
      <c r="AF1132" s="257">
        <v>0</v>
      </c>
      <c r="AG1132" s="258">
        <v>0</v>
      </c>
      <c r="AH1132" s="257">
        <v>0</v>
      </c>
      <c r="AI1132" s="258">
        <v>0</v>
      </c>
      <c r="AJ1132" s="257">
        <v>0</v>
      </c>
      <c r="AK1132" s="258">
        <v>0</v>
      </c>
      <c r="AL1132" s="258">
        <v>0</v>
      </c>
      <c r="AM1132" s="258">
        <v>0</v>
      </c>
      <c r="AN1132" s="258"/>
      <c r="AO1132" s="258">
        <v>0</v>
      </c>
    </row>
    <row r="1133" spans="1:41" s="259" customFormat="1" ht="36" customHeight="1" x14ac:dyDescent="0.25">
      <c r="A1133" s="259">
        <v>1</v>
      </c>
      <c r="B1133" s="135">
        <f>SUBTOTAL(103,$A$1000:A1133)</f>
        <v>127</v>
      </c>
      <c r="C1133" s="94" t="s">
        <v>1970</v>
      </c>
      <c r="D1133" s="124">
        <v>1990</v>
      </c>
      <c r="E1133" s="124"/>
      <c r="F1133" s="129" t="s">
        <v>320</v>
      </c>
      <c r="G1133" s="124" t="s">
        <v>353</v>
      </c>
      <c r="H1133" s="124" t="s">
        <v>373</v>
      </c>
      <c r="I1133" s="125">
        <v>6660</v>
      </c>
      <c r="J1133" s="125">
        <v>4728.7</v>
      </c>
      <c r="K1133" s="125">
        <v>4728.7</v>
      </c>
      <c r="L1133" s="126">
        <v>207</v>
      </c>
      <c r="M1133" s="124" t="s">
        <v>267</v>
      </c>
      <c r="N1133" s="124" t="s">
        <v>271</v>
      </c>
      <c r="O1133" s="127" t="s">
        <v>715</v>
      </c>
      <c r="P1133" s="128">
        <v>5042809.67</v>
      </c>
      <c r="Q1133" s="128">
        <v>0</v>
      </c>
      <c r="R1133" s="128">
        <v>0</v>
      </c>
      <c r="S1133" s="128">
        <f>P1133-Q1133-R1133</f>
        <v>5042809.67</v>
      </c>
      <c r="T1133" s="128">
        <f t="shared" si="340"/>
        <v>757.17862912912915</v>
      </c>
      <c r="U1133" s="128">
        <v>1555.441022252252</v>
      </c>
      <c r="V1133" s="257">
        <f t="shared" ref="V1133" si="351">U1133-T1133</f>
        <v>798.26239312312282</v>
      </c>
      <c r="W1133" s="257">
        <f t="shared" ref="W1133" si="352">X1133+Y1133+Z1133+AA1133+AB1133+AD1133+AF1133+AH1133+AJ1133+AL1133+AN1133+AO1133</f>
        <v>2534.1072882882886</v>
      </c>
      <c r="X1133" s="257">
        <v>0</v>
      </c>
      <c r="Y1133" s="258">
        <v>0</v>
      </c>
      <c r="Z1133" s="258">
        <v>0</v>
      </c>
      <c r="AA1133" s="258">
        <v>0</v>
      </c>
      <c r="AB1133" s="258">
        <v>0</v>
      </c>
      <c r="AC1133" s="258">
        <v>0</v>
      </c>
      <c r="AD1133" s="258">
        <v>0</v>
      </c>
      <c r="AE1133" s="258">
        <v>0</v>
      </c>
      <c r="AF1133" s="257">
        <v>0</v>
      </c>
      <c r="AG1133" s="258">
        <v>0</v>
      </c>
      <c r="AH1133" s="257">
        <v>0</v>
      </c>
      <c r="AI1133" s="258">
        <v>782.6</v>
      </c>
      <c r="AJ1133" s="257">
        <f>7439.1*AI1133/I1133</f>
        <v>874.15009909909907</v>
      </c>
      <c r="AK1133" s="258">
        <v>144</v>
      </c>
      <c r="AL1133" s="257">
        <f>76773.02*AK1133/I1133</f>
        <v>1659.9571891891894</v>
      </c>
      <c r="AM1133" s="258">
        <v>0</v>
      </c>
      <c r="AN1133" s="258"/>
      <c r="AO1133" s="258">
        <v>0</v>
      </c>
    </row>
    <row r="1134" spans="1:41" s="259" customFormat="1" ht="36" customHeight="1" x14ac:dyDescent="0.25">
      <c r="A1134" s="259">
        <v>1</v>
      </c>
      <c r="B1134" s="135">
        <f>SUBTOTAL(103,$A$1000:A1134)</f>
        <v>128</v>
      </c>
      <c r="C1134" s="94" t="s">
        <v>1971</v>
      </c>
      <c r="D1134" s="124">
        <v>1930</v>
      </c>
      <c r="E1134" s="124"/>
      <c r="F1134" s="129" t="s">
        <v>1585</v>
      </c>
      <c r="G1134" s="124" t="s">
        <v>314</v>
      </c>
      <c r="H1134" s="124" t="s">
        <v>314</v>
      </c>
      <c r="I1134" s="125">
        <v>1413.9</v>
      </c>
      <c r="J1134" s="125">
        <v>1312.3</v>
      </c>
      <c r="K1134" s="125">
        <v>1312.3</v>
      </c>
      <c r="L1134" s="126">
        <v>53</v>
      </c>
      <c r="M1134" s="124" t="s">
        <v>267</v>
      </c>
      <c r="N1134" s="124" t="s">
        <v>271</v>
      </c>
      <c r="O1134" s="127" t="s">
        <v>715</v>
      </c>
      <c r="P1134" s="128">
        <v>361543.22</v>
      </c>
      <c r="Q1134" s="128">
        <v>0</v>
      </c>
      <c r="R1134" s="128">
        <v>0</v>
      </c>
      <c r="S1134" s="128">
        <f>P1134-Q1134-R1134</f>
        <v>361543.22</v>
      </c>
      <c r="T1134" s="128">
        <f t="shared" si="340"/>
        <v>255.70635829973827</v>
      </c>
      <c r="U1134" s="128">
        <v>255.70635829973827</v>
      </c>
      <c r="V1134" s="257">
        <f t="shared" si="347"/>
        <v>0</v>
      </c>
      <c r="W1134" s="257">
        <f t="shared" si="350"/>
        <v>11936.597029492892</v>
      </c>
      <c r="X1134" s="257">
        <v>0</v>
      </c>
      <c r="Y1134" s="258">
        <v>0</v>
      </c>
      <c r="Z1134" s="258">
        <v>0</v>
      </c>
      <c r="AA1134" s="258">
        <v>0</v>
      </c>
      <c r="AB1134" s="258">
        <v>0</v>
      </c>
      <c r="AC1134" s="258">
        <v>0</v>
      </c>
      <c r="AD1134" s="258">
        <v>0</v>
      </c>
      <c r="AE1134" s="258">
        <v>0</v>
      </c>
      <c r="AF1134" s="257">
        <v>0</v>
      </c>
      <c r="AG1134" s="258">
        <v>0</v>
      </c>
      <c r="AH1134" s="257">
        <v>0</v>
      </c>
      <c r="AI1134" s="258">
        <v>782.6</v>
      </c>
      <c r="AJ1134" s="257">
        <f>7439.1*AI1134/I1134</f>
        <v>4117.575259919372</v>
      </c>
      <c r="AK1134" s="258">
        <v>144</v>
      </c>
      <c r="AL1134" s="257">
        <f>76773.02*AK1134/I1134</f>
        <v>7819.02176957352</v>
      </c>
      <c r="AM1134" s="258">
        <v>0</v>
      </c>
      <c r="AN1134" s="258"/>
      <c r="AO1134" s="258">
        <v>0</v>
      </c>
    </row>
    <row r="1135" spans="1:41" s="259" customFormat="1" ht="36" customHeight="1" x14ac:dyDescent="0.25">
      <c r="B1135" s="94" t="s">
        <v>824</v>
      </c>
      <c r="C1135" s="94"/>
      <c r="D1135" s="124" t="s">
        <v>896</v>
      </c>
      <c r="E1135" s="124" t="s">
        <v>896</v>
      </c>
      <c r="F1135" s="124" t="s">
        <v>896</v>
      </c>
      <c r="G1135" s="124" t="s">
        <v>896</v>
      </c>
      <c r="H1135" s="124" t="s">
        <v>896</v>
      </c>
      <c r="I1135" s="125">
        <f>SUM(I1136:I1137)</f>
        <v>6442.65</v>
      </c>
      <c r="J1135" s="125">
        <f>SUM(J1136:J1137)</f>
        <v>4839.5</v>
      </c>
      <c r="K1135" s="125">
        <f>SUM(K1136:K1137)</f>
        <v>4755.2999999999993</v>
      </c>
      <c r="L1135" s="126">
        <f>SUM(L1136:L1137)</f>
        <v>188</v>
      </c>
      <c r="M1135" s="124" t="s">
        <v>896</v>
      </c>
      <c r="N1135" s="124" t="s">
        <v>896</v>
      </c>
      <c r="O1135" s="127" t="s">
        <v>896</v>
      </c>
      <c r="P1135" s="125">
        <v>8756823</v>
      </c>
      <c r="Q1135" s="125">
        <f>SUM(Q1136:Q1137)</f>
        <v>0</v>
      </c>
      <c r="R1135" s="125">
        <f>SUM(R1136:R1137)</f>
        <v>0</v>
      </c>
      <c r="S1135" s="125">
        <f>SUM(S1136:S1137)</f>
        <v>8756823</v>
      </c>
      <c r="T1135" s="128">
        <f t="shared" si="340"/>
        <v>1359.1958278037764</v>
      </c>
      <c r="U1135" s="128">
        <f>MAX(U1136:U1137)</f>
        <v>2039.9475117630775</v>
      </c>
      <c r="V1135" s="257">
        <f t="shared" si="347"/>
        <v>680.75168395930109</v>
      </c>
      <c r="W1135" s="257"/>
      <c r="X1135" s="257"/>
      <c r="Y1135" s="258"/>
      <c r="Z1135" s="258"/>
      <c r="AA1135" s="258"/>
      <c r="AB1135" s="258"/>
      <c r="AC1135" s="258"/>
      <c r="AD1135" s="258"/>
      <c r="AE1135" s="258"/>
      <c r="AF1135" s="258"/>
      <c r="AG1135" s="258"/>
      <c r="AH1135" s="258"/>
      <c r="AI1135" s="258"/>
      <c r="AJ1135" s="258"/>
      <c r="AK1135" s="258"/>
      <c r="AL1135" s="258"/>
      <c r="AM1135" s="258"/>
      <c r="AN1135" s="258"/>
      <c r="AO1135" s="258"/>
    </row>
    <row r="1136" spans="1:41" s="259" customFormat="1" ht="36" customHeight="1" x14ac:dyDescent="0.25">
      <c r="A1136" s="259">
        <v>1</v>
      </c>
      <c r="B1136" s="135">
        <f>SUBTOTAL(103,$A$1000:A1136)</f>
        <v>129</v>
      </c>
      <c r="C1136" s="94" t="s">
        <v>656</v>
      </c>
      <c r="D1136" s="124">
        <v>1986</v>
      </c>
      <c r="E1136" s="124"/>
      <c r="F1136" s="129" t="s">
        <v>269</v>
      </c>
      <c r="G1136" s="124">
        <v>5</v>
      </c>
      <c r="H1136" s="124" t="s">
        <v>310</v>
      </c>
      <c r="I1136" s="125">
        <v>3732.9</v>
      </c>
      <c r="J1136" s="125">
        <v>2826.7</v>
      </c>
      <c r="K1136" s="125">
        <v>2826.7</v>
      </c>
      <c r="L1136" s="126">
        <v>115</v>
      </c>
      <c r="M1136" s="124" t="s">
        <v>267</v>
      </c>
      <c r="N1136" s="124" t="s">
        <v>271</v>
      </c>
      <c r="O1136" s="127" t="s">
        <v>718</v>
      </c>
      <c r="P1136" s="128">
        <v>4146680</v>
      </c>
      <c r="Q1136" s="128">
        <v>0</v>
      </c>
      <c r="R1136" s="128">
        <v>0</v>
      </c>
      <c r="S1136" s="128">
        <f>P1136-Q1136-R1136</f>
        <v>4146680</v>
      </c>
      <c r="T1136" s="128">
        <f t="shared" si="340"/>
        <v>1110.8467947172439</v>
      </c>
      <c r="U1136" s="128">
        <v>1391.9359479225266</v>
      </c>
      <c r="V1136" s="257">
        <f t="shared" si="347"/>
        <v>281.08915320528263</v>
      </c>
      <c r="W1136" s="257">
        <f t="shared" ref="W1136:W1137" si="353">X1136+Y1136+Z1136+AA1136+AB1136+AD1136+AF1136+AH1136+AJ1136+AL1136+AN1136+AO1136</f>
        <v>1387.2043987248519</v>
      </c>
      <c r="X1136" s="257">
        <v>0</v>
      </c>
      <c r="Y1136" s="258">
        <v>0</v>
      </c>
      <c r="Z1136" s="258">
        <v>0</v>
      </c>
      <c r="AA1136" s="258">
        <v>0</v>
      </c>
      <c r="AB1136" s="258">
        <v>0</v>
      </c>
      <c r="AC1136" s="258">
        <v>0</v>
      </c>
      <c r="AD1136" s="258">
        <v>0</v>
      </c>
      <c r="AE1136" s="258">
        <v>830</v>
      </c>
      <c r="AF1136" s="257">
        <f>6238.91*AE1136/I1136</f>
        <v>1387.2043987248519</v>
      </c>
      <c r="AG1136" s="258">
        <v>0</v>
      </c>
      <c r="AH1136" s="257">
        <v>0</v>
      </c>
      <c r="AI1136" s="258">
        <v>0</v>
      </c>
      <c r="AJ1136" s="257">
        <v>0</v>
      </c>
      <c r="AK1136" s="258">
        <v>0</v>
      </c>
      <c r="AL1136" s="258">
        <v>0</v>
      </c>
      <c r="AM1136" s="258">
        <v>0</v>
      </c>
      <c r="AN1136" s="258"/>
      <c r="AO1136" s="258">
        <v>0</v>
      </c>
    </row>
    <row r="1137" spans="1:191" s="259" customFormat="1" ht="36" customHeight="1" x14ac:dyDescent="0.25">
      <c r="A1137" s="259">
        <v>1</v>
      </c>
      <c r="B1137" s="135">
        <f>SUBTOTAL(103,$A$1000:A1137)</f>
        <v>130</v>
      </c>
      <c r="C1137" s="94" t="s">
        <v>659</v>
      </c>
      <c r="D1137" s="124">
        <v>1964</v>
      </c>
      <c r="E1137" s="124"/>
      <c r="F1137" s="129" t="s">
        <v>269</v>
      </c>
      <c r="G1137" s="124">
        <v>4</v>
      </c>
      <c r="H1137" s="124" t="s">
        <v>314</v>
      </c>
      <c r="I1137" s="125">
        <v>2709.75</v>
      </c>
      <c r="J1137" s="125">
        <v>2012.8</v>
      </c>
      <c r="K1137" s="125">
        <v>1928.6</v>
      </c>
      <c r="L1137" s="126">
        <v>73</v>
      </c>
      <c r="M1137" s="124" t="s">
        <v>267</v>
      </c>
      <c r="N1137" s="124" t="s">
        <v>271</v>
      </c>
      <c r="O1137" s="127" t="s">
        <v>997</v>
      </c>
      <c r="P1137" s="128">
        <v>4610143</v>
      </c>
      <c r="Q1137" s="128">
        <v>0</v>
      </c>
      <c r="R1137" s="128">
        <v>0</v>
      </c>
      <c r="S1137" s="128">
        <f>P1137-Q1137-R1137</f>
        <v>4610143</v>
      </c>
      <c r="T1137" s="128">
        <f t="shared" si="340"/>
        <v>1701.3167266352984</v>
      </c>
      <c r="U1137" s="128">
        <v>2039.9475117630775</v>
      </c>
      <c r="V1137" s="257">
        <f t="shared" si="347"/>
        <v>338.63078512777906</v>
      </c>
      <c r="W1137" s="257">
        <f t="shared" si="353"/>
        <v>2033.0132041701265</v>
      </c>
      <c r="X1137" s="257">
        <v>0</v>
      </c>
      <c r="Y1137" s="258">
        <v>0</v>
      </c>
      <c r="Z1137" s="258">
        <v>0</v>
      </c>
      <c r="AA1137" s="258">
        <v>0</v>
      </c>
      <c r="AB1137" s="258">
        <v>0</v>
      </c>
      <c r="AC1137" s="258">
        <v>0</v>
      </c>
      <c r="AD1137" s="258">
        <v>0</v>
      </c>
      <c r="AE1137" s="258">
        <v>883</v>
      </c>
      <c r="AF1137" s="257">
        <f>6238.91*AE1137/I1137</f>
        <v>2033.0132041701265</v>
      </c>
      <c r="AG1137" s="258">
        <v>0</v>
      </c>
      <c r="AH1137" s="257">
        <v>0</v>
      </c>
      <c r="AI1137" s="258">
        <v>0</v>
      </c>
      <c r="AJ1137" s="257">
        <v>0</v>
      </c>
      <c r="AK1137" s="258">
        <v>0</v>
      </c>
      <c r="AL1137" s="258">
        <v>0</v>
      </c>
      <c r="AM1137" s="258">
        <v>0</v>
      </c>
      <c r="AN1137" s="258"/>
      <c r="AO1137" s="258">
        <v>0</v>
      </c>
    </row>
    <row r="1138" spans="1:191" s="259" customFormat="1" ht="36" customHeight="1" x14ac:dyDescent="0.25">
      <c r="B1138" s="94" t="s">
        <v>825</v>
      </c>
      <c r="C1138" s="261"/>
      <c r="D1138" s="124" t="s">
        <v>896</v>
      </c>
      <c r="E1138" s="124" t="s">
        <v>896</v>
      </c>
      <c r="F1138" s="124" t="s">
        <v>896</v>
      </c>
      <c r="G1138" s="124" t="s">
        <v>896</v>
      </c>
      <c r="H1138" s="124" t="s">
        <v>896</v>
      </c>
      <c r="I1138" s="125">
        <f>I1139</f>
        <v>1801.1</v>
      </c>
      <c r="J1138" s="125">
        <f>J1139</f>
        <v>1650.5</v>
      </c>
      <c r="K1138" s="125">
        <f>K1139</f>
        <v>277.10000000000002</v>
      </c>
      <c r="L1138" s="126">
        <f>L1139</f>
        <v>87</v>
      </c>
      <c r="M1138" s="124" t="s">
        <v>896</v>
      </c>
      <c r="N1138" s="124" t="s">
        <v>896</v>
      </c>
      <c r="O1138" s="127" t="s">
        <v>896</v>
      </c>
      <c r="P1138" s="128">
        <v>4369866.08</v>
      </c>
      <c r="Q1138" s="128">
        <f>Q1139</f>
        <v>0</v>
      </c>
      <c r="R1138" s="128">
        <f>R1139</f>
        <v>0</v>
      </c>
      <c r="S1138" s="128">
        <f>S1139</f>
        <v>4369866.08</v>
      </c>
      <c r="T1138" s="128">
        <f t="shared" si="340"/>
        <v>2426.2206873577261</v>
      </c>
      <c r="U1138" s="128">
        <f>U1139</f>
        <v>4181.3383876519902</v>
      </c>
      <c r="V1138" s="257">
        <f t="shared" si="347"/>
        <v>1755.1177002942641</v>
      </c>
      <c r="W1138" s="257"/>
      <c r="X1138" s="257"/>
      <c r="Y1138" s="258"/>
      <c r="Z1138" s="258"/>
      <c r="AA1138" s="258"/>
      <c r="AB1138" s="258"/>
      <c r="AC1138" s="258"/>
      <c r="AD1138" s="258"/>
      <c r="AE1138" s="258"/>
      <c r="AF1138" s="258"/>
      <c r="AG1138" s="258"/>
      <c r="AH1138" s="258"/>
      <c r="AI1138" s="258"/>
      <c r="AJ1138" s="258"/>
      <c r="AK1138" s="258"/>
      <c r="AL1138" s="258"/>
      <c r="AM1138" s="258"/>
      <c r="AN1138" s="258"/>
      <c r="AO1138" s="258"/>
    </row>
    <row r="1139" spans="1:191" s="196" customFormat="1" ht="36" customHeight="1" x14ac:dyDescent="0.25">
      <c r="A1139" s="259">
        <v>1</v>
      </c>
      <c r="B1139" s="135">
        <f>SUBTOTAL(103,$A$1000:A1139)</f>
        <v>131</v>
      </c>
      <c r="C1139" s="132" t="s">
        <v>679</v>
      </c>
      <c r="D1139" s="124">
        <v>1978</v>
      </c>
      <c r="E1139" s="124"/>
      <c r="F1139" s="134" t="s">
        <v>269</v>
      </c>
      <c r="G1139" s="124" t="s">
        <v>314</v>
      </c>
      <c r="H1139" s="124" t="s">
        <v>314</v>
      </c>
      <c r="I1139" s="125">
        <v>1801.1</v>
      </c>
      <c r="J1139" s="125">
        <v>1650.5</v>
      </c>
      <c r="K1139" s="125">
        <v>277.10000000000002</v>
      </c>
      <c r="L1139" s="133">
        <v>87</v>
      </c>
      <c r="M1139" s="124" t="s">
        <v>267</v>
      </c>
      <c r="N1139" s="124" t="s">
        <v>271</v>
      </c>
      <c r="O1139" s="124" t="s">
        <v>725</v>
      </c>
      <c r="P1139" s="125">
        <v>4369866.08</v>
      </c>
      <c r="Q1139" s="125">
        <v>0</v>
      </c>
      <c r="R1139" s="125">
        <v>0</v>
      </c>
      <c r="S1139" s="125">
        <f>P1139-Q1139-R1139</f>
        <v>4369866.08</v>
      </c>
      <c r="T1139" s="128">
        <f t="shared" si="340"/>
        <v>2426.2206873577261</v>
      </c>
      <c r="U1139" s="128">
        <v>4181.3383876519902</v>
      </c>
      <c r="V1139" s="257">
        <f>U1139-T1139</f>
        <v>1755.1177002942641</v>
      </c>
      <c r="W1139" s="257">
        <f>X1139+Y1139+Z1139+AA1139+AB1139+AD1139+AF1139+AH1139+AJ1139+AL1139+AN1139+AO1139</f>
        <v>4167.1249403142519</v>
      </c>
      <c r="X1139" s="257">
        <v>0</v>
      </c>
      <c r="Y1139" s="258">
        <v>0</v>
      </c>
      <c r="Z1139" s="258">
        <v>0</v>
      </c>
      <c r="AA1139" s="258">
        <v>0</v>
      </c>
      <c r="AB1139" s="258">
        <v>0</v>
      </c>
      <c r="AC1139" s="258">
        <v>0</v>
      </c>
      <c r="AD1139" s="258">
        <v>0</v>
      </c>
      <c r="AE1139" s="258">
        <v>1203</v>
      </c>
      <c r="AF1139" s="257">
        <f>6238.91*AE1139/I1139</f>
        <v>4167.1249403142519</v>
      </c>
      <c r="AG1139" s="258">
        <v>0</v>
      </c>
      <c r="AH1139" s="257">
        <v>0</v>
      </c>
      <c r="AI1139" s="258">
        <v>0</v>
      </c>
      <c r="AJ1139" s="257">
        <v>0</v>
      </c>
      <c r="AK1139" s="258">
        <v>0</v>
      </c>
      <c r="AL1139" s="258">
        <v>0</v>
      </c>
      <c r="AM1139" s="258">
        <v>0</v>
      </c>
      <c r="AN1139" s="258"/>
      <c r="AO1139" s="258">
        <v>0</v>
      </c>
      <c r="AP1139" s="259"/>
      <c r="DQ1139" s="263"/>
      <c r="DR1139" s="263"/>
      <c r="DS1139" s="263"/>
      <c r="EP1139" s="264"/>
      <c r="FS1139" s="265"/>
      <c r="GI1139" s="266"/>
    </row>
    <row r="1140" spans="1:191" s="259" customFormat="1" ht="36" customHeight="1" x14ac:dyDescent="0.25">
      <c r="B1140" s="94" t="s">
        <v>826</v>
      </c>
      <c r="C1140" s="94"/>
      <c r="D1140" s="124" t="s">
        <v>896</v>
      </c>
      <c r="E1140" s="124" t="s">
        <v>896</v>
      </c>
      <c r="F1140" s="124" t="s">
        <v>896</v>
      </c>
      <c r="G1140" s="124" t="s">
        <v>896</v>
      </c>
      <c r="H1140" s="124" t="s">
        <v>896</v>
      </c>
      <c r="I1140" s="125">
        <f>I1141</f>
        <v>1070.8</v>
      </c>
      <c r="J1140" s="125">
        <f>J1141</f>
        <v>1070.8</v>
      </c>
      <c r="K1140" s="125">
        <f>K1141</f>
        <v>942</v>
      </c>
      <c r="L1140" s="126">
        <f>L1141</f>
        <v>57</v>
      </c>
      <c r="M1140" s="124" t="s">
        <v>896</v>
      </c>
      <c r="N1140" s="124" t="s">
        <v>896</v>
      </c>
      <c r="O1140" s="127" t="s">
        <v>896</v>
      </c>
      <c r="P1140" s="128">
        <v>2936950.21</v>
      </c>
      <c r="Q1140" s="128">
        <f>Q1141</f>
        <v>0</v>
      </c>
      <c r="R1140" s="128">
        <f>R1141</f>
        <v>0</v>
      </c>
      <c r="S1140" s="128">
        <f>S1141</f>
        <v>2936950.21</v>
      </c>
      <c r="T1140" s="128">
        <f t="shared" si="340"/>
        <v>2742.7626167351514</v>
      </c>
      <c r="U1140" s="128">
        <f>U1141</f>
        <v>5467.4745050429592</v>
      </c>
      <c r="V1140" s="257">
        <f t="shared" si="347"/>
        <v>2724.7118883078078</v>
      </c>
      <c r="W1140" s="257"/>
      <c r="X1140" s="257"/>
      <c r="Y1140" s="258"/>
      <c r="Z1140" s="258"/>
      <c r="AA1140" s="258"/>
      <c r="AB1140" s="258"/>
      <c r="AC1140" s="258"/>
      <c r="AD1140" s="258"/>
      <c r="AE1140" s="258"/>
      <c r="AF1140" s="258"/>
      <c r="AG1140" s="258"/>
      <c r="AH1140" s="258"/>
      <c r="AI1140" s="258"/>
      <c r="AJ1140" s="258"/>
      <c r="AK1140" s="258"/>
      <c r="AL1140" s="258"/>
      <c r="AM1140" s="258"/>
      <c r="AN1140" s="258"/>
      <c r="AO1140" s="258"/>
    </row>
    <row r="1141" spans="1:191" s="196" customFormat="1" ht="36" customHeight="1" x14ac:dyDescent="0.25">
      <c r="A1141" s="259">
        <v>1</v>
      </c>
      <c r="B1141" s="135">
        <f>SUBTOTAL(103,$A$1000:A1141)</f>
        <v>132</v>
      </c>
      <c r="C1141" s="132" t="s">
        <v>693</v>
      </c>
      <c r="D1141" s="124">
        <v>1979</v>
      </c>
      <c r="E1141" s="124"/>
      <c r="F1141" s="134" t="s">
        <v>269</v>
      </c>
      <c r="G1141" s="124">
        <v>2</v>
      </c>
      <c r="H1141" s="124" t="s">
        <v>314</v>
      </c>
      <c r="I1141" s="125">
        <v>1070.8</v>
      </c>
      <c r="J1141" s="125">
        <v>1070.8</v>
      </c>
      <c r="K1141" s="125">
        <v>942</v>
      </c>
      <c r="L1141" s="133">
        <v>57</v>
      </c>
      <c r="M1141" s="124" t="s">
        <v>267</v>
      </c>
      <c r="N1141" s="124" t="s">
        <v>343</v>
      </c>
      <c r="O1141" s="124" t="s">
        <v>729</v>
      </c>
      <c r="P1141" s="125">
        <v>2936950.21</v>
      </c>
      <c r="Q1141" s="125">
        <v>0</v>
      </c>
      <c r="R1141" s="125">
        <v>0</v>
      </c>
      <c r="S1141" s="125">
        <f>P1141-Q1141-R1141</f>
        <v>2936950.21</v>
      </c>
      <c r="T1141" s="128">
        <f t="shared" si="340"/>
        <v>2742.7626167351514</v>
      </c>
      <c r="U1141" s="128">
        <v>5467.4745050429592</v>
      </c>
      <c r="V1141" s="257">
        <f>U1141-T1141</f>
        <v>2724.7118883078078</v>
      </c>
      <c r="W1141" s="257">
        <f>X1141+Y1141+Z1141+AA1141+AB1141+AD1141+AF1141+AH1141+AJ1141+AL1141+AN1141+AO1141</f>
        <v>5467.4745050429592</v>
      </c>
      <c r="X1141" s="257">
        <v>0</v>
      </c>
      <c r="Y1141" s="258">
        <v>0</v>
      </c>
      <c r="Z1141" s="258">
        <v>0</v>
      </c>
      <c r="AA1141" s="258">
        <v>0</v>
      </c>
      <c r="AB1141" s="258">
        <v>0</v>
      </c>
      <c r="AC1141" s="258">
        <v>0</v>
      </c>
      <c r="AD1141" s="258">
        <v>0</v>
      </c>
      <c r="AE1141" s="258">
        <v>0</v>
      </c>
      <c r="AF1141" s="257">
        <v>0</v>
      </c>
      <c r="AG1141" s="258">
        <v>0</v>
      </c>
      <c r="AH1141" s="257">
        <v>0</v>
      </c>
      <c r="AI1141" s="258">
        <v>787</v>
      </c>
      <c r="AJ1141" s="257">
        <f>7439.1*AI1141/I1141</f>
        <v>5467.4745050429592</v>
      </c>
      <c r="AK1141" s="258">
        <v>0</v>
      </c>
      <c r="AL1141" s="258">
        <v>0</v>
      </c>
      <c r="AM1141" s="258">
        <v>0</v>
      </c>
      <c r="AN1141" s="258"/>
      <c r="AO1141" s="258">
        <v>0</v>
      </c>
      <c r="AP1141" s="259"/>
      <c r="DQ1141" s="263"/>
      <c r="DR1141" s="263"/>
      <c r="DS1141" s="263"/>
      <c r="EP1141" s="264"/>
      <c r="FS1141" s="265"/>
      <c r="GI1141" s="266"/>
    </row>
    <row r="1142" spans="1:191" s="259" customFormat="1" ht="36" customHeight="1" x14ac:dyDescent="0.25">
      <c r="B1142" s="94" t="s">
        <v>827</v>
      </c>
      <c r="C1142" s="94"/>
      <c r="D1142" s="124" t="s">
        <v>896</v>
      </c>
      <c r="E1142" s="124" t="s">
        <v>896</v>
      </c>
      <c r="F1142" s="124" t="s">
        <v>896</v>
      </c>
      <c r="G1142" s="124" t="s">
        <v>896</v>
      </c>
      <c r="H1142" s="124" t="s">
        <v>896</v>
      </c>
      <c r="I1142" s="125">
        <f>I1143+I1144</f>
        <v>1547.1</v>
      </c>
      <c r="J1142" s="125">
        <f>J1143+J1144</f>
        <v>1426.8</v>
      </c>
      <c r="K1142" s="125">
        <f>K1143+K1144</f>
        <v>275.39999999999998</v>
      </c>
      <c r="L1142" s="126">
        <f>L1143+L1144</f>
        <v>72</v>
      </c>
      <c r="M1142" s="124" t="s">
        <v>896</v>
      </c>
      <c r="N1142" s="124" t="s">
        <v>896</v>
      </c>
      <c r="O1142" s="127" t="s">
        <v>896</v>
      </c>
      <c r="P1142" s="128">
        <v>2773728.46</v>
      </c>
      <c r="Q1142" s="128">
        <f>Q1143+Q1144</f>
        <v>0</v>
      </c>
      <c r="R1142" s="128">
        <f>R1143+R1144</f>
        <v>0</v>
      </c>
      <c r="S1142" s="128">
        <f>S1143+S1144</f>
        <v>2773728.46</v>
      </c>
      <c r="T1142" s="128">
        <f t="shared" si="340"/>
        <v>1792.8566091396808</v>
      </c>
      <c r="U1142" s="128">
        <f>MAX(U1143:U1144)</f>
        <v>3632.7844391055255</v>
      </c>
      <c r="V1142" s="257">
        <f t="shared" si="347"/>
        <v>1839.9278299658447</v>
      </c>
      <c r="W1142" s="257"/>
      <c r="X1142" s="257"/>
      <c r="Y1142" s="258"/>
      <c r="Z1142" s="258"/>
      <c r="AA1142" s="258"/>
      <c r="AB1142" s="258"/>
      <c r="AC1142" s="258"/>
      <c r="AD1142" s="258"/>
      <c r="AE1142" s="258"/>
      <c r="AF1142" s="258"/>
      <c r="AG1142" s="258"/>
      <c r="AH1142" s="258"/>
      <c r="AI1142" s="258"/>
      <c r="AJ1142" s="258"/>
      <c r="AK1142" s="258"/>
      <c r="AL1142" s="258"/>
      <c r="AM1142" s="258"/>
      <c r="AN1142" s="258"/>
      <c r="AO1142" s="258"/>
    </row>
    <row r="1143" spans="1:191" s="196" customFormat="1" ht="36" customHeight="1" x14ac:dyDescent="0.25">
      <c r="A1143" s="259">
        <v>1</v>
      </c>
      <c r="B1143" s="135">
        <f>SUBTOTAL(103,$A$1000:A1143)</f>
        <v>133</v>
      </c>
      <c r="C1143" s="132" t="s">
        <v>686</v>
      </c>
      <c r="D1143" s="124">
        <v>1971</v>
      </c>
      <c r="E1143" s="124"/>
      <c r="F1143" s="134" t="s">
        <v>269</v>
      </c>
      <c r="G1143" s="124">
        <v>3</v>
      </c>
      <c r="H1143" s="124" t="s">
        <v>305</v>
      </c>
      <c r="I1143" s="125">
        <v>1082.2</v>
      </c>
      <c r="J1143" s="125">
        <v>1018.1</v>
      </c>
      <c r="K1143" s="125">
        <v>114.5</v>
      </c>
      <c r="L1143" s="133">
        <v>44</v>
      </c>
      <c r="M1143" s="124" t="s">
        <v>267</v>
      </c>
      <c r="N1143" s="124" t="s">
        <v>268</v>
      </c>
      <c r="O1143" s="124" t="s">
        <v>270</v>
      </c>
      <c r="P1143" s="125">
        <v>2539091.92</v>
      </c>
      <c r="Q1143" s="125">
        <v>0</v>
      </c>
      <c r="R1143" s="125">
        <v>0</v>
      </c>
      <c r="S1143" s="125">
        <f>P1143-Q1143-R1143</f>
        <v>2539091.92</v>
      </c>
      <c r="T1143" s="128">
        <f t="shared" si="340"/>
        <v>2346.2316762151172</v>
      </c>
      <c r="U1143" s="128">
        <v>3632.7844391055255</v>
      </c>
      <c r="V1143" s="257">
        <f t="shared" si="347"/>
        <v>1286.5527628904083</v>
      </c>
      <c r="W1143" s="257">
        <f t="shared" ref="W1143:W1144" si="354">X1143+Y1143+Z1143+AA1143+AB1143+AD1143+AF1143+AH1143+AJ1143+AL1143+AN1143+AO1143</f>
        <v>3620.4356680835335</v>
      </c>
      <c r="X1143" s="257">
        <v>0</v>
      </c>
      <c r="Y1143" s="258">
        <v>0</v>
      </c>
      <c r="Z1143" s="258">
        <v>0</v>
      </c>
      <c r="AA1143" s="258">
        <v>0</v>
      </c>
      <c r="AB1143" s="258">
        <v>0</v>
      </c>
      <c r="AC1143" s="258">
        <v>0</v>
      </c>
      <c r="AD1143" s="258">
        <v>0</v>
      </c>
      <c r="AE1143" s="258">
        <v>628</v>
      </c>
      <c r="AF1143" s="257">
        <f>6238.91*AE1143/I1143</f>
        <v>3620.4356680835335</v>
      </c>
      <c r="AG1143" s="258">
        <v>0</v>
      </c>
      <c r="AH1143" s="257">
        <v>0</v>
      </c>
      <c r="AI1143" s="258">
        <v>0</v>
      </c>
      <c r="AJ1143" s="257">
        <v>0</v>
      </c>
      <c r="AK1143" s="258">
        <v>0</v>
      </c>
      <c r="AL1143" s="258">
        <v>0</v>
      </c>
      <c r="AM1143" s="258">
        <v>0</v>
      </c>
      <c r="AN1143" s="258"/>
      <c r="AO1143" s="258">
        <v>0</v>
      </c>
      <c r="AP1143" s="259"/>
      <c r="DQ1143" s="263"/>
      <c r="DR1143" s="263"/>
      <c r="DS1143" s="263"/>
      <c r="EP1143" s="264"/>
      <c r="FS1143" s="265"/>
      <c r="GI1143" s="266"/>
    </row>
    <row r="1144" spans="1:191" s="196" customFormat="1" ht="36" customHeight="1" x14ac:dyDescent="0.25">
      <c r="A1144" s="259">
        <v>1</v>
      </c>
      <c r="B1144" s="135">
        <f>SUBTOTAL(103,$A$1000:A1144)</f>
        <v>134</v>
      </c>
      <c r="C1144" s="132" t="s">
        <v>696</v>
      </c>
      <c r="D1144" s="124">
        <v>1968</v>
      </c>
      <c r="E1144" s="124"/>
      <c r="F1144" s="134" t="s">
        <v>269</v>
      </c>
      <c r="G1144" s="124">
        <v>2</v>
      </c>
      <c r="H1144" s="124" t="s">
        <v>305</v>
      </c>
      <c r="I1144" s="125">
        <v>464.9</v>
      </c>
      <c r="J1144" s="125">
        <v>408.7</v>
      </c>
      <c r="K1144" s="125">
        <v>160.9</v>
      </c>
      <c r="L1144" s="133">
        <v>28</v>
      </c>
      <c r="M1144" s="124" t="s">
        <v>267</v>
      </c>
      <c r="N1144" s="124" t="s">
        <v>268</v>
      </c>
      <c r="O1144" s="124" t="s">
        <v>270</v>
      </c>
      <c r="P1144" s="125">
        <v>234636.54</v>
      </c>
      <c r="Q1144" s="125">
        <v>0</v>
      </c>
      <c r="R1144" s="125">
        <v>0</v>
      </c>
      <c r="S1144" s="125">
        <f>P1144-Q1144-R1144</f>
        <v>234636.54</v>
      </c>
      <c r="T1144" s="128">
        <f t="shared" si="340"/>
        <v>504.70324801032484</v>
      </c>
      <c r="U1144" s="128">
        <v>810.46</v>
      </c>
      <c r="V1144" s="257">
        <f t="shared" si="347"/>
        <v>305.75675198967519</v>
      </c>
      <c r="W1144" s="257">
        <f t="shared" si="354"/>
        <v>795.31</v>
      </c>
      <c r="X1144" s="257">
        <v>0</v>
      </c>
      <c r="Y1144" s="258">
        <v>0</v>
      </c>
      <c r="Z1144" s="258">
        <v>0</v>
      </c>
      <c r="AA1144" s="258">
        <v>0</v>
      </c>
      <c r="AB1144" s="258">
        <v>795.31</v>
      </c>
      <c r="AC1144" s="258">
        <v>0</v>
      </c>
      <c r="AD1144" s="258">
        <v>0</v>
      </c>
      <c r="AE1144" s="258">
        <v>0</v>
      </c>
      <c r="AF1144" s="257">
        <v>0</v>
      </c>
      <c r="AG1144" s="258">
        <v>0</v>
      </c>
      <c r="AH1144" s="257">
        <v>0</v>
      </c>
      <c r="AI1144" s="258">
        <v>0</v>
      </c>
      <c r="AJ1144" s="257">
        <v>0</v>
      </c>
      <c r="AK1144" s="258">
        <v>0</v>
      </c>
      <c r="AL1144" s="258">
        <v>0</v>
      </c>
      <c r="AM1144" s="258">
        <v>0</v>
      </c>
      <c r="AN1144" s="258"/>
      <c r="AO1144" s="258">
        <v>0</v>
      </c>
      <c r="AP1144" s="259"/>
      <c r="DQ1144" s="263"/>
      <c r="DR1144" s="263"/>
      <c r="DS1144" s="263"/>
      <c r="EP1144" s="264"/>
      <c r="FS1144" s="265"/>
      <c r="GI1144" s="266"/>
    </row>
    <row r="1145" spans="1:191" s="259" customFormat="1" ht="36" customHeight="1" x14ac:dyDescent="0.25">
      <c r="B1145" s="94" t="s">
        <v>890</v>
      </c>
      <c r="C1145" s="94"/>
      <c r="D1145" s="124" t="s">
        <v>896</v>
      </c>
      <c r="E1145" s="124" t="s">
        <v>896</v>
      </c>
      <c r="F1145" s="124" t="s">
        <v>896</v>
      </c>
      <c r="G1145" s="124" t="s">
        <v>896</v>
      </c>
      <c r="H1145" s="124" t="s">
        <v>896</v>
      </c>
      <c r="I1145" s="125">
        <f>I1146</f>
        <v>520.79999999999995</v>
      </c>
      <c r="J1145" s="125">
        <f>J1146</f>
        <v>455.1</v>
      </c>
      <c r="K1145" s="125">
        <f>K1146</f>
        <v>413.6</v>
      </c>
      <c r="L1145" s="126">
        <f>L1146</f>
        <v>32</v>
      </c>
      <c r="M1145" s="124" t="s">
        <v>896</v>
      </c>
      <c r="N1145" s="124" t="s">
        <v>896</v>
      </c>
      <c r="O1145" s="127" t="s">
        <v>896</v>
      </c>
      <c r="P1145" s="128">
        <v>2158336.3499999996</v>
      </c>
      <c r="Q1145" s="128">
        <f>Q1146</f>
        <v>0</v>
      </c>
      <c r="R1145" s="128">
        <f>R1146</f>
        <v>0</v>
      </c>
      <c r="S1145" s="128">
        <f>S1146</f>
        <v>2158336.3499999996</v>
      </c>
      <c r="T1145" s="128">
        <f t="shared" si="340"/>
        <v>4144.2710253456216</v>
      </c>
      <c r="U1145" s="128">
        <f>U1146</f>
        <v>4723.9913018433181</v>
      </c>
      <c r="V1145" s="257">
        <f t="shared" si="347"/>
        <v>579.72027649769643</v>
      </c>
      <c r="W1145" s="257"/>
      <c r="X1145" s="257"/>
      <c r="Y1145" s="258"/>
      <c r="Z1145" s="258"/>
      <c r="AA1145" s="258"/>
      <c r="AB1145" s="258"/>
      <c r="AC1145" s="258"/>
      <c r="AD1145" s="258"/>
      <c r="AE1145" s="258"/>
      <c r="AF1145" s="258"/>
      <c r="AG1145" s="258"/>
      <c r="AH1145" s="258"/>
      <c r="AI1145" s="258"/>
      <c r="AJ1145" s="258"/>
      <c r="AK1145" s="258"/>
      <c r="AL1145" s="258"/>
      <c r="AM1145" s="258"/>
      <c r="AN1145" s="258"/>
      <c r="AO1145" s="258"/>
    </row>
    <row r="1146" spans="1:191" s="196" customFormat="1" ht="36" customHeight="1" x14ac:dyDescent="0.25">
      <c r="A1146" s="259">
        <v>1</v>
      </c>
      <c r="B1146" s="135">
        <f>SUBTOTAL(103,$A$1000:A1146)</f>
        <v>135</v>
      </c>
      <c r="C1146" s="132" t="s">
        <v>678</v>
      </c>
      <c r="D1146" s="124">
        <v>1962</v>
      </c>
      <c r="E1146" s="124"/>
      <c r="F1146" s="134" t="s">
        <v>269</v>
      </c>
      <c r="G1146" s="124">
        <v>2</v>
      </c>
      <c r="H1146" s="124" t="s">
        <v>305</v>
      </c>
      <c r="I1146" s="125">
        <v>520.79999999999995</v>
      </c>
      <c r="J1146" s="125">
        <v>455.1</v>
      </c>
      <c r="K1146" s="125">
        <v>413.6</v>
      </c>
      <c r="L1146" s="133">
        <v>32</v>
      </c>
      <c r="M1146" s="124" t="s">
        <v>267</v>
      </c>
      <c r="N1146" s="124" t="s">
        <v>268</v>
      </c>
      <c r="O1146" s="124" t="s">
        <v>270</v>
      </c>
      <c r="P1146" s="125">
        <v>2158336.3499999996</v>
      </c>
      <c r="Q1146" s="125">
        <v>0</v>
      </c>
      <c r="R1146" s="125">
        <v>0</v>
      </c>
      <c r="S1146" s="125">
        <f>P1146-Q1146-R1146</f>
        <v>2158336.3499999996</v>
      </c>
      <c r="T1146" s="128">
        <f t="shared" si="340"/>
        <v>4144.2710253456216</v>
      </c>
      <c r="U1146" s="128">
        <v>4723.9913018433181</v>
      </c>
      <c r="V1146" s="257">
        <f>U1146-T1146</f>
        <v>579.72027649769643</v>
      </c>
      <c r="W1146" s="257">
        <f>X1146+Y1146+Z1146+AA1146+AB1146+AD1146+AF1146+AH1146+AJ1146+AL1146+AN1146+AO1146</f>
        <v>4707.9332373271891</v>
      </c>
      <c r="X1146" s="257">
        <v>0</v>
      </c>
      <c r="Y1146" s="258">
        <v>0</v>
      </c>
      <c r="Z1146" s="258">
        <v>0</v>
      </c>
      <c r="AA1146" s="258">
        <v>0</v>
      </c>
      <c r="AB1146" s="258">
        <v>0</v>
      </c>
      <c r="AC1146" s="258">
        <v>0</v>
      </c>
      <c r="AD1146" s="258">
        <v>0</v>
      </c>
      <c r="AE1146" s="258">
        <v>393</v>
      </c>
      <c r="AF1146" s="257">
        <f>6238.91*AE1146/I1146</f>
        <v>4707.9332373271891</v>
      </c>
      <c r="AG1146" s="258">
        <v>0</v>
      </c>
      <c r="AH1146" s="257">
        <v>0</v>
      </c>
      <c r="AI1146" s="258">
        <v>0</v>
      </c>
      <c r="AJ1146" s="257">
        <v>0</v>
      </c>
      <c r="AK1146" s="258">
        <v>0</v>
      </c>
      <c r="AL1146" s="258">
        <v>0</v>
      </c>
      <c r="AM1146" s="258">
        <v>0</v>
      </c>
      <c r="AN1146" s="258"/>
      <c r="AO1146" s="258">
        <v>0</v>
      </c>
      <c r="AP1146" s="259"/>
      <c r="DQ1146" s="263"/>
      <c r="DR1146" s="263"/>
      <c r="DS1146" s="263"/>
      <c r="EP1146" s="264"/>
      <c r="FS1146" s="265"/>
      <c r="GI1146" s="266"/>
    </row>
    <row r="1147" spans="1:191" s="259" customFormat="1" ht="36" customHeight="1" x14ac:dyDescent="0.25">
      <c r="B1147" s="94" t="s">
        <v>828</v>
      </c>
      <c r="C1147" s="94"/>
      <c r="D1147" s="124" t="s">
        <v>896</v>
      </c>
      <c r="E1147" s="124" t="s">
        <v>896</v>
      </c>
      <c r="F1147" s="124" t="s">
        <v>896</v>
      </c>
      <c r="G1147" s="124" t="s">
        <v>896</v>
      </c>
      <c r="H1147" s="124" t="s">
        <v>896</v>
      </c>
      <c r="I1147" s="125">
        <f>I1148</f>
        <v>3156.2</v>
      </c>
      <c r="J1147" s="125">
        <f>J1148</f>
        <v>2811.5</v>
      </c>
      <c r="K1147" s="125">
        <f>K1148</f>
        <v>759.56</v>
      </c>
      <c r="L1147" s="126">
        <f>L1148</f>
        <v>151</v>
      </c>
      <c r="M1147" s="124" t="s">
        <v>896</v>
      </c>
      <c r="N1147" s="124" t="s">
        <v>896</v>
      </c>
      <c r="O1147" s="127" t="s">
        <v>896</v>
      </c>
      <c r="P1147" s="125">
        <v>2000000</v>
      </c>
      <c r="Q1147" s="125">
        <f>Q1148</f>
        <v>0</v>
      </c>
      <c r="R1147" s="125">
        <f>R1148</f>
        <v>0</v>
      </c>
      <c r="S1147" s="125">
        <f>S1148</f>
        <v>2000000</v>
      </c>
      <c r="T1147" s="128">
        <f t="shared" si="340"/>
        <v>633.67340472720366</v>
      </c>
      <c r="U1147" s="128">
        <f>U1148</f>
        <v>1338.6357743489004</v>
      </c>
      <c r="V1147" s="257">
        <f t="shared" si="347"/>
        <v>704.96236962169678</v>
      </c>
      <c r="W1147" s="257"/>
      <c r="X1147" s="257"/>
      <c r="Y1147" s="258"/>
      <c r="Z1147" s="258"/>
      <c r="AA1147" s="258"/>
      <c r="AB1147" s="258"/>
      <c r="AC1147" s="258"/>
      <c r="AD1147" s="258"/>
      <c r="AE1147" s="258"/>
      <c r="AF1147" s="258"/>
      <c r="AG1147" s="258"/>
      <c r="AH1147" s="258"/>
      <c r="AI1147" s="258"/>
      <c r="AJ1147" s="258"/>
      <c r="AK1147" s="258"/>
      <c r="AL1147" s="258"/>
      <c r="AM1147" s="258"/>
      <c r="AN1147" s="258"/>
      <c r="AO1147" s="258"/>
    </row>
    <row r="1148" spans="1:191" s="259" customFormat="1" ht="36" customHeight="1" x14ac:dyDescent="0.25">
      <c r="A1148" s="259">
        <v>1</v>
      </c>
      <c r="B1148" s="135">
        <f>SUBTOTAL(103,$A$1000:A1148)</f>
        <v>136</v>
      </c>
      <c r="C1148" s="94" t="s">
        <v>692</v>
      </c>
      <c r="D1148" s="124">
        <v>1990</v>
      </c>
      <c r="E1148" s="124"/>
      <c r="F1148" s="129" t="s">
        <v>728</v>
      </c>
      <c r="G1148" s="124">
        <v>5</v>
      </c>
      <c r="H1148" s="124" t="s">
        <v>310</v>
      </c>
      <c r="I1148" s="125">
        <v>3156.2</v>
      </c>
      <c r="J1148" s="125">
        <v>2811.5</v>
      </c>
      <c r="K1148" s="125">
        <v>759.56</v>
      </c>
      <c r="L1148" s="126">
        <v>151</v>
      </c>
      <c r="M1148" s="124" t="s">
        <v>267</v>
      </c>
      <c r="N1148" s="124" t="s">
        <v>271</v>
      </c>
      <c r="O1148" s="127" t="s">
        <v>725</v>
      </c>
      <c r="P1148" s="128">
        <v>2000000</v>
      </c>
      <c r="Q1148" s="128">
        <v>0</v>
      </c>
      <c r="R1148" s="128">
        <v>0</v>
      </c>
      <c r="S1148" s="128">
        <f>P1148-Q1148-R1148</f>
        <v>2000000</v>
      </c>
      <c r="T1148" s="128">
        <f t="shared" si="340"/>
        <v>633.67340472720366</v>
      </c>
      <c r="U1148" s="128">
        <v>1338.6357743489004</v>
      </c>
      <c r="V1148" s="257">
        <f>U1148-T1148</f>
        <v>704.96236962169678</v>
      </c>
      <c r="W1148" s="257">
        <f>X1148+Y1148+Z1148+AA1148+AB1148+AD1148+AF1148+AH1148+AJ1148+AL1148+AN1148+AO1148</f>
        <v>1334.0854061846526</v>
      </c>
      <c r="X1148" s="257">
        <v>0</v>
      </c>
      <c r="Y1148" s="258">
        <v>0</v>
      </c>
      <c r="Z1148" s="258">
        <v>0</v>
      </c>
      <c r="AA1148" s="258">
        <v>0</v>
      </c>
      <c r="AB1148" s="258">
        <v>0</v>
      </c>
      <c r="AC1148" s="258">
        <v>0</v>
      </c>
      <c r="AD1148" s="258">
        <v>0</v>
      </c>
      <c r="AE1148" s="258">
        <v>674.9</v>
      </c>
      <c r="AF1148" s="257">
        <f>6238.91*AE1148/I1148</f>
        <v>1334.0854061846526</v>
      </c>
      <c r="AG1148" s="258">
        <v>0</v>
      </c>
      <c r="AH1148" s="257">
        <v>0</v>
      </c>
      <c r="AI1148" s="258">
        <v>0</v>
      </c>
      <c r="AJ1148" s="257">
        <v>0</v>
      </c>
      <c r="AK1148" s="258">
        <v>0</v>
      </c>
      <c r="AL1148" s="258">
        <v>0</v>
      </c>
      <c r="AM1148" s="258">
        <v>0</v>
      </c>
      <c r="AN1148" s="258"/>
      <c r="AO1148" s="258">
        <v>0</v>
      </c>
    </row>
    <row r="1149" spans="1:191" s="259" customFormat="1" ht="36" customHeight="1" x14ac:dyDescent="0.25">
      <c r="B1149" s="94" t="s">
        <v>829</v>
      </c>
      <c r="C1149" s="94"/>
      <c r="D1149" s="124" t="s">
        <v>896</v>
      </c>
      <c r="E1149" s="124" t="s">
        <v>896</v>
      </c>
      <c r="F1149" s="124" t="s">
        <v>896</v>
      </c>
      <c r="G1149" s="124" t="s">
        <v>896</v>
      </c>
      <c r="H1149" s="124" t="s">
        <v>896</v>
      </c>
      <c r="I1149" s="125">
        <f>SUM(I1150:I1155)</f>
        <v>11293.6</v>
      </c>
      <c r="J1149" s="125">
        <f>SUM(J1150:J1155)</f>
        <v>11107.800000000001</v>
      </c>
      <c r="K1149" s="125">
        <f>SUM(K1150:K1155)</f>
        <v>9948.5</v>
      </c>
      <c r="L1149" s="126">
        <f>SUM(L1150:L1155)</f>
        <v>522</v>
      </c>
      <c r="M1149" s="124" t="s">
        <v>896</v>
      </c>
      <c r="N1149" s="124" t="s">
        <v>896</v>
      </c>
      <c r="O1149" s="127" t="s">
        <v>896</v>
      </c>
      <c r="P1149" s="128">
        <v>19139362.629999999</v>
      </c>
      <c r="Q1149" s="128">
        <f>SUM(Q1150:Q1155)</f>
        <v>0</v>
      </c>
      <c r="R1149" s="128">
        <f>SUM(R1150:R1155)</f>
        <v>0</v>
      </c>
      <c r="S1149" s="128">
        <f>SUM(S1150:S1155)</f>
        <v>19139362.629999999</v>
      </c>
      <c r="T1149" s="128">
        <f t="shared" si="340"/>
        <v>1694.7087403485159</v>
      </c>
      <c r="U1149" s="128">
        <f>MAX(U1150:U1155)</f>
        <v>9517.2893682588601</v>
      </c>
      <c r="V1149" s="257">
        <f t="shared" si="347"/>
        <v>7822.5806279103444</v>
      </c>
      <c r="W1149" s="257"/>
      <c r="X1149" s="257"/>
      <c r="Y1149" s="258"/>
      <c r="Z1149" s="258"/>
      <c r="AA1149" s="258"/>
      <c r="AB1149" s="258"/>
      <c r="AC1149" s="258"/>
      <c r="AD1149" s="258"/>
      <c r="AE1149" s="258"/>
      <c r="AF1149" s="258"/>
      <c r="AG1149" s="258"/>
      <c r="AH1149" s="258"/>
      <c r="AI1149" s="258"/>
      <c r="AJ1149" s="258"/>
      <c r="AK1149" s="258"/>
      <c r="AL1149" s="258"/>
      <c r="AM1149" s="258"/>
      <c r="AN1149" s="258"/>
      <c r="AO1149" s="258"/>
    </row>
    <row r="1150" spans="1:191" s="196" customFormat="1" ht="36" customHeight="1" x14ac:dyDescent="0.25">
      <c r="A1150" s="259">
        <v>1</v>
      </c>
      <c r="B1150" s="135">
        <f>SUBTOTAL(103,$A$1000:A1150)</f>
        <v>137</v>
      </c>
      <c r="C1150" s="132" t="s">
        <v>665</v>
      </c>
      <c r="D1150" s="124">
        <v>1963</v>
      </c>
      <c r="E1150" s="124"/>
      <c r="F1150" s="134" t="s">
        <v>332</v>
      </c>
      <c r="G1150" s="124">
        <v>2</v>
      </c>
      <c r="H1150" s="124" t="s">
        <v>305</v>
      </c>
      <c r="I1150" s="125">
        <v>279.7</v>
      </c>
      <c r="J1150" s="125">
        <v>175.8</v>
      </c>
      <c r="K1150" s="125">
        <v>175.8</v>
      </c>
      <c r="L1150" s="133">
        <v>24</v>
      </c>
      <c r="M1150" s="124" t="s">
        <v>267</v>
      </c>
      <c r="N1150" s="124" t="s">
        <v>268</v>
      </c>
      <c r="O1150" s="124" t="s">
        <v>270</v>
      </c>
      <c r="P1150" s="125">
        <v>1358190.18</v>
      </c>
      <c r="Q1150" s="125">
        <v>0</v>
      </c>
      <c r="R1150" s="125">
        <v>0</v>
      </c>
      <c r="S1150" s="125">
        <f t="shared" ref="S1150:S1155" si="355">P1150-Q1150-R1150</f>
        <v>1358190.18</v>
      </c>
      <c r="T1150" s="128">
        <f t="shared" si="340"/>
        <v>4855.8819449410084</v>
      </c>
      <c r="U1150" s="128">
        <v>5821.5066821594564</v>
      </c>
      <c r="V1150" s="257">
        <f t="shared" si="347"/>
        <v>965.62473721844799</v>
      </c>
      <c r="W1150" s="257">
        <f t="shared" ref="W1150:W1155" si="356">X1150+Y1150+Z1150+AA1150+AB1150+AD1150+AF1150+AH1150+AJ1150+AL1150+AN1150+AO1150</f>
        <v>5801.7178798712912</v>
      </c>
      <c r="X1150" s="257">
        <v>0</v>
      </c>
      <c r="Y1150" s="258">
        <v>0</v>
      </c>
      <c r="Z1150" s="258">
        <v>0</v>
      </c>
      <c r="AA1150" s="258">
        <v>0</v>
      </c>
      <c r="AB1150" s="258">
        <v>0</v>
      </c>
      <c r="AC1150" s="258">
        <v>0</v>
      </c>
      <c r="AD1150" s="258">
        <v>0</v>
      </c>
      <c r="AE1150" s="258">
        <v>260.10000000000002</v>
      </c>
      <c r="AF1150" s="257">
        <f>6238.91*AE1150/I1150</f>
        <v>5801.7178798712912</v>
      </c>
      <c r="AG1150" s="258">
        <v>0</v>
      </c>
      <c r="AH1150" s="257">
        <v>0</v>
      </c>
      <c r="AI1150" s="258">
        <v>0</v>
      </c>
      <c r="AJ1150" s="257">
        <v>0</v>
      </c>
      <c r="AK1150" s="258">
        <v>0</v>
      </c>
      <c r="AL1150" s="258">
        <v>0</v>
      </c>
      <c r="AM1150" s="258">
        <v>0</v>
      </c>
      <c r="AN1150" s="258"/>
      <c r="AO1150" s="258">
        <v>0</v>
      </c>
      <c r="AP1150" s="259"/>
      <c r="DQ1150" s="263"/>
      <c r="DR1150" s="263"/>
      <c r="DS1150" s="263"/>
      <c r="EP1150" s="264"/>
      <c r="FS1150" s="265"/>
      <c r="GI1150" s="266"/>
    </row>
    <row r="1151" spans="1:191" s="196" customFormat="1" ht="36" customHeight="1" x14ac:dyDescent="0.25">
      <c r="A1151" s="259">
        <v>1</v>
      </c>
      <c r="B1151" s="135">
        <f>SUBTOTAL(103,$A$1000:A1151)</f>
        <v>138</v>
      </c>
      <c r="C1151" s="132" t="s">
        <v>666</v>
      </c>
      <c r="D1151" s="124">
        <v>1981</v>
      </c>
      <c r="E1151" s="124"/>
      <c r="F1151" s="134" t="s">
        <v>269</v>
      </c>
      <c r="G1151" s="124">
        <v>5</v>
      </c>
      <c r="H1151" s="124" t="s">
        <v>310</v>
      </c>
      <c r="I1151" s="125">
        <v>2798</v>
      </c>
      <c r="J1151" s="125">
        <v>2798</v>
      </c>
      <c r="K1151" s="125">
        <v>1700.7</v>
      </c>
      <c r="L1151" s="133">
        <v>156</v>
      </c>
      <c r="M1151" s="124" t="s">
        <v>267</v>
      </c>
      <c r="N1151" s="124" t="s">
        <v>271</v>
      </c>
      <c r="O1151" s="124" t="s">
        <v>723</v>
      </c>
      <c r="P1151" s="125">
        <v>3973325</v>
      </c>
      <c r="Q1151" s="125">
        <v>0</v>
      </c>
      <c r="R1151" s="125">
        <v>0</v>
      </c>
      <c r="S1151" s="125">
        <f t="shared" si="355"/>
        <v>3973325</v>
      </c>
      <c r="T1151" s="128">
        <f t="shared" si="340"/>
        <v>1420.0589706933524</v>
      </c>
      <c r="U1151" s="128">
        <v>1901.7732308791994</v>
      </c>
      <c r="V1151" s="257">
        <f t="shared" si="347"/>
        <v>481.71426018584702</v>
      </c>
      <c r="W1151" s="257">
        <f t="shared" si="356"/>
        <v>1895.3086132952108</v>
      </c>
      <c r="X1151" s="257">
        <v>0</v>
      </c>
      <c r="Y1151" s="258">
        <v>0</v>
      </c>
      <c r="Z1151" s="258">
        <v>0</v>
      </c>
      <c r="AA1151" s="258">
        <v>0</v>
      </c>
      <c r="AB1151" s="258">
        <v>0</v>
      </c>
      <c r="AC1151" s="258">
        <v>0</v>
      </c>
      <c r="AD1151" s="258">
        <v>0</v>
      </c>
      <c r="AE1151" s="258">
        <v>850</v>
      </c>
      <c r="AF1151" s="257">
        <f>6238.91*AE1151/I1151</f>
        <v>1895.3086132952108</v>
      </c>
      <c r="AG1151" s="258">
        <v>0</v>
      </c>
      <c r="AH1151" s="257">
        <v>0</v>
      </c>
      <c r="AI1151" s="258">
        <v>0</v>
      </c>
      <c r="AJ1151" s="257">
        <v>0</v>
      </c>
      <c r="AK1151" s="258">
        <v>0</v>
      </c>
      <c r="AL1151" s="258">
        <v>0</v>
      </c>
      <c r="AM1151" s="258">
        <v>0</v>
      </c>
      <c r="AN1151" s="258"/>
      <c r="AO1151" s="258">
        <v>0</v>
      </c>
      <c r="AP1151" s="259"/>
      <c r="DQ1151" s="263"/>
      <c r="DR1151" s="263"/>
      <c r="DS1151" s="263"/>
      <c r="EP1151" s="264"/>
      <c r="FS1151" s="265"/>
      <c r="GI1151" s="266"/>
    </row>
    <row r="1152" spans="1:191" s="196" customFormat="1" ht="36" customHeight="1" x14ac:dyDescent="0.25">
      <c r="A1152" s="259">
        <v>1</v>
      </c>
      <c r="B1152" s="135">
        <f>SUBTOTAL(103,$A$1000:A1152)</f>
        <v>139</v>
      </c>
      <c r="C1152" s="132" t="s">
        <v>2302</v>
      </c>
      <c r="D1152" s="124">
        <v>1980</v>
      </c>
      <c r="E1152" s="124"/>
      <c r="F1152" s="134" t="s">
        <v>269</v>
      </c>
      <c r="G1152" s="124">
        <v>2</v>
      </c>
      <c r="H1152" s="124" t="s">
        <v>314</v>
      </c>
      <c r="I1152" s="125">
        <v>939.9</v>
      </c>
      <c r="J1152" s="125">
        <v>858</v>
      </c>
      <c r="K1152" s="125">
        <v>830.3</v>
      </c>
      <c r="L1152" s="133">
        <v>47</v>
      </c>
      <c r="M1152" s="124" t="s">
        <v>267</v>
      </c>
      <c r="N1152" s="124" t="s">
        <v>271</v>
      </c>
      <c r="O1152" s="124" t="s">
        <v>1089</v>
      </c>
      <c r="P1152" s="125">
        <v>2687908</v>
      </c>
      <c r="Q1152" s="125">
        <v>0</v>
      </c>
      <c r="R1152" s="125">
        <v>0</v>
      </c>
      <c r="S1152" s="125">
        <f t="shared" si="355"/>
        <v>2687908</v>
      </c>
      <c r="T1152" s="128">
        <f t="shared" si="340"/>
        <v>2859.7808277476329</v>
      </c>
      <c r="U1152" s="128">
        <v>3666.5970794765399</v>
      </c>
      <c r="V1152" s="257">
        <f t="shared" si="347"/>
        <v>806.81625172890699</v>
      </c>
      <c r="W1152" s="257">
        <f t="shared" si="356"/>
        <v>3654.1333705713378</v>
      </c>
      <c r="X1152" s="257">
        <v>0</v>
      </c>
      <c r="Y1152" s="258">
        <v>0</v>
      </c>
      <c r="Z1152" s="258">
        <v>0</v>
      </c>
      <c r="AA1152" s="258">
        <v>0</v>
      </c>
      <c r="AB1152" s="258">
        <v>0</v>
      </c>
      <c r="AC1152" s="258">
        <v>0</v>
      </c>
      <c r="AD1152" s="258">
        <v>0</v>
      </c>
      <c r="AE1152" s="258">
        <v>550.5</v>
      </c>
      <c r="AF1152" s="257">
        <f>6238.91*AE1152/I1152</f>
        <v>3654.1333705713378</v>
      </c>
      <c r="AG1152" s="258">
        <v>0</v>
      </c>
      <c r="AH1152" s="257">
        <v>0</v>
      </c>
      <c r="AI1152" s="258">
        <v>0</v>
      </c>
      <c r="AJ1152" s="257">
        <v>0</v>
      </c>
      <c r="AK1152" s="258">
        <v>0</v>
      </c>
      <c r="AL1152" s="258">
        <v>0</v>
      </c>
      <c r="AM1152" s="258">
        <v>0</v>
      </c>
      <c r="AN1152" s="258"/>
      <c r="AO1152" s="258">
        <v>0</v>
      </c>
      <c r="AP1152" s="259"/>
      <c r="DQ1152" s="263"/>
      <c r="DR1152" s="263"/>
      <c r="DS1152" s="263"/>
      <c r="EP1152" s="264"/>
      <c r="FS1152" s="265"/>
      <c r="GI1152" s="266"/>
    </row>
    <row r="1153" spans="1:191" s="196" customFormat="1" ht="36" customHeight="1" x14ac:dyDescent="0.25">
      <c r="A1153" s="259">
        <v>1</v>
      </c>
      <c r="B1153" s="135">
        <f>SUBTOTAL(103,$A$1000:A1153)</f>
        <v>140</v>
      </c>
      <c r="C1153" s="132" t="s">
        <v>674</v>
      </c>
      <c r="D1153" s="124">
        <v>1993</v>
      </c>
      <c r="E1153" s="124"/>
      <c r="F1153" s="134" t="s">
        <v>313</v>
      </c>
      <c r="G1153" s="124">
        <v>5</v>
      </c>
      <c r="H1153" s="124" t="s">
        <v>314</v>
      </c>
      <c r="I1153" s="125">
        <v>3247.3</v>
      </c>
      <c r="J1153" s="125">
        <v>3247.3</v>
      </c>
      <c r="K1153" s="125">
        <v>3245</v>
      </c>
      <c r="L1153" s="133">
        <v>133</v>
      </c>
      <c r="M1153" s="124" t="s">
        <v>267</v>
      </c>
      <c r="N1153" s="124" t="s">
        <v>343</v>
      </c>
      <c r="O1153" s="124" t="s">
        <v>726</v>
      </c>
      <c r="P1153" s="125">
        <v>5240868.3999999994</v>
      </c>
      <c r="Q1153" s="125">
        <v>0</v>
      </c>
      <c r="R1153" s="125">
        <v>0</v>
      </c>
      <c r="S1153" s="125">
        <f t="shared" si="355"/>
        <v>5240868.3999999994</v>
      </c>
      <c r="T1153" s="128">
        <f t="shared" si="340"/>
        <v>1613.915683798848</v>
      </c>
      <c r="U1153" s="128">
        <v>1831.4231823360944</v>
      </c>
      <c r="V1153" s="257">
        <f t="shared" si="347"/>
        <v>217.50749853724642</v>
      </c>
      <c r="W1153" s="257">
        <f t="shared" si="356"/>
        <v>1341.2967850214022</v>
      </c>
      <c r="X1153" s="257">
        <v>0</v>
      </c>
      <c r="Y1153" s="258">
        <v>0</v>
      </c>
      <c r="Z1153" s="258">
        <v>0</v>
      </c>
      <c r="AA1153" s="258">
        <v>0</v>
      </c>
      <c r="AB1153" s="258">
        <v>0</v>
      </c>
      <c r="AC1153" s="258">
        <v>0</v>
      </c>
      <c r="AD1153" s="258">
        <v>0</v>
      </c>
      <c r="AE1153" s="258">
        <v>0</v>
      </c>
      <c r="AF1153" s="257">
        <v>0</v>
      </c>
      <c r="AG1153" s="258">
        <v>0</v>
      </c>
      <c r="AH1153" s="257">
        <v>0</v>
      </c>
      <c r="AI1153" s="258">
        <v>585.5</v>
      </c>
      <c r="AJ1153" s="257">
        <f>7439.1*AI1153/I1153</f>
        <v>1341.2967850214022</v>
      </c>
      <c r="AK1153" s="258">
        <v>0</v>
      </c>
      <c r="AL1153" s="258">
        <v>0</v>
      </c>
      <c r="AM1153" s="258">
        <v>0</v>
      </c>
      <c r="AN1153" s="258"/>
      <c r="AO1153" s="258">
        <v>0</v>
      </c>
      <c r="AP1153" s="259"/>
      <c r="DQ1153" s="263"/>
      <c r="DR1153" s="263"/>
      <c r="DS1153" s="263"/>
      <c r="EP1153" s="264"/>
      <c r="FS1153" s="265"/>
      <c r="GI1153" s="266"/>
    </row>
    <row r="1154" spans="1:191" s="196" customFormat="1" ht="36" customHeight="1" x14ac:dyDescent="0.25">
      <c r="A1154" s="259">
        <v>1</v>
      </c>
      <c r="B1154" s="135">
        <f>SUBTOTAL(103,$A$1000:A1154)</f>
        <v>141</v>
      </c>
      <c r="C1154" s="132" t="s">
        <v>661</v>
      </c>
      <c r="D1154" s="124">
        <v>1983</v>
      </c>
      <c r="E1154" s="124"/>
      <c r="F1154" s="134" t="s">
        <v>269</v>
      </c>
      <c r="G1154" s="124">
        <v>9</v>
      </c>
      <c r="H1154" s="124" t="s">
        <v>305</v>
      </c>
      <c r="I1154" s="125">
        <v>3834</v>
      </c>
      <c r="J1154" s="125">
        <v>3834</v>
      </c>
      <c r="K1154" s="125">
        <v>3802</v>
      </c>
      <c r="L1154" s="133">
        <v>141</v>
      </c>
      <c r="M1154" s="124" t="s">
        <v>267</v>
      </c>
      <c r="N1154" s="124" t="s">
        <v>343</v>
      </c>
      <c r="O1154" s="124" t="s">
        <v>730</v>
      </c>
      <c r="P1154" s="125">
        <v>4496606</v>
      </c>
      <c r="Q1154" s="125">
        <v>0</v>
      </c>
      <c r="R1154" s="125">
        <v>0</v>
      </c>
      <c r="S1154" s="125">
        <f t="shared" si="355"/>
        <v>4496606</v>
      </c>
      <c r="T1154" s="128">
        <f t="shared" si="340"/>
        <v>1172.8236828377674</v>
      </c>
      <c r="U1154" s="128">
        <v>1282.1074595722482</v>
      </c>
      <c r="V1154" s="257">
        <f t="shared" si="347"/>
        <v>109.28377673448085</v>
      </c>
      <c r="W1154" s="257">
        <f t="shared" si="356"/>
        <v>1545.8958007303079</v>
      </c>
      <c r="X1154" s="257">
        <v>0</v>
      </c>
      <c r="Y1154" s="258">
        <v>0</v>
      </c>
      <c r="Z1154" s="258">
        <v>0</v>
      </c>
      <c r="AA1154" s="258">
        <v>0</v>
      </c>
      <c r="AB1154" s="258">
        <v>0</v>
      </c>
      <c r="AC1154" s="258">
        <v>0</v>
      </c>
      <c r="AD1154" s="258">
        <v>0</v>
      </c>
      <c r="AE1154" s="258">
        <v>950</v>
      </c>
      <c r="AF1154" s="257">
        <f>6238.91*AE1154/I1154</f>
        <v>1545.8958007303079</v>
      </c>
      <c r="AG1154" s="258">
        <v>0</v>
      </c>
      <c r="AH1154" s="257">
        <v>0</v>
      </c>
      <c r="AI1154" s="258">
        <v>0</v>
      </c>
      <c r="AJ1154" s="257">
        <v>0</v>
      </c>
      <c r="AK1154" s="258">
        <v>0</v>
      </c>
      <c r="AL1154" s="258">
        <v>0</v>
      </c>
      <c r="AM1154" s="258">
        <v>0</v>
      </c>
      <c r="AN1154" s="258"/>
      <c r="AO1154" s="258">
        <v>0</v>
      </c>
      <c r="AP1154" s="259"/>
      <c r="DQ1154" s="263"/>
      <c r="DR1154" s="263"/>
      <c r="DS1154" s="263"/>
      <c r="EP1154" s="264"/>
      <c r="FS1154" s="265"/>
      <c r="GI1154" s="266"/>
    </row>
    <row r="1155" spans="1:191" s="196" customFormat="1" ht="36" customHeight="1" x14ac:dyDescent="0.25">
      <c r="A1155" s="259">
        <v>1</v>
      </c>
      <c r="B1155" s="135">
        <f>SUBTOTAL(103,$A$1000:A1155)</f>
        <v>142</v>
      </c>
      <c r="C1155" s="132" t="s">
        <v>1968</v>
      </c>
      <c r="D1155" s="124">
        <v>1959</v>
      </c>
      <c r="E1155" s="124"/>
      <c r="F1155" s="134" t="s">
        <v>1585</v>
      </c>
      <c r="G1155" s="124" t="s">
        <v>305</v>
      </c>
      <c r="H1155" s="124">
        <v>1</v>
      </c>
      <c r="I1155" s="125">
        <v>194.7</v>
      </c>
      <c r="J1155" s="125">
        <v>194.7</v>
      </c>
      <c r="K1155" s="125">
        <v>194.7</v>
      </c>
      <c r="L1155" s="133">
        <v>21</v>
      </c>
      <c r="M1155" s="124" t="s">
        <v>267</v>
      </c>
      <c r="N1155" s="124" t="s">
        <v>268</v>
      </c>
      <c r="O1155" s="124" t="s">
        <v>270</v>
      </c>
      <c r="P1155" s="125">
        <v>1382465.05</v>
      </c>
      <c r="Q1155" s="125">
        <v>0</v>
      </c>
      <c r="R1155" s="125">
        <v>0</v>
      </c>
      <c r="S1155" s="125">
        <f t="shared" si="355"/>
        <v>1382465.05</v>
      </c>
      <c r="T1155" s="128">
        <f t="shared" si="340"/>
        <v>7100.4881869542896</v>
      </c>
      <c r="U1155" s="128">
        <v>9517.2893682588601</v>
      </c>
      <c r="V1155" s="257">
        <f t="shared" si="347"/>
        <v>2416.8011813045705</v>
      </c>
      <c r="W1155" s="257">
        <f t="shared" si="356"/>
        <v>25247.046738572164</v>
      </c>
      <c r="X1155" s="257">
        <v>0</v>
      </c>
      <c r="Y1155" s="258">
        <v>0</v>
      </c>
      <c r="Z1155" s="258">
        <v>0</v>
      </c>
      <c r="AA1155" s="258">
        <v>0</v>
      </c>
      <c r="AB1155" s="258">
        <v>0</v>
      </c>
      <c r="AC1155" s="258">
        <v>2</v>
      </c>
      <c r="AD1155" s="257">
        <f>2457800*AC1155/I1155</f>
        <v>25247.046738572164</v>
      </c>
      <c r="AE1155" s="258">
        <v>0</v>
      </c>
      <c r="AF1155" s="257">
        <v>0</v>
      </c>
      <c r="AG1155" s="258">
        <v>0</v>
      </c>
      <c r="AH1155" s="257">
        <v>0</v>
      </c>
      <c r="AI1155" s="258">
        <v>0</v>
      </c>
      <c r="AJ1155" s="257">
        <v>0</v>
      </c>
      <c r="AK1155" s="258">
        <v>0</v>
      </c>
      <c r="AL1155" s="258">
        <v>0</v>
      </c>
      <c r="AM1155" s="258">
        <v>0</v>
      </c>
      <c r="AN1155" s="258"/>
      <c r="AO1155" s="258">
        <v>0</v>
      </c>
      <c r="AP1155" s="259"/>
      <c r="DQ1155" s="263"/>
      <c r="DR1155" s="263"/>
      <c r="DS1155" s="263"/>
      <c r="EP1155" s="264"/>
      <c r="FS1155" s="265"/>
      <c r="GI1155" s="266"/>
    </row>
    <row r="1156" spans="1:191" s="259" customFormat="1" ht="36" customHeight="1" x14ac:dyDescent="0.25">
      <c r="B1156" s="94" t="s">
        <v>830</v>
      </c>
      <c r="C1156" s="261"/>
      <c r="D1156" s="124" t="s">
        <v>896</v>
      </c>
      <c r="E1156" s="124" t="s">
        <v>896</v>
      </c>
      <c r="F1156" s="124" t="s">
        <v>896</v>
      </c>
      <c r="G1156" s="124" t="s">
        <v>896</v>
      </c>
      <c r="H1156" s="124" t="s">
        <v>896</v>
      </c>
      <c r="I1156" s="125">
        <f>SUM(I1157:I1159)</f>
        <v>6105.4</v>
      </c>
      <c r="J1156" s="125">
        <f>SUM(J1157:J1159)</f>
        <v>5837.7</v>
      </c>
      <c r="K1156" s="125">
        <f>SUM(K1157:K1159)</f>
        <v>5224.2</v>
      </c>
      <c r="L1156" s="126">
        <f>SUM(L1157:L1159)</f>
        <v>226</v>
      </c>
      <c r="M1156" s="124" t="s">
        <v>896</v>
      </c>
      <c r="N1156" s="124" t="s">
        <v>896</v>
      </c>
      <c r="O1156" s="127" t="s">
        <v>896</v>
      </c>
      <c r="P1156" s="128">
        <v>13813074.67</v>
      </c>
      <c r="Q1156" s="128">
        <f t="shared" ref="Q1156:S1156" si="357">SUM(Q1157:Q1159)</f>
        <v>0</v>
      </c>
      <c r="R1156" s="128">
        <f t="shared" si="357"/>
        <v>0</v>
      </c>
      <c r="S1156" s="128">
        <f t="shared" si="357"/>
        <v>13813074.67</v>
      </c>
      <c r="T1156" s="128">
        <f t="shared" si="340"/>
        <v>2262.4356585973073</v>
      </c>
      <c r="U1156" s="128">
        <f>MAX(U1157:U1159)</f>
        <v>6872.3278080697928</v>
      </c>
      <c r="V1156" s="257">
        <f t="shared" si="347"/>
        <v>4609.8921494724855</v>
      </c>
      <c r="W1156" s="257"/>
      <c r="X1156" s="257"/>
      <c r="Y1156" s="258"/>
      <c r="Z1156" s="258"/>
      <c r="AA1156" s="258"/>
      <c r="AB1156" s="258"/>
      <c r="AC1156" s="258"/>
      <c r="AD1156" s="258"/>
      <c r="AE1156" s="258"/>
      <c r="AF1156" s="258"/>
      <c r="AG1156" s="258"/>
      <c r="AH1156" s="258"/>
      <c r="AI1156" s="258"/>
      <c r="AJ1156" s="258"/>
      <c r="AK1156" s="258"/>
      <c r="AL1156" s="258"/>
      <c r="AM1156" s="258"/>
      <c r="AN1156" s="258"/>
      <c r="AO1156" s="258"/>
    </row>
    <row r="1157" spans="1:191" s="196" customFormat="1" ht="36" customHeight="1" x14ac:dyDescent="0.25">
      <c r="A1157" s="259">
        <v>1</v>
      </c>
      <c r="B1157" s="135">
        <f>SUBTOTAL(103,$A$1000:A1157)</f>
        <v>143</v>
      </c>
      <c r="C1157" s="132" t="s">
        <v>235</v>
      </c>
      <c r="D1157" s="124">
        <v>1954</v>
      </c>
      <c r="E1157" s="124"/>
      <c r="F1157" s="134" t="s">
        <v>338</v>
      </c>
      <c r="G1157" s="124">
        <v>2</v>
      </c>
      <c r="H1157" s="124" t="s">
        <v>305</v>
      </c>
      <c r="I1157" s="125">
        <v>825.3</v>
      </c>
      <c r="J1157" s="125">
        <v>751.4</v>
      </c>
      <c r="K1157" s="125">
        <v>638.6</v>
      </c>
      <c r="L1157" s="133">
        <v>32</v>
      </c>
      <c r="M1157" s="124" t="s">
        <v>267</v>
      </c>
      <c r="N1157" s="124" t="s">
        <v>271</v>
      </c>
      <c r="O1157" s="124" t="s">
        <v>337</v>
      </c>
      <c r="P1157" s="125">
        <v>4620600</v>
      </c>
      <c r="Q1157" s="125">
        <v>0</v>
      </c>
      <c r="R1157" s="125">
        <v>0</v>
      </c>
      <c r="S1157" s="125">
        <f>P1157-Q1157-R1157</f>
        <v>4620600</v>
      </c>
      <c r="T1157" s="128">
        <f t="shared" si="340"/>
        <v>5598.6913849509274</v>
      </c>
      <c r="U1157" s="128">
        <v>6872.3278080697928</v>
      </c>
      <c r="V1157" s="257">
        <f t="shared" si="347"/>
        <v>1273.6364231188654</v>
      </c>
      <c r="W1157" s="257">
        <f t="shared" ref="W1157:W1159" si="358">X1157+Y1157+Z1157+AA1157+AB1157+AD1157+AF1157+AH1157+AJ1157+AL1157+AN1157+AO1157</f>
        <v>6848.9669938204297</v>
      </c>
      <c r="X1157" s="257">
        <v>0</v>
      </c>
      <c r="Y1157" s="258">
        <v>0</v>
      </c>
      <c r="Z1157" s="258">
        <v>0</v>
      </c>
      <c r="AA1157" s="258">
        <v>0</v>
      </c>
      <c r="AB1157" s="258">
        <v>0</v>
      </c>
      <c r="AC1157" s="258">
        <v>0</v>
      </c>
      <c r="AD1157" s="258">
        <v>0</v>
      </c>
      <c r="AE1157" s="258">
        <v>906</v>
      </c>
      <c r="AF1157" s="257">
        <f>6238.91*AE1157/I1157</f>
        <v>6848.9669938204297</v>
      </c>
      <c r="AG1157" s="258">
        <v>0</v>
      </c>
      <c r="AH1157" s="257">
        <v>0</v>
      </c>
      <c r="AI1157" s="258">
        <v>0</v>
      </c>
      <c r="AJ1157" s="257">
        <v>0</v>
      </c>
      <c r="AK1157" s="258">
        <v>0</v>
      </c>
      <c r="AL1157" s="258">
        <v>0</v>
      </c>
      <c r="AM1157" s="258">
        <v>0</v>
      </c>
      <c r="AN1157" s="258"/>
      <c r="AO1157" s="258">
        <v>0</v>
      </c>
      <c r="AP1157" s="259"/>
      <c r="DQ1157" s="263"/>
      <c r="DR1157" s="263"/>
      <c r="DS1157" s="263"/>
      <c r="EP1157" s="264"/>
      <c r="FS1157" s="265"/>
      <c r="GI1157" s="266"/>
    </row>
    <row r="1158" spans="1:191" s="196" customFormat="1" ht="36" customHeight="1" x14ac:dyDescent="0.25">
      <c r="A1158" s="259">
        <v>1</v>
      </c>
      <c r="B1158" s="135">
        <f>SUBTOTAL(103,$A$1000:A1158)</f>
        <v>144</v>
      </c>
      <c r="C1158" s="132" t="s">
        <v>1620</v>
      </c>
      <c r="D1158" s="124">
        <v>1846</v>
      </c>
      <c r="E1158" s="124"/>
      <c r="F1158" s="134" t="s">
        <v>1348</v>
      </c>
      <c r="G1158" s="124">
        <v>2</v>
      </c>
      <c r="H1158" s="124" t="s">
        <v>306</v>
      </c>
      <c r="I1158" s="125">
        <v>276.2</v>
      </c>
      <c r="J1158" s="125">
        <v>277.3</v>
      </c>
      <c r="K1158" s="125">
        <v>259.39999999999998</v>
      </c>
      <c r="L1158" s="133">
        <v>9</v>
      </c>
      <c r="M1158" s="124" t="s">
        <v>267</v>
      </c>
      <c r="N1158" s="124" t="s">
        <v>271</v>
      </c>
      <c r="O1158" s="124" t="s">
        <v>336</v>
      </c>
      <c r="P1158" s="125">
        <v>1221174.67</v>
      </c>
      <c r="Q1158" s="125">
        <v>0</v>
      </c>
      <c r="R1158" s="125">
        <v>0</v>
      </c>
      <c r="S1158" s="125">
        <f>P1158-Q1158-R1158</f>
        <v>1221174.67</v>
      </c>
      <c r="T1158" s="128">
        <f t="shared" si="340"/>
        <v>4421.342034757422</v>
      </c>
      <c r="U1158" s="128">
        <v>2576.4374197684019</v>
      </c>
      <c r="V1158" s="257">
        <f t="shared" ref="V1158" si="359">U1158-T1158</f>
        <v>-1844.90461498902</v>
      </c>
      <c r="W1158" s="257">
        <f t="shared" ref="W1158" si="360">X1158+Y1158+Z1158+AA1158+AB1158+AD1158+AF1158+AH1158+AJ1158+AL1158+AN1158+AO1158</f>
        <v>35305.634793627811</v>
      </c>
      <c r="X1158" s="257">
        <v>0</v>
      </c>
      <c r="Y1158" s="258">
        <v>0</v>
      </c>
      <c r="Z1158" s="258">
        <v>0</v>
      </c>
      <c r="AA1158" s="258">
        <v>0</v>
      </c>
      <c r="AB1158" s="258">
        <v>0</v>
      </c>
      <c r="AC1158" s="258">
        <v>0</v>
      </c>
      <c r="AD1158" s="258">
        <v>0</v>
      </c>
      <c r="AE1158" s="258">
        <v>1563</v>
      </c>
      <c r="AF1158" s="257">
        <f>6238.91*AE1158/I1158</f>
        <v>35305.634793627811</v>
      </c>
      <c r="AG1158" s="258">
        <v>0</v>
      </c>
      <c r="AH1158" s="257">
        <v>0</v>
      </c>
      <c r="AI1158" s="258">
        <v>0</v>
      </c>
      <c r="AJ1158" s="257">
        <v>0</v>
      </c>
      <c r="AK1158" s="258">
        <v>0</v>
      </c>
      <c r="AL1158" s="258">
        <v>0</v>
      </c>
      <c r="AM1158" s="258">
        <v>0</v>
      </c>
      <c r="AN1158" s="258"/>
      <c r="AO1158" s="258">
        <v>0</v>
      </c>
      <c r="AP1158" s="259"/>
      <c r="DQ1158" s="263"/>
      <c r="DR1158" s="263"/>
      <c r="DS1158" s="263"/>
      <c r="EP1158" s="264"/>
      <c r="FS1158" s="265"/>
      <c r="GI1158" s="266"/>
    </row>
    <row r="1159" spans="1:191" s="196" customFormat="1" ht="36" customHeight="1" x14ac:dyDescent="0.25">
      <c r="A1159" s="259">
        <v>1</v>
      </c>
      <c r="B1159" s="135">
        <f>SUBTOTAL(103,$A$1000:A1159)</f>
        <v>145</v>
      </c>
      <c r="C1159" s="132" t="s">
        <v>239</v>
      </c>
      <c r="D1159" s="124">
        <v>1970</v>
      </c>
      <c r="E1159" s="124"/>
      <c r="F1159" s="134" t="s">
        <v>269</v>
      </c>
      <c r="G1159" s="124">
        <v>5</v>
      </c>
      <c r="H1159" s="124" t="s">
        <v>373</v>
      </c>
      <c r="I1159" s="125">
        <v>5003.8999999999996</v>
      </c>
      <c r="J1159" s="125">
        <v>4809</v>
      </c>
      <c r="K1159" s="125">
        <v>4326.2</v>
      </c>
      <c r="L1159" s="133">
        <v>185</v>
      </c>
      <c r="M1159" s="124" t="s">
        <v>267</v>
      </c>
      <c r="N1159" s="124" t="s">
        <v>271</v>
      </c>
      <c r="O1159" s="124" t="s">
        <v>335</v>
      </c>
      <c r="P1159" s="125">
        <v>7971300</v>
      </c>
      <c r="Q1159" s="125">
        <v>0</v>
      </c>
      <c r="R1159" s="125">
        <v>0</v>
      </c>
      <c r="S1159" s="125">
        <f>P1159-Q1159-R1159</f>
        <v>7971300</v>
      </c>
      <c r="T1159" s="128">
        <f t="shared" si="340"/>
        <v>1593.0174463918145</v>
      </c>
      <c r="U1159" s="128">
        <v>1955.4101740642298</v>
      </c>
      <c r="V1159" s="257">
        <f t="shared" si="347"/>
        <v>362.39272767241528</v>
      </c>
      <c r="W1159" s="257">
        <f t="shared" si="358"/>
        <v>1948.7632306800697</v>
      </c>
      <c r="X1159" s="257">
        <v>0</v>
      </c>
      <c r="Y1159" s="258">
        <v>0</v>
      </c>
      <c r="Z1159" s="258">
        <v>0</v>
      </c>
      <c r="AA1159" s="258">
        <v>0</v>
      </c>
      <c r="AB1159" s="258">
        <v>0</v>
      </c>
      <c r="AC1159" s="258">
        <v>0</v>
      </c>
      <c r="AD1159" s="258">
        <v>0</v>
      </c>
      <c r="AE1159" s="258">
        <v>1563</v>
      </c>
      <c r="AF1159" s="257">
        <f>6238.91*AE1159/I1159</f>
        <v>1948.7632306800697</v>
      </c>
      <c r="AG1159" s="258">
        <v>0</v>
      </c>
      <c r="AH1159" s="257">
        <v>0</v>
      </c>
      <c r="AI1159" s="258">
        <v>0</v>
      </c>
      <c r="AJ1159" s="257">
        <v>0</v>
      </c>
      <c r="AK1159" s="258">
        <v>0</v>
      </c>
      <c r="AL1159" s="258">
        <v>0</v>
      </c>
      <c r="AM1159" s="258">
        <v>0</v>
      </c>
      <c r="AN1159" s="258"/>
      <c r="AO1159" s="258">
        <v>0</v>
      </c>
      <c r="AP1159" s="259"/>
      <c r="DQ1159" s="263"/>
      <c r="DR1159" s="263"/>
      <c r="DS1159" s="263"/>
      <c r="EP1159" s="264"/>
      <c r="FS1159" s="265"/>
      <c r="GI1159" s="266"/>
    </row>
    <row r="1160" spans="1:191" s="259" customFormat="1" ht="36" customHeight="1" x14ac:dyDescent="0.25">
      <c r="B1160" s="94" t="s">
        <v>831</v>
      </c>
      <c r="C1160" s="94"/>
      <c r="D1160" s="124" t="s">
        <v>896</v>
      </c>
      <c r="E1160" s="124" t="s">
        <v>896</v>
      </c>
      <c r="F1160" s="124" t="s">
        <v>896</v>
      </c>
      <c r="G1160" s="124" t="s">
        <v>896</v>
      </c>
      <c r="H1160" s="124" t="s">
        <v>896</v>
      </c>
      <c r="I1160" s="125">
        <f>I1161</f>
        <v>396.2</v>
      </c>
      <c r="J1160" s="125">
        <f>J1161</f>
        <v>347.5</v>
      </c>
      <c r="K1160" s="125">
        <f>K1161</f>
        <v>187.9</v>
      </c>
      <c r="L1160" s="126">
        <f>L1161</f>
        <v>20</v>
      </c>
      <c r="M1160" s="124" t="s">
        <v>896</v>
      </c>
      <c r="N1160" s="124" t="s">
        <v>896</v>
      </c>
      <c r="O1160" s="127" t="s">
        <v>896</v>
      </c>
      <c r="P1160" s="128">
        <v>1724820</v>
      </c>
      <c r="Q1160" s="128">
        <f>Q1161</f>
        <v>0</v>
      </c>
      <c r="R1160" s="128">
        <f>R1161</f>
        <v>0</v>
      </c>
      <c r="S1160" s="128">
        <f>S1161</f>
        <v>1724820</v>
      </c>
      <c r="T1160" s="128">
        <f t="shared" si="340"/>
        <v>4353.4073700151439</v>
      </c>
      <c r="U1160" s="128">
        <f>U1161</f>
        <v>5343.7563301362943</v>
      </c>
      <c r="V1160" s="257">
        <f t="shared" si="347"/>
        <v>990.34896012115041</v>
      </c>
      <c r="W1160" s="257"/>
      <c r="X1160" s="257"/>
      <c r="Y1160" s="258"/>
      <c r="Z1160" s="258"/>
      <c r="AA1160" s="258"/>
      <c r="AB1160" s="258"/>
      <c r="AC1160" s="258"/>
      <c r="AD1160" s="258"/>
      <c r="AE1160" s="258"/>
      <c r="AF1160" s="258"/>
      <c r="AG1160" s="258"/>
      <c r="AH1160" s="258"/>
      <c r="AI1160" s="258"/>
      <c r="AJ1160" s="258"/>
      <c r="AK1160" s="258"/>
      <c r="AL1160" s="258"/>
      <c r="AM1160" s="258"/>
      <c r="AN1160" s="258"/>
      <c r="AO1160" s="258"/>
    </row>
    <row r="1161" spans="1:191" s="196" customFormat="1" ht="36" customHeight="1" x14ac:dyDescent="0.25">
      <c r="A1161" s="259">
        <v>1</v>
      </c>
      <c r="B1161" s="135">
        <f>SUBTOTAL(103,$A$1000:A1161)</f>
        <v>146</v>
      </c>
      <c r="C1161" s="132" t="s">
        <v>244</v>
      </c>
      <c r="D1161" s="124">
        <v>1977</v>
      </c>
      <c r="E1161" s="124"/>
      <c r="F1161" s="134" t="s">
        <v>269</v>
      </c>
      <c r="G1161" s="124">
        <v>2</v>
      </c>
      <c r="H1161" s="124" t="s">
        <v>306</v>
      </c>
      <c r="I1161" s="125">
        <v>396.2</v>
      </c>
      <c r="J1161" s="125">
        <v>347.5</v>
      </c>
      <c r="K1161" s="125">
        <v>187.9</v>
      </c>
      <c r="L1161" s="133">
        <v>20</v>
      </c>
      <c r="M1161" s="124" t="s">
        <v>267</v>
      </c>
      <c r="N1161" s="124" t="s">
        <v>268</v>
      </c>
      <c r="O1161" s="124" t="s">
        <v>270</v>
      </c>
      <c r="P1161" s="125">
        <v>1724820</v>
      </c>
      <c r="Q1161" s="125">
        <v>0</v>
      </c>
      <c r="R1161" s="125">
        <v>0</v>
      </c>
      <c r="S1161" s="125">
        <f>P1161-Q1161-R1161</f>
        <v>1724820</v>
      </c>
      <c r="T1161" s="128">
        <f t="shared" si="340"/>
        <v>4353.4073700151439</v>
      </c>
      <c r="U1161" s="128">
        <v>5343.7563301362943</v>
      </c>
      <c r="V1161" s="257">
        <f>U1161-T1161</f>
        <v>990.34896012115041</v>
      </c>
      <c r="W1161" s="257">
        <f>X1161+Y1161+Z1161+AA1161+AB1161+AD1161+AF1161+AH1161+AJ1161+AL1161+AN1161+AO1161</f>
        <v>5325.5915244825837</v>
      </c>
      <c r="X1161" s="257">
        <v>0</v>
      </c>
      <c r="Y1161" s="258">
        <v>0</v>
      </c>
      <c r="Z1161" s="258">
        <v>0</v>
      </c>
      <c r="AA1161" s="258">
        <v>0</v>
      </c>
      <c r="AB1161" s="258">
        <v>0</v>
      </c>
      <c r="AC1161" s="258">
        <v>0</v>
      </c>
      <c r="AD1161" s="258">
        <v>0</v>
      </c>
      <c r="AE1161" s="258">
        <v>338.2</v>
      </c>
      <c r="AF1161" s="257">
        <f>6238.91*AE1161/I1161</f>
        <v>5325.5915244825837</v>
      </c>
      <c r="AG1161" s="258">
        <v>0</v>
      </c>
      <c r="AH1161" s="257">
        <v>0</v>
      </c>
      <c r="AI1161" s="258">
        <v>0</v>
      </c>
      <c r="AJ1161" s="257">
        <v>0</v>
      </c>
      <c r="AK1161" s="258">
        <v>0</v>
      </c>
      <c r="AL1161" s="258">
        <v>0</v>
      </c>
      <c r="AM1161" s="258">
        <v>0</v>
      </c>
      <c r="AN1161" s="258"/>
      <c r="AO1161" s="258">
        <v>0</v>
      </c>
      <c r="AP1161" s="259"/>
      <c r="DQ1161" s="263"/>
      <c r="DR1161" s="263"/>
      <c r="DS1161" s="263"/>
      <c r="EP1161" s="264"/>
      <c r="FS1161" s="265"/>
      <c r="GI1161" s="266"/>
    </row>
    <row r="1162" spans="1:191" s="259" customFormat="1" ht="36" customHeight="1" x14ac:dyDescent="0.25">
      <c r="B1162" s="94" t="s">
        <v>832</v>
      </c>
      <c r="C1162" s="94"/>
      <c r="D1162" s="124" t="s">
        <v>896</v>
      </c>
      <c r="E1162" s="124" t="s">
        <v>896</v>
      </c>
      <c r="F1162" s="124" t="s">
        <v>896</v>
      </c>
      <c r="G1162" s="124" t="s">
        <v>896</v>
      </c>
      <c r="H1162" s="124" t="s">
        <v>896</v>
      </c>
      <c r="I1162" s="125">
        <f>I1163</f>
        <v>1011.8</v>
      </c>
      <c r="J1162" s="125">
        <f>J1163</f>
        <v>928.8</v>
      </c>
      <c r="K1162" s="125">
        <f>K1163</f>
        <v>827.3</v>
      </c>
      <c r="L1162" s="126">
        <f>L1163</f>
        <v>36</v>
      </c>
      <c r="M1162" s="124" t="s">
        <v>896</v>
      </c>
      <c r="N1162" s="124" t="s">
        <v>896</v>
      </c>
      <c r="O1162" s="127" t="s">
        <v>896</v>
      </c>
      <c r="P1162" s="128">
        <v>1739107.3499999999</v>
      </c>
      <c r="Q1162" s="128">
        <f>Q1163</f>
        <v>0</v>
      </c>
      <c r="R1162" s="128">
        <f>R1163</f>
        <v>0</v>
      </c>
      <c r="S1162" s="128">
        <f>S1163</f>
        <v>1739107.3499999999</v>
      </c>
      <c r="T1162" s="128">
        <f t="shared" si="340"/>
        <v>1718.8252124925873</v>
      </c>
      <c r="U1162" s="128">
        <f>U1163</f>
        <v>4181.277100217435</v>
      </c>
      <c r="V1162" s="257">
        <f t="shared" si="347"/>
        <v>2462.4518877248474</v>
      </c>
      <c r="W1162" s="257"/>
      <c r="X1162" s="257"/>
      <c r="Y1162" s="258"/>
      <c r="Z1162" s="258"/>
      <c r="AA1162" s="258"/>
      <c r="AB1162" s="258"/>
      <c r="AC1162" s="258"/>
      <c r="AD1162" s="258"/>
      <c r="AE1162" s="258"/>
      <c r="AF1162" s="258"/>
      <c r="AG1162" s="258"/>
      <c r="AH1162" s="258"/>
      <c r="AI1162" s="258"/>
      <c r="AJ1162" s="258"/>
      <c r="AK1162" s="258"/>
      <c r="AL1162" s="258"/>
      <c r="AM1162" s="258"/>
      <c r="AN1162" s="258"/>
      <c r="AO1162" s="258"/>
    </row>
    <row r="1163" spans="1:191" s="196" customFormat="1" ht="36" customHeight="1" x14ac:dyDescent="0.25">
      <c r="A1163" s="259">
        <v>1</v>
      </c>
      <c r="B1163" s="135">
        <f>SUBTOTAL(103,$A$1000:A1163)</f>
        <v>147</v>
      </c>
      <c r="C1163" s="132" t="s">
        <v>246</v>
      </c>
      <c r="D1163" s="124">
        <v>1979</v>
      </c>
      <c r="E1163" s="124"/>
      <c r="F1163" s="134" t="s">
        <v>313</v>
      </c>
      <c r="G1163" s="124">
        <v>3</v>
      </c>
      <c r="H1163" s="124" t="s">
        <v>305</v>
      </c>
      <c r="I1163" s="125">
        <v>1011.8</v>
      </c>
      <c r="J1163" s="125">
        <v>928.8</v>
      </c>
      <c r="K1163" s="125">
        <v>827.3</v>
      </c>
      <c r="L1163" s="133">
        <v>36</v>
      </c>
      <c r="M1163" s="124" t="s">
        <v>267</v>
      </c>
      <c r="N1163" s="124" t="s">
        <v>268</v>
      </c>
      <c r="O1163" s="124" t="s">
        <v>270</v>
      </c>
      <c r="P1163" s="125">
        <v>1739107.3499999999</v>
      </c>
      <c r="Q1163" s="125">
        <v>0</v>
      </c>
      <c r="R1163" s="125">
        <v>0</v>
      </c>
      <c r="S1163" s="125">
        <f>P1163-Q1163-R1163</f>
        <v>1739107.3499999999</v>
      </c>
      <c r="T1163" s="128">
        <f t="shared" si="340"/>
        <v>1718.8252124925873</v>
      </c>
      <c r="U1163" s="128">
        <v>4181.277100217435</v>
      </c>
      <c r="V1163" s="257">
        <f>U1163-T1163</f>
        <v>2462.4518877248474</v>
      </c>
      <c r="W1163" s="257">
        <f>X1163+Y1163+Z1163+AA1163+AB1163+AD1163+AF1163+AH1163+AJ1163+AL1163+AN1163+AO1163</f>
        <v>4385.594294326942</v>
      </c>
      <c r="X1163" s="257">
        <v>0</v>
      </c>
      <c r="Y1163" s="258">
        <v>0</v>
      </c>
      <c r="Z1163" s="258">
        <v>0</v>
      </c>
      <c r="AA1163" s="258">
        <v>0</v>
      </c>
      <c r="AB1163" s="258">
        <v>0</v>
      </c>
      <c r="AC1163" s="258">
        <v>0</v>
      </c>
      <c r="AD1163" s="258">
        <v>0</v>
      </c>
      <c r="AE1163" s="258">
        <v>0</v>
      </c>
      <c r="AF1163" s="257">
        <v>0</v>
      </c>
      <c r="AG1163" s="258">
        <v>0</v>
      </c>
      <c r="AH1163" s="257">
        <v>0</v>
      </c>
      <c r="AI1163" s="258">
        <v>568.70000000000005</v>
      </c>
      <c r="AJ1163" s="257">
        <f>7802.61*AI1163/I1163</f>
        <v>4385.594294326942</v>
      </c>
      <c r="AK1163" s="258">
        <v>0</v>
      </c>
      <c r="AL1163" s="258">
        <v>0</v>
      </c>
      <c r="AM1163" s="258">
        <v>0</v>
      </c>
      <c r="AN1163" s="258"/>
      <c r="AO1163" s="258">
        <v>0</v>
      </c>
      <c r="AP1163" s="259"/>
      <c r="DQ1163" s="263"/>
      <c r="DR1163" s="263"/>
      <c r="DS1163" s="263"/>
      <c r="EP1163" s="264"/>
      <c r="FS1163" s="265"/>
      <c r="GI1163" s="266"/>
    </row>
    <row r="1164" spans="1:191" s="259" customFormat="1" ht="36" customHeight="1" x14ac:dyDescent="0.25">
      <c r="B1164" s="94" t="s">
        <v>891</v>
      </c>
      <c r="C1164" s="262"/>
      <c r="D1164" s="124" t="s">
        <v>896</v>
      </c>
      <c r="E1164" s="124" t="s">
        <v>896</v>
      </c>
      <c r="F1164" s="124" t="s">
        <v>896</v>
      </c>
      <c r="G1164" s="124" t="s">
        <v>896</v>
      </c>
      <c r="H1164" s="124" t="s">
        <v>896</v>
      </c>
      <c r="I1164" s="125">
        <f>I1165</f>
        <v>594.20000000000005</v>
      </c>
      <c r="J1164" s="125">
        <f>J1165</f>
        <v>550.6</v>
      </c>
      <c r="K1164" s="125">
        <f>K1165</f>
        <v>550.6</v>
      </c>
      <c r="L1164" s="126">
        <f>L1165</f>
        <v>21</v>
      </c>
      <c r="M1164" s="124" t="s">
        <v>896</v>
      </c>
      <c r="N1164" s="124" t="s">
        <v>896</v>
      </c>
      <c r="O1164" s="127" t="s">
        <v>896</v>
      </c>
      <c r="P1164" s="128">
        <v>3373804.98</v>
      </c>
      <c r="Q1164" s="128">
        <f>Q1165</f>
        <v>0</v>
      </c>
      <c r="R1164" s="128">
        <f>R1165</f>
        <v>0</v>
      </c>
      <c r="S1164" s="128">
        <f>S1165</f>
        <v>3373804.98</v>
      </c>
      <c r="T1164" s="128">
        <f t="shared" si="340"/>
        <v>5677.8946146078761</v>
      </c>
      <c r="U1164" s="128">
        <f>U1165</f>
        <v>6806.9820918882524</v>
      </c>
      <c r="V1164" s="257">
        <f t="shared" si="347"/>
        <v>1129.0874772803763</v>
      </c>
      <c r="W1164" s="257"/>
      <c r="X1164" s="257"/>
      <c r="Y1164" s="258"/>
      <c r="Z1164" s="258"/>
      <c r="AA1164" s="258"/>
      <c r="AB1164" s="258"/>
      <c r="AC1164" s="258"/>
      <c r="AD1164" s="258"/>
      <c r="AE1164" s="258"/>
      <c r="AF1164" s="258"/>
      <c r="AG1164" s="258"/>
      <c r="AH1164" s="258"/>
      <c r="AI1164" s="258"/>
      <c r="AJ1164" s="258"/>
      <c r="AK1164" s="258"/>
      <c r="AL1164" s="258"/>
      <c r="AM1164" s="258"/>
      <c r="AN1164" s="258"/>
      <c r="AO1164" s="258"/>
    </row>
    <row r="1165" spans="1:191" s="196" customFormat="1" ht="36" customHeight="1" x14ac:dyDescent="0.25">
      <c r="A1165" s="259">
        <v>1</v>
      </c>
      <c r="B1165" s="135">
        <f>SUBTOTAL(103,$A$1000:A1165)</f>
        <v>148</v>
      </c>
      <c r="C1165" s="132" t="s">
        <v>4</v>
      </c>
      <c r="D1165" s="124">
        <v>1977</v>
      </c>
      <c r="E1165" s="124"/>
      <c r="F1165" s="134" t="s">
        <v>269</v>
      </c>
      <c r="G1165" s="124">
        <v>2</v>
      </c>
      <c r="H1165" s="124" t="s">
        <v>305</v>
      </c>
      <c r="I1165" s="125">
        <v>594.20000000000005</v>
      </c>
      <c r="J1165" s="125">
        <v>550.6</v>
      </c>
      <c r="K1165" s="125">
        <v>550.6</v>
      </c>
      <c r="L1165" s="133">
        <v>21</v>
      </c>
      <c r="M1165" s="124" t="s">
        <v>267</v>
      </c>
      <c r="N1165" s="124" t="s">
        <v>268</v>
      </c>
      <c r="O1165" s="124" t="s">
        <v>270</v>
      </c>
      <c r="P1165" s="125">
        <v>3373804.98</v>
      </c>
      <c r="Q1165" s="125">
        <v>0</v>
      </c>
      <c r="R1165" s="125">
        <v>0</v>
      </c>
      <c r="S1165" s="125">
        <f>P1165-Q1165-R1165</f>
        <v>3373804.98</v>
      </c>
      <c r="T1165" s="128">
        <f t="shared" si="340"/>
        <v>5677.8946146078761</v>
      </c>
      <c r="U1165" s="128">
        <v>6806.9820918882524</v>
      </c>
      <c r="V1165" s="257">
        <f>U1165-T1165</f>
        <v>1129.0874772803763</v>
      </c>
      <c r="W1165" s="257">
        <f>X1165+Y1165+Z1165+AA1165+AB1165+AD1165+AF1165+AH1165+AJ1165+AL1165+AN1165+AO1165</f>
        <v>6783.843404577583</v>
      </c>
      <c r="X1165" s="257">
        <v>0</v>
      </c>
      <c r="Y1165" s="258">
        <v>0</v>
      </c>
      <c r="Z1165" s="258">
        <v>0</v>
      </c>
      <c r="AA1165" s="258">
        <v>0</v>
      </c>
      <c r="AB1165" s="258">
        <v>0</v>
      </c>
      <c r="AC1165" s="258">
        <v>0</v>
      </c>
      <c r="AD1165" s="258">
        <v>0</v>
      </c>
      <c r="AE1165" s="258">
        <v>646.1</v>
      </c>
      <c r="AF1165" s="257">
        <f>6238.91*AE1165/I1165</f>
        <v>6783.843404577583</v>
      </c>
      <c r="AG1165" s="258">
        <v>0</v>
      </c>
      <c r="AH1165" s="257">
        <v>0</v>
      </c>
      <c r="AI1165" s="258">
        <v>0</v>
      </c>
      <c r="AJ1165" s="257">
        <v>0</v>
      </c>
      <c r="AK1165" s="258">
        <v>0</v>
      </c>
      <c r="AL1165" s="258">
        <v>0</v>
      </c>
      <c r="AM1165" s="258">
        <v>0</v>
      </c>
      <c r="AN1165" s="258"/>
      <c r="AO1165" s="258">
        <v>0</v>
      </c>
      <c r="AP1165" s="259"/>
      <c r="DQ1165" s="263"/>
      <c r="DR1165" s="263"/>
      <c r="DS1165" s="263"/>
      <c r="EP1165" s="264"/>
      <c r="FS1165" s="265"/>
      <c r="GI1165" s="266"/>
    </row>
    <row r="1166" spans="1:191" s="259" customFormat="1" ht="36" customHeight="1" x14ac:dyDescent="0.25">
      <c r="B1166" s="94" t="s">
        <v>892</v>
      </c>
      <c r="C1166" s="131"/>
      <c r="D1166" s="124" t="s">
        <v>896</v>
      </c>
      <c r="E1166" s="124" t="s">
        <v>896</v>
      </c>
      <c r="F1166" s="124" t="s">
        <v>896</v>
      </c>
      <c r="G1166" s="124" t="s">
        <v>896</v>
      </c>
      <c r="H1166" s="124" t="s">
        <v>896</v>
      </c>
      <c r="I1166" s="125">
        <f>SUM(I1167:I1168)</f>
        <v>1532.1</v>
      </c>
      <c r="J1166" s="125">
        <f>SUM(J1167:J1168)</f>
        <v>1325.8000000000002</v>
      </c>
      <c r="K1166" s="125">
        <f>SUM(K1167:K1168)</f>
        <v>1325.8000000000002</v>
      </c>
      <c r="L1166" s="126">
        <f>SUM(L1167:L1168)</f>
        <v>39</v>
      </c>
      <c r="M1166" s="124" t="s">
        <v>896</v>
      </c>
      <c r="N1166" s="124" t="s">
        <v>896</v>
      </c>
      <c r="O1166" s="127" t="s">
        <v>896</v>
      </c>
      <c r="P1166" s="128">
        <v>3916350</v>
      </c>
      <c r="Q1166" s="128">
        <f>SUM(Q1167:Q1168)</f>
        <v>0</v>
      </c>
      <c r="R1166" s="128">
        <f>SUM(R1167:R1168)</f>
        <v>0</v>
      </c>
      <c r="S1166" s="128">
        <f>SUM(S1167:S1168)</f>
        <v>3916350</v>
      </c>
      <c r="T1166" s="128">
        <f t="shared" ref="T1166:T1229" si="361">P1166/I1166</f>
        <v>2556.1973761503818</v>
      </c>
      <c r="U1166" s="128">
        <f>MAX(U1167:U1168)</f>
        <v>5032.080775716694</v>
      </c>
      <c r="V1166" s="257">
        <f t="shared" si="347"/>
        <v>2475.8833995663122</v>
      </c>
      <c r="W1166" s="257"/>
      <c r="X1166" s="257"/>
      <c r="Y1166" s="258"/>
      <c r="Z1166" s="258"/>
      <c r="AA1166" s="258"/>
      <c r="AB1166" s="258"/>
      <c r="AC1166" s="258"/>
      <c r="AD1166" s="258"/>
      <c r="AE1166" s="258"/>
      <c r="AF1166" s="258"/>
      <c r="AG1166" s="258"/>
      <c r="AH1166" s="258"/>
      <c r="AI1166" s="258"/>
      <c r="AJ1166" s="258"/>
      <c r="AK1166" s="258"/>
      <c r="AL1166" s="258"/>
      <c r="AM1166" s="258"/>
      <c r="AN1166" s="258"/>
      <c r="AO1166" s="258"/>
    </row>
    <row r="1167" spans="1:191" s="196" customFormat="1" ht="36" customHeight="1" x14ac:dyDescent="0.25">
      <c r="A1167" s="259">
        <v>1</v>
      </c>
      <c r="B1167" s="135">
        <f>SUBTOTAL(103,$A$1000:A1167)</f>
        <v>149</v>
      </c>
      <c r="C1167" s="132" t="s">
        <v>1706</v>
      </c>
      <c r="D1167" s="124">
        <v>1984</v>
      </c>
      <c r="E1167" s="124"/>
      <c r="F1167" s="134" t="s">
        <v>313</v>
      </c>
      <c r="G1167" s="124">
        <v>2</v>
      </c>
      <c r="H1167" s="124" t="s">
        <v>305</v>
      </c>
      <c r="I1167" s="125">
        <v>998.4</v>
      </c>
      <c r="J1167" s="125">
        <v>805.1</v>
      </c>
      <c r="K1167" s="125">
        <v>805.1</v>
      </c>
      <c r="L1167" s="133">
        <v>19</v>
      </c>
      <c r="M1167" s="124" t="s">
        <v>267</v>
      </c>
      <c r="N1167" s="124" t="s">
        <v>268</v>
      </c>
      <c r="O1167" s="124" t="s">
        <v>270</v>
      </c>
      <c r="P1167" s="125">
        <v>2035617.4</v>
      </c>
      <c r="Q1167" s="125">
        <v>0</v>
      </c>
      <c r="R1167" s="125">
        <v>0</v>
      </c>
      <c r="S1167" s="125">
        <f>P1167-Q1167-R1167</f>
        <v>2035617.4</v>
      </c>
      <c r="T1167" s="128">
        <f t="shared" si="361"/>
        <v>2038.8796073717949</v>
      </c>
      <c r="U1167" s="128">
        <v>2934.4640625000002</v>
      </c>
      <c r="V1167" s="257">
        <f t="shared" si="347"/>
        <v>895.58445512820526</v>
      </c>
      <c r="W1167" s="257">
        <f t="shared" ref="W1167:W1168" si="362">X1167+Y1167+Z1167+AA1167+AB1167+AD1167+AF1167+AH1167+AJ1167+AL1167+AN1167+AO1167</f>
        <v>2924.4890624999998</v>
      </c>
      <c r="X1167" s="257">
        <v>0</v>
      </c>
      <c r="Y1167" s="258">
        <v>0</v>
      </c>
      <c r="Z1167" s="258">
        <v>0</v>
      </c>
      <c r="AA1167" s="258">
        <v>0</v>
      </c>
      <c r="AB1167" s="258">
        <v>0</v>
      </c>
      <c r="AC1167" s="258">
        <v>0</v>
      </c>
      <c r="AD1167" s="258">
        <v>0</v>
      </c>
      <c r="AE1167" s="258">
        <v>468</v>
      </c>
      <c r="AF1167" s="257">
        <f>6238.91*AE1167/I1167</f>
        <v>2924.4890624999998</v>
      </c>
      <c r="AG1167" s="258">
        <v>0</v>
      </c>
      <c r="AH1167" s="257">
        <v>0</v>
      </c>
      <c r="AI1167" s="258">
        <v>0</v>
      </c>
      <c r="AJ1167" s="257">
        <v>0</v>
      </c>
      <c r="AK1167" s="258">
        <v>0</v>
      </c>
      <c r="AL1167" s="258">
        <v>0</v>
      </c>
      <c r="AM1167" s="258">
        <v>0</v>
      </c>
      <c r="AN1167" s="258"/>
      <c r="AO1167" s="258">
        <v>0</v>
      </c>
      <c r="AP1167" s="259"/>
      <c r="DQ1167" s="263"/>
      <c r="DR1167" s="263"/>
      <c r="DS1167" s="263"/>
      <c r="EP1167" s="264"/>
      <c r="FS1167" s="265"/>
      <c r="GI1167" s="266"/>
    </row>
    <row r="1168" spans="1:191" s="196" customFormat="1" ht="36" customHeight="1" x14ac:dyDescent="0.25">
      <c r="A1168" s="259">
        <v>1</v>
      </c>
      <c r="B1168" s="135">
        <f>SUBTOTAL(103,$A$1000:A1168)</f>
        <v>150</v>
      </c>
      <c r="C1168" s="132" t="s">
        <v>1707</v>
      </c>
      <c r="D1168" s="124">
        <v>1982</v>
      </c>
      <c r="E1168" s="124"/>
      <c r="F1168" s="134" t="s">
        <v>269</v>
      </c>
      <c r="G1168" s="124">
        <v>2</v>
      </c>
      <c r="H1168" s="124" t="s">
        <v>305</v>
      </c>
      <c r="I1168" s="125">
        <v>533.70000000000005</v>
      </c>
      <c r="J1168" s="125">
        <v>520.70000000000005</v>
      </c>
      <c r="K1168" s="125">
        <v>520.70000000000005</v>
      </c>
      <c r="L1168" s="133">
        <v>20</v>
      </c>
      <c r="M1168" s="124" t="s">
        <v>267</v>
      </c>
      <c r="N1168" s="124" t="s">
        <v>268</v>
      </c>
      <c r="O1168" s="124" t="s">
        <v>270</v>
      </c>
      <c r="P1168" s="125">
        <v>1880732.6</v>
      </c>
      <c r="Q1168" s="125">
        <v>0</v>
      </c>
      <c r="R1168" s="125">
        <v>0</v>
      </c>
      <c r="S1168" s="125">
        <f>P1168-Q1168-R1168</f>
        <v>1880732.6</v>
      </c>
      <c r="T1168" s="128">
        <f t="shared" si="361"/>
        <v>3523.9509087502342</v>
      </c>
      <c r="U1168" s="128">
        <v>5032.080775716694</v>
      </c>
      <c r="V1168" s="257">
        <f t="shared" si="347"/>
        <v>1508.1298669664598</v>
      </c>
      <c r="W1168" s="257">
        <f t="shared" si="362"/>
        <v>5014.975435637999</v>
      </c>
      <c r="X1168" s="257">
        <v>0</v>
      </c>
      <c r="Y1168" s="258">
        <v>0</v>
      </c>
      <c r="Z1168" s="258">
        <v>0</v>
      </c>
      <c r="AA1168" s="258">
        <v>0</v>
      </c>
      <c r="AB1168" s="258">
        <v>0</v>
      </c>
      <c r="AC1168" s="258">
        <v>0</v>
      </c>
      <c r="AD1168" s="258">
        <v>0</v>
      </c>
      <c r="AE1168" s="258">
        <v>429</v>
      </c>
      <c r="AF1168" s="257">
        <f>6238.91*AE1168/I1168</f>
        <v>5014.975435637999</v>
      </c>
      <c r="AG1168" s="258">
        <v>0</v>
      </c>
      <c r="AH1168" s="257">
        <v>0</v>
      </c>
      <c r="AI1168" s="258">
        <v>0</v>
      </c>
      <c r="AJ1168" s="257">
        <v>0</v>
      </c>
      <c r="AK1168" s="258">
        <v>0</v>
      </c>
      <c r="AL1168" s="258">
        <v>0</v>
      </c>
      <c r="AM1168" s="258">
        <v>0</v>
      </c>
      <c r="AN1168" s="258"/>
      <c r="AO1168" s="258">
        <v>0</v>
      </c>
      <c r="AP1168" s="259"/>
      <c r="DQ1168" s="263"/>
      <c r="DR1168" s="263"/>
      <c r="DS1168" s="263"/>
      <c r="EP1168" s="264"/>
      <c r="FS1168" s="265"/>
      <c r="GI1168" s="266"/>
    </row>
    <row r="1169" spans="1:191" s="259" customFormat="1" ht="36" customHeight="1" x14ac:dyDescent="0.25">
      <c r="B1169" s="94" t="s">
        <v>834</v>
      </c>
      <c r="C1169" s="261"/>
      <c r="D1169" s="124" t="s">
        <v>896</v>
      </c>
      <c r="E1169" s="124" t="s">
        <v>896</v>
      </c>
      <c r="F1169" s="124" t="s">
        <v>896</v>
      </c>
      <c r="G1169" s="124" t="s">
        <v>896</v>
      </c>
      <c r="H1169" s="124" t="s">
        <v>896</v>
      </c>
      <c r="I1169" s="125">
        <f>SUM(I1170:I1171)</f>
        <v>2184</v>
      </c>
      <c r="J1169" s="125">
        <f>SUM(J1170:J1171)</f>
        <v>1810.7</v>
      </c>
      <c r="K1169" s="125">
        <f>SUM(K1170:K1171)</f>
        <v>1606.7</v>
      </c>
      <c r="L1169" s="126">
        <f>SUM(L1170:L1171)</f>
        <v>61</v>
      </c>
      <c r="M1169" s="124" t="s">
        <v>896</v>
      </c>
      <c r="N1169" s="124" t="s">
        <v>896</v>
      </c>
      <c r="O1169" s="127" t="s">
        <v>896</v>
      </c>
      <c r="P1169" s="128">
        <v>3516578.96</v>
      </c>
      <c r="Q1169" s="128">
        <f>Q1170+Q1171</f>
        <v>0</v>
      </c>
      <c r="R1169" s="128">
        <f>R1170+R1171</f>
        <v>0</v>
      </c>
      <c r="S1169" s="128">
        <f>S1170+S1171</f>
        <v>3516578.96</v>
      </c>
      <c r="T1169" s="128">
        <f t="shared" si="361"/>
        <v>1610.1552014652013</v>
      </c>
      <c r="U1169" s="128">
        <f>MAX(U1170:U1171)</f>
        <v>4228.3471992206532</v>
      </c>
      <c r="V1169" s="257">
        <f t="shared" si="347"/>
        <v>2618.1919977554517</v>
      </c>
      <c r="W1169" s="257"/>
      <c r="X1169" s="257"/>
      <c r="Y1169" s="258"/>
      <c r="Z1169" s="258"/>
      <c r="AA1169" s="258"/>
      <c r="AB1169" s="258"/>
      <c r="AC1169" s="258"/>
      <c r="AD1169" s="258"/>
      <c r="AE1169" s="258"/>
      <c r="AF1169" s="258"/>
      <c r="AG1169" s="258"/>
      <c r="AH1169" s="258"/>
      <c r="AI1169" s="258"/>
      <c r="AJ1169" s="258"/>
      <c r="AK1169" s="258"/>
      <c r="AL1169" s="258"/>
      <c r="AM1169" s="258"/>
      <c r="AN1169" s="258"/>
      <c r="AO1169" s="258"/>
    </row>
    <row r="1170" spans="1:191" s="196" customFormat="1" ht="36" customHeight="1" x14ac:dyDescent="0.25">
      <c r="A1170" s="259">
        <v>1</v>
      </c>
      <c r="B1170" s="135">
        <f>SUBTOTAL(103,$A$1000:A1170)</f>
        <v>151</v>
      </c>
      <c r="C1170" s="132" t="s">
        <v>700</v>
      </c>
      <c r="D1170" s="124">
        <v>1985</v>
      </c>
      <c r="E1170" s="124"/>
      <c r="F1170" s="134" t="s">
        <v>269</v>
      </c>
      <c r="G1170" s="124">
        <v>5</v>
      </c>
      <c r="H1170" s="124" t="s">
        <v>305</v>
      </c>
      <c r="I1170" s="125">
        <v>1568.1</v>
      </c>
      <c r="J1170" s="125">
        <v>1442.7</v>
      </c>
      <c r="K1170" s="125">
        <v>1238.7</v>
      </c>
      <c r="L1170" s="133">
        <v>43</v>
      </c>
      <c r="M1170" s="124" t="s">
        <v>267</v>
      </c>
      <c r="N1170" s="124" t="s">
        <v>271</v>
      </c>
      <c r="O1170" s="124" t="s">
        <v>733</v>
      </c>
      <c r="P1170" s="125">
        <v>1913529.37</v>
      </c>
      <c r="Q1170" s="125">
        <v>0</v>
      </c>
      <c r="R1170" s="125">
        <v>0</v>
      </c>
      <c r="S1170" s="125">
        <f>P1170-Q1170-R1170</f>
        <v>1913529.37</v>
      </c>
      <c r="T1170" s="128">
        <f t="shared" si="361"/>
        <v>1220.2852943052103</v>
      </c>
      <c r="U1170" s="128">
        <v>1756.5739429883297</v>
      </c>
      <c r="V1170" s="257">
        <f t="shared" si="347"/>
        <v>536.28864868311939</v>
      </c>
      <c r="W1170" s="257">
        <f t="shared" ref="W1170:W1171" si="363">X1170+Y1170+Z1170+AA1170+AB1170+AD1170+AF1170+AH1170+AJ1170+AL1170+AN1170+AO1170</f>
        <v>1750.602895223519</v>
      </c>
      <c r="X1170" s="257">
        <v>0</v>
      </c>
      <c r="Y1170" s="258">
        <v>0</v>
      </c>
      <c r="Z1170" s="258">
        <v>0</v>
      </c>
      <c r="AA1170" s="258">
        <v>0</v>
      </c>
      <c r="AB1170" s="258">
        <v>0</v>
      </c>
      <c r="AC1170" s="258">
        <v>0</v>
      </c>
      <c r="AD1170" s="258">
        <v>0</v>
      </c>
      <c r="AE1170" s="258">
        <v>440</v>
      </c>
      <c r="AF1170" s="257">
        <f>6238.91*AE1170/I1170</f>
        <v>1750.602895223519</v>
      </c>
      <c r="AG1170" s="258">
        <v>0</v>
      </c>
      <c r="AH1170" s="257">
        <v>0</v>
      </c>
      <c r="AI1170" s="258">
        <v>0</v>
      </c>
      <c r="AJ1170" s="257">
        <v>0</v>
      </c>
      <c r="AK1170" s="258">
        <v>0</v>
      </c>
      <c r="AL1170" s="258">
        <v>0</v>
      </c>
      <c r="AM1170" s="258">
        <v>0</v>
      </c>
      <c r="AN1170" s="258"/>
      <c r="AO1170" s="258">
        <v>0</v>
      </c>
      <c r="AP1170" s="259"/>
      <c r="DQ1170" s="263"/>
      <c r="DR1170" s="263"/>
      <c r="DS1170" s="263"/>
      <c r="EP1170" s="264"/>
      <c r="FS1170" s="265"/>
      <c r="GI1170" s="266"/>
    </row>
    <row r="1171" spans="1:191" s="196" customFormat="1" ht="36" customHeight="1" x14ac:dyDescent="0.25">
      <c r="A1171" s="259">
        <v>1</v>
      </c>
      <c r="B1171" s="135">
        <f>SUBTOTAL(103,$A$1000:A1171)</f>
        <v>152</v>
      </c>
      <c r="C1171" s="132" t="s">
        <v>698</v>
      </c>
      <c r="D1171" s="124">
        <v>1988</v>
      </c>
      <c r="E1171" s="124" t="s">
        <v>735</v>
      </c>
      <c r="F1171" s="134" t="s">
        <v>269</v>
      </c>
      <c r="G1171" s="124">
        <v>2</v>
      </c>
      <c r="H1171" s="124" t="s">
        <v>306</v>
      </c>
      <c r="I1171" s="125">
        <v>615.9</v>
      </c>
      <c r="J1171" s="125">
        <v>368</v>
      </c>
      <c r="K1171" s="125">
        <v>368</v>
      </c>
      <c r="L1171" s="133">
        <v>18</v>
      </c>
      <c r="M1171" s="124" t="s">
        <v>267</v>
      </c>
      <c r="N1171" s="124" t="s">
        <v>271</v>
      </c>
      <c r="O1171" s="124" t="s">
        <v>733</v>
      </c>
      <c r="P1171" s="125">
        <v>1603049.59</v>
      </c>
      <c r="Q1171" s="125">
        <v>0</v>
      </c>
      <c r="R1171" s="125">
        <v>0</v>
      </c>
      <c r="S1171" s="125">
        <f>P1171-Q1171-R1171</f>
        <v>1603049.59</v>
      </c>
      <c r="T1171" s="128">
        <f t="shared" si="361"/>
        <v>2602.7757590517945</v>
      </c>
      <c r="U1171" s="128">
        <v>4228.3471992206532</v>
      </c>
      <c r="V1171" s="257">
        <f t="shared" si="347"/>
        <v>1625.5714401688588</v>
      </c>
      <c r="W1171" s="257">
        <f t="shared" si="363"/>
        <v>4213.9739568111709</v>
      </c>
      <c r="X1171" s="257">
        <v>0</v>
      </c>
      <c r="Y1171" s="258">
        <v>0</v>
      </c>
      <c r="Z1171" s="258">
        <v>0</v>
      </c>
      <c r="AA1171" s="258">
        <v>0</v>
      </c>
      <c r="AB1171" s="258">
        <v>0</v>
      </c>
      <c r="AC1171" s="258">
        <v>0</v>
      </c>
      <c r="AD1171" s="258">
        <v>0</v>
      </c>
      <c r="AE1171" s="258">
        <v>416</v>
      </c>
      <c r="AF1171" s="257">
        <f>6238.91*AE1171/I1171</f>
        <v>4213.9739568111709</v>
      </c>
      <c r="AG1171" s="258">
        <v>0</v>
      </c>
      <c r="AH1171" s="257">
        <v>0</v>
      </c>
      <c r="AI1171" s="258">
        <v>0</v>
      </c>
      <c r="AJ1171" s="257">
        <v>0</v>
      </c>
      <c r="AK1171" s="258">
        <v>0</v>
      </c>
      <c r="AL1171" s="258">
        <v>0</v>
      </c>
      <c r="AM1171" s="258">
        <v>0</v>
      </c>
      <c r="AN1171" s="258"/>
      <c r="AO1171" s="258">
        <v>0</v>
      </c>
      <c r="AP1171" s="259"/>
      <c r="DQ1171" s="263"/>
      <c r="DR1171" s="263"/>
      <c r="DS1171" s="263"/>
      <c r="EP1171" s="264"/>
      <c r="FS1171" s="265"/>
      <c r="GI1171" s="266"/>
    </row>
    <row r="1172" spans="1:191" s="259" customFormat="1" ht="36" customHeight="1" x14ac:dyDescent="0.25">
      <c r="B1172" s="94" t="s">
        <v>876</v>
      </c>
      <c r="C1172" s="94"/>
      <c r="D1172" s="124" t="s">
        <v>896</v>
      </c>
      <c r="E1172" s="124" t="s">
        <v>896</v>
      </c>
      <c r="F1172" s="124" t="s">
        <v>896</v>
      </c>
      <c r="G1172" s="124" t="s">
        <v>896</v>
      </c>
      <c r="H1172" s="124" t="s">
        <v>896</v>
      </c>
      <c r="I1172" s="125">
        <f>I1173</f>
        <v>1069.5</v>
      </c>
      <c r="J1172" s="125">
        <f>J1173</f>
        <v>1035.2</v>
      </c>
      <c r="K1172" s="125">
        <f>K1173</f>
        <v>1035.2</v>
      </c>
      <c r="L1172" s="126">
        <f>L1173</f>
        <v>34</v>
      </c>
      <c r="M1172" s="124" t="s">
        <v>896</v>
      </c>
      <c r="N1172" s="124" t="s">
        <v>896</v>
      </c>
      <c r="O1172" s="127" t="s">
        <v>896</v>
      </c>
      <c r="P1172" s="128">
        <v>3598749.4899999998</v>
      </c>
      <c r="Q1172" s="128">
        <f>Q1173</f>
        <v>0</v>
      </c>
      <c r="R1172" s="128">
        <f>R1173</f>
        <v>0</v>
      </c>
      <c r="S1172" s="128">
        <f>S1173</f>
        <v>3598749.4899999998</v>
      </c>
      <c r="T1172" s="128">
        <f t="shared" si="361"/>
        <v>3364.8896587190275</v>
      </c>
      <c r="U1172" s="128">
        <f>U1173</f>
        <v>5711.728286115007</v>
      </c>
      <c r="V1172" s="257">
        <f t="shared" si="347"/>
        <v>2346.8386273959795</v>
      </c>
      <c r="W1172" s="257"/>
      <c r="X1172" s="257"/>
      <c r="Y1172" s="258"/>
      <c r="Z1172" s="258"/>
      <c r="AA1172" s="258"/>
      <c r="AB1172" s="258"/>
      <c r="AC1172" s="258"/>
      <c r="AD1172" s="258"/>
      <c r="AE1172" s="258"/>
      <c r="AF1172" s="258"/>
      <c r="AG1172" s="258"/>
      <c r="AH1172" s="258"/>
      <c r="AI1172" s="258"/>
      <c r="AJ1172" s="258"/>
      <c r="AK1172" s="258"/>
      <c r="AL1172" s="258"/>
      <c r="AM1172" s="258"/>
      <c r="AN1172" s="258"/>
      <c r="AO1172" s="258"/>
    </row>
    <row r="1173" spans="1:191" s="196" customFormat="1" ht="36" customHeight="1" x14ac:dyDescent="0.25">
      <c r="A1173" s="259">
        <v>1</v>
      </c>
      <c r="B1173" s="135">
        <f>SUBTOTAL(103,$A$1000:A1173)</f>
        <v>153</v>
      </c>
      <c r="C1173" s="132" t="s">
        <v>706</v>
      </c>
      <c r="D1173" s="124">
        <v>1995</v>
      </c>
      <c r="E1173" s="124"/>
      <c r="F1173" s="134" t="s">
        <v>269</v>
      </c>
      <c r="G1173" s="124">
        <v>2</v>
      </c>
      <c r="H1173" s="124" t="s">
        <v>314</v>
      </c>
      <c r="I1173" s="125">
        <v>1069.5</v>
      </c>
      <c r="J1173" s="125">
        <v>1035.2</v>
      </c>
      <c r="K1173" s="125">
        <v>1035.2</v>
      </c>
      <c r="L1173" s="133">
        <v>34</v>
      </c>
      <c r="M1173" s="124" t="s">
        <v>267</v>
      </c>
      <c r="N1173" s="124" t="s">
        <v>268</v>
      </c>
      <c r="O1173" s="124" t="s">
        <v>270</v>
      </c>
      <c r="P1173" s="125">
        <v>3598749.4899999998</v>
      </c>
      <c r="Q1173" s="125">
        <v>0</v>
      </c>
      <c r="R1173" s="125">
        <v>0</v>
      </c>
      <c r="S1173" s="125">
        <f>P1173-Q1173-R1173</f>
        <v>3598749.4899999998</v>
      </c>
      <c r="T1173" s="128">
        <f t="shared" si="361"/>
        <v>3364.8896587190275</v>
      </c>
      <c r="U1173" s="128">
        <v>5711.728286115007</v>
      </c>
      <c r="V1173" s="257">
        <f>U1173-T1173</f>
        <v>2346.8386273959795</v>
      </c>
      <c r="W1173" s="257">
        <f>X1173+Y1173+Z1173+AA1173+AB1173+AD1173+AF1173+AH1173+AJ1173+AL1173+AN1173+AO1173</f>
        <v>5692.3126489013557</v>
      </c>
      <c r="X1173" s="257">
        <v>0</v>
      </c>
      <c r="Y1173" s="258">
        <v>0</v>
      </c>
      <c r="Z1173" s="258">
        <v>0</v>
      </c>
      <c r="AA1173" s="258">
        <v>0</v>
      </c>
      <c r="AB1173" s="258">
        <v>0</v>
      </c>
      <c r="AC1173" s="258">
        <v>0</v>
      </c>
      <c r="AD1173" s="258">
        <v>0</v>
      </c>
      <c r="AE1173" s="258">
        <v>975.8</v>
      </c>
      <c r="AF1173" s="257">
        <f>6238.91*AE1173/I1173</f>
        <v>5692.3126489013557</v>
      </c>
      <c r="AG1173" s="258">
        <v>0</v>
      </c>
      <c r="AH1173" s="257">
        <v>0</v>
      </c>
      <c r="AI1173" s="258">
        <v>0</v>
      </c>
      <c r="AJ1173" s="257">
        <v>0</v>
      </c>
      <c r="AK1173" s="258">
        <v>0</v>
      </c>
      <c r="AL1173" s="258">
        <v>0</v>
      </c>
      <c r="AM1173" s="258">
        <v>0</v>
      </c>
      <c r="AN1173" s="258"/>
      <c r="AO1173" s="258">
        <v>0</v>
      </c>
      <c r="AP1173" s="259"/>
      <c r="DQ1173" s="263"/>
      <c r="DR1173" s="263"/>
      <c r="DS1173" s="263"/>
      <c r="EP1173" s="264"/>
      <c r="FS1173" s="265"/>
      <c r="GI1173" s="266"/>
    </row>
    <row r="1174" spans="1:191" s="259" customFormat="1" ht="36" customHeight="1" x14ac:dyDescent="0.25">
      <c r="B1174" s="94" t="s">
        <v>836</v>
      </c>
      <c r="C1174" s="94"/>
      <c r="D1174" s="124" t="s">
        <v>757</v>
      </c>
      <c r="E1174" s="124" t="s">
        <v>757</v>
      </c>
      <c r="F1174" s="124" t="s">
        <v>757</v>
      </c>
      <c r="G1174" s="124" t="s">
        <v>757</v>
      </c>
      <c r="H1174" s="124" t="s">
        <v>757</v>
      </c>
      <c r="I1174" s="125">
        <f>I1175</f>
        <v>667.4</v>
      </c>
      <c r="J1174" s="125">
        <f>J1175</f>
        <v>576.1</v>
      </c>
      <c r="K1174" s="125">
        <f>K1175</f>
        <v>424.8</v>
      </c>
      <c r="L1174" s="126">
        <f>L1175</f>
        <v>32</v>
      </c>
      <c r="M1174" s="124" t="s">
        <v>896</v>
      </c>
      <c r="N1174" s="124" t="s">
        <v>896</v>
      </c>
      <c r="O1174" s="127" t="s">
        <v>896</v>
      </c>
      <c r="P1174" s="128">
        <v>1925593.0499999998</v>
      </c>
      <c r="Q1174" s="128">
        <f>Q1175</f>
        <v>0</v>
      </c>
      <c r="R1174" s="128">
        <f>R1175</f>
        <v>0</v>
      </c>
      <c r="S1174" s="128">
        <f>S1175</f>
        <v>1925593.0499999998</v>
      </c>
      <c r="T1174" s="128">
        <f t="shared" si="361"/>
        <v>2885.2158375786635</v>
      </c>
      <c r="U1174" s="128">
        <f>U1175</f>
        <v>8864.0688492658082</v>
      </c>
      <c r="V1174" s="257">
        <f t="shared" si="347"/>
        <v>5978.8530116871443</v>
      </c>
      <c r="W1174" s="257"/>
      <c r="X1174" s="257"/>
      <c r="Y1174" s="258"/>
      <c r="Z1174" s="258"/>
      <c r="AA1174" s="258"/>
      <c r="AB1174" s="258"/>
      <c r="AC1174" s="258"/>
      <c r="AD1174" s="258"/>
      <c r="AE1174" s="258"/>
      <c r="AF1174" s="258"/>
      <c r="AG1174" s="258"/>
      <c r="AH1174" s="258"/>
      <c r="AI1174" s="258"/>
      <c r="AJ1174" s="258"/>
      <c r="AK1174" s="258"/>
      <c r="AL1174" s="258"/>
      <c r="AM1174" s="258"/>
      <c r="AN1174" s="258"/>
      <c r="AO1174" s="258"/>
    </row>
    <row r="1175" spans="1:191" s="196" customFormat="1" ht="36" customHeight="1" x14ac:dyDescent="0.25">
      <c r="A1175" s="259">
        <v>1</v>
      </c>
      <c r="B1175" s="135">
        <f>SUBTOTAL(103,$A$1000:A1175)</f>
        <v>154</v>
      </c>
      <c r="C1175" s="132" t="s">
        <v>704</v>
      </c>
      <c r="D1175" s="124">
        <v>1987</v>
      </c>
      <c r="E1175" s="124"/>
      <c r="F1175" s="134" t="s">
        <v>269</v>
      </c>
      <c r="G1175" s="124">
        <v>2</v>
      </c>
      <c r="H1175" s="124" t="s">
        <v>305</v>
      </c>
      <c r="I1175" s="125">
        <v>667.4</v>
      </c>
      <c r="J1175" s="125">
        <v>576.1</v>
      </c>
      <c r="K1175" s="125">
        <v>424.8</v>
      </c>
      <c r="L1175" s="133">
        <v>32</v>
      </c>
      <c r="M1175" s="124" t="s">
        <v>267</v>
      </c>
      <c r="N1175" s="124" t="s">
        <v>268</v>
      </c>
      <c r="O1175" s="124" t="s">
        <v>270</v>
      </c>
      <c r="P1175" s="125">
        <v>1925593.0499999998</v>
      </c>
      <c r="Q1175" s="125">
        <v>0</v>
      </c>
      <c r="R1175" s="125">
        <v>0</v>
      </c>
      <c r="S1175" s="125">
        <f>P1175-Q1175-R1175</f>
        <v>1925593.0499999998</v>
      </c>
      <c r="T1175" s="128">
        <f t="shared" si="361"/>
        <v>2885.2158375786635</v>
      </c>
      <c r="U1175" s="128">
        <v>8864.0688492658082</v>
      </c>
      <c r="V1175" s="257">
        <f>U1175-T1175</f>
        <v>5978.8530116871443</v>
      </c>
      <c r="W1175" s="257">
        <f>X1175+Y1175+Z1175+AA1175+AB1175+AD1175+AF1175+AH1175+AJ1175+AL1175+AN1175+AO1175</f>
        <v>8833.9375936469896</v>
      </c>
      <c r="X1175" s="257">
        <v>0</v>
      </c>
      <c r="Y1175" s="258">
        <v>0</v>
      </c>
      <c r="Z1175" s="258">
        <v>0</v>
      </c>
      <c r="AA1175" s="258">
        <v>0</v>
      </c>
      <c r="AB1175" s="258">
        <v>0</v>
      </c>
      <c r="AC1175" s="258">
        <v>0</v>
      </c>
      <c r="AD1175" s="258">
        <v>0</v>
      </c>
      <c r="AE1175" s="258">
        <v>945</v>
      </c>
      <c r="AF1175" s="257">
        <f>6238.91*AE1175/I1175</f>
        <v>8833.9375936469896</v>
      </c>
      <c r="AG1175" s="258">
        <v>0</v>
      </c>
      <c r="AH1175" s="257">
        <v>0</v>
      </c>
      <c r="AI1175" s="258">
        <v>0</v>
      </c>
      <c r="AJ1175" s="257">
        <v>0</v>
      </c>
      <c r="AK1175" s="258">
        <v>0</v>
      </c>
      <c r="AL1175" s="258">
        <v>0</v>
      </c>
      <c r="AM1175" s="258">
        <v>0</v>
      </c>
      <c r="AN1175" s="258"/>
      <c r="AO1175" s="258">
        <v>0</v>
      </c>
      <c r="AP1175" s="259"/>
      <c r="DQ1175" s="263"/>
      <c r="DR1175" s="263"/>
      <c r="DS1175" s="263"/>
      <c r="EP1175" s="264"/>
      <c r="FS1175" s="265"/>
      <c r="GI1175" s="266"/>
    </row>
    <row r="1176" spans="1:191" s="259" customFormat="1" ht="36" customHeight="1" x14ac:dyDescent="0.25">
      <c r="B1176" s="94" t="s">
        <v>893</v>
      </c>
      <c r="C1176" s="94"/>
      <c r="D1176" s="124" t="s">
        <v>757</v>
      </c>
      <c r="E1176" s="124" t="s">
        <v>757</v>
      </c>
      <c r="F1176" s="124" t="s">
        <v>757</v>
      </c>
      <c r="G1176" s="124" t="s">
        <v>757</v>
      </c>
      <c r="H1176" s="124" t="s">
        <v>757</v>
      </c>
      <c r="I1176" s="125">
        <f>I1177</f>
        <v>569.20000000000005</v>
      </c>
      <c r="J1176" s="125">
        <f>J1177</f>
        <v>569.20000000000005</v>
      </c>
      <c r="K1176" s="125">
        <f>K1177</f>
        <v>569.20000000000005</v>
      </c>
      <c r="L1176" s="126">
        <f>L1177</f>
        <v>29</v>
      </c>
      <c r="M1176" s="124" t="s">
        <v>896</v>
      </c>
      <c r="N1176" s="124" t="s">
        <v>896</v>
      </c>
      <c r="O1176" s="127" t="s">
        <v>896</v>
      </c>
      <c r="P1176" s="128">
        <v>1538879.17</v>
      </c>
      <c r="Q1176" s="128">
        <f>Q1177</f>
        <v>0</v>
      </c>
      <c r="R1176" s="128">
        <f>R1177</f>
        <v>0</v>
      </c>
      <c r="S1176" s="128">
        <f>S1177</f>
        <v>1538879.17</v>
      </c>
      <c r="T1176" s="128">
        <f t="shared" si="361"/>
        <v>2703.5825193253686</v>
      </c>
      <c r="U1176" s="128">
        <f>U1177</f>
        <v>4377.2937807449043</v>
      </c>
      <c r="V1176" s="257">
        <f t="shared" si="347"/>
        <v>1673.7112614195357</v>
      </c>
      <c r="W1176" s="257"/>
      <c r="X1176" s="257"/>
      <c r="Y1176" s="258"/>
      <c r="Z1176" s="258"/>
      <c r="AA1176" s="258"/>
      <c r="AB1176" s="258"/>
      <c r="AC1176" s="258"/>
      <c r="AD1176" s="258"/>
      <c r="AE1176" s="258"/>
      <c r="AF1176" s="258"/>
      <c r="AG1176" s="258"/>
      <c r="AH1176" s="258"/>
      <c r="AI1176" s="258"/>
      <c r="AJ1176" s="258"/>
      <c r="AK1176" s="258"/>
      <c r="AL1176" s="258"/>
      <c r="AM1176" s="258"/>
      <c r="AN1176" s="258"/>
      <c r="AO1176" s="258"/>
    </row>
    <row r="1177" spans="1:191" s="196" customFormat="1" ht="36" customHeight="1" x14ac:dyDescent="0.25">
      <c r="A1177" s="259">
        <v>1</v>
      </c>
      <c r="B1177" s="135">
        <f>SUBTOTAL(103,$A$1000:A1177)</f>
        <v>155</v>
      </c>
      <c r="C1177" s="132" t="s">
        <v>701</v>
      </c>
      <c r="D1177" s="124">
        <v>1978</v>
      </c>
      <c r="E1177" s="124"/>
      <c r="F1177" s="134" t="s">
        <v>269</v>
      </c>
      <c r="G1177" s="124">
        <v>2</v>
      </c>
      <c r="H1177" s="124" t="s">
        <v>305</v>
      </c>
      <c r="I1177" s="125">
        <v>569.20000000000005</v>
      </c>
      <c r="J1177" s="125">
        <v>569.20000000000005</v>
      </c>
      <c r="K1177" s="125">
        <v>569.20000000000005</v>
      </c>
      <c r="L1177" s="133">
        <v>29</v>
      </c>
      <c r="M1177" s="124" t="s">
        <v>267</v>
      </c>
      <c r="N1177" s="124" t="s">
        <v>268</v>
      </c>
      <c r="O1177" s="124" t="s">
        <v>270</v>
      </c>
      <c r="P1177" s="125">
        <v>1538879.17</v>
      </c>
      <c r="Q1177" s="125">
        <v>0</v>
      </c>
      <c r="R1177" s="125">
        <v>0</v>
      </c>
      <c r="S1177" s="125">
        <f>P1177-Q1177-R1177</f>
        <v>1538879.17</v>
      </c>
      <c r="T1177" s="128">
        <f t="shared" si="361"/>
        <v>2703.5825193253686</v>
      </c>
      <c r="U1177" s="128">
        <v>4377.2937807449043</v>
      </c>
      <c r="V1177" s="257">
        <f>U1177-T1177</f>
        <v>1673.7112614195357</v>
      </c>
      <c r="W1177" s="257">
        <f>X1177+Y1177+Z1177+AA1177+AB1177+AD1177+AF1177+AH1177+AJ1177+AL1177+AN1177+AO1177</f>
        <v>4362.4142304989455</v>
      </c>
      <c r="X1177" s="257">
        <v>0</v>
      </c>
      <c r="Y1177" s="258">
        <v>0</v>
      </c>
      <c r="Z1177" s="258">
        <v>0</v>
      </c>
      <c r="AA1177" s="258">
        <v>0</v>
      </c>
      <c r="AB1177" s="258">
        <v>0</v>
      </c>
      <c r="AC1177" s="258">
        <v>0</v>
      </c>
      <c r="AD1177" s="258">
        <v>0</v>
      </c>
      <c r="AE1177" s="258">
        <v>398</v>
      </c>
      <c r="AF1177" s="257">
        <f>6238.91*AE1177/I1177</f>
        <v>4362.4142304989455</v>
      </c>
      <c r="AG1177" s="258">
        <v>0</v>
      </c>
      <c r="AH1177" s="257">
        <v>0</v>
      </c>
      <c r="AI1177" s="258">
        <v>0</v>
      </c>
      <c r="AJ1177" s="257">
        <v>0</v>
      </c>
      <c r="AK1177" s="258">
        <v>0</v>
      </c>
      <c r="AL1177" s="258">
        <v>0</v>
      </c>
      <c r="AM1177" s="258">
        <v>0</v>
      </c>
      <c r="AN1177" s="258"/>
      <c r="AO1177" s="258">
        <v>0</v>
      </c>
      <c r="AP1177" s="259"/>
      <c r="DQ1177" s="263"/>
      <c r="DR1177" s="263"/>
      <c r="DS1177" s="263"/>
      <c r="EP1177" s="264"/>
      <c r="FS1177" s="265"/>
      <c r="GI1177" s="266"/>
    </row>
    <row r="1178" spans="1:191" s="259" customFormat="1" ht="36" customHeight="1" x14ac:dyDescent="0.25">
      <c r="B1178" s="94" t="s">
        <v>837</v>
      </c>
      <c r="C1178" s="261"/>
      <c r="D1178" s="124" t="s">
        <v>896</v>
      </c>
      <c r="E1178" s="124" t="s">
        <v>896</v>
      </c>
      <c r="F1178" s="124" t="s">
        <v>896</v>
      </c>
      <c r="G1178" s="124" t="s">
        <v>896</v>
      </c>
      <c r="H1178" s="124" t="s">
        <v>896</v>
      </c>
      <c r="I1178" s="125">
        <f>SUM(I1179:I1184)</f>
        <v>14681.960000000001</v>
      </c>
      <c r="J1178" s="125">
        <f>SUM(J1179:J1184)</f>
        <v>12768.960000000001</v>
      </c>
      <c r="K1178" s="125">
        <f>SUM(K1179:K1184)</f>
        <v>10622.69</v>
      </c>
      <c r="L1178" s="126">
        <f>SUM(L1179:L1184)</f>
        <v>474</v>
      </c>
      <c r="M1178" s="124" t="s">
        <v>896</v>
      </c>
      <c r="N1178" s="124" t="s">
        <v>896</v>
      </c>
      <c r="O1178" s="127" t="s">
        <v>896</v>
      </c>
      <c r="P1178" s="125">
        <v>29368928.999999996</v>
      </c>
      <c r="Q1178" s="125">
        <f>SUM(Q1179:Q1184)</f>
        <v>0</v>
      </c>
      <c r="R1178" s="125">
        <f>SUM(R1179:R1184)</f>
        <v>0</v>
      </c>
      <c r="S1178" s="125">
        <f>SUM(S1179:S1184)</f>
        <v>29368928.999999996</v>
      </c>
      <c r="T1178" s="128">
        <f t="shared" si="361"/>
        <v>2000.3411669831544</v>
      </c>
      <c r="U1178" s="128">
        <f>MAX(U1179:U1184)</f>
        <v>5590.0603420283578</v>
      </c>
      <c r="V1178" s="257">
        <f t="shared" si="347"/>
        <v>3589.7191750452034</v>
      </c>
      <c r="W1178" s="257"/>
      <c r="X1178" s="257"/>
      <c r="Y1178" s="258"/>
      <c r="Z1178" s="258"/>
      <c r="AA1178" s="258"/>
      <c r="AB1178" s="258"/>
      <c r="AC1178" s="258"/>
      <c r="AD1178" s="258"/>
      <c r="AE1178" s="258"/>
      <c r="AF1178" s="258"/>
      <c r="AG1178" s="258"/>
      <c r="AH1178" s="258"/>
      <c r="AI1178" s="258"/>
      <c r="AJ1178" s="258"/>
      <c r="AK1178" s="258"/>
      <c r="AL1178" s="258"/>
      <c r="AM1178" s="258"/>
      <c r="AN1178" s="258"/>
      <c r="AO1178" s="258"/>
    </row>
    <row r="1179" spans="1:191" s="196" customFormat="1" ht="36" customHeight="1" x14ac:dyDescent="0.25">
      <c r="A1179" s="259">
        <v>1</v>
      </c>
      <c r="B1179" s="135">
        <f>SUBTOTAL(103,$A$1000:A1179)</f>
        <v>156</v>
      </c>
      <c r="C1179" s="132" t="s">
        <v>134</v>
      </c>
      <c r="D1179" s="124">
        <v>1994</v>
      </c>
      <c r="E1179" s="124"/>
      <c r="F1179" s="134" t="s">
        <v>269</v>
      </c>
      <c r="G1179" s="124">
        <v>4</v>
      </c>
      <c r="H1179" s="124" t="s">
        <v>314</v>
      </c>
      <c r="I1179" s="125">
        <v>3731.88</v>
      </c>
      <c r="J1179" s="125">
        <v>2769.88</v>
      </c>
      <c r="K1179" s="125">
        <v>2769.88</v>
      </c>
      <c r="L1179" s="133">
        <v>111</v>
      </c>
      <c r="M1179" s="124" t="s">
        <v>267</v>
      </c>
      <c r="N1179" s="124" t="s">
        <v>271</v>
      </c>
      <c r="O1179" s="124" t="s">
        <v>286</v>
      </c>
      <c r="P1179" s="125">
        <v>6533531.75</v>
      </c>
      <c r="Q1179" s="125">
        <v>0</v>
      </c>
      <c r="R1179" s="125">
        <v>0</v>
      </c>
      <c r="S1179" s="125">
        <f t="shared" ref="S1179:S1184" si="364">P1179-Q1179-R1179</f>
        <v>6533531.75</v>
      </c>
      <c r="T1179" s="128">
        <f t="shared" si="361"/>
        <v>1750.7346833231506</v>
      </c>
      <c r="U1179" s="128">
        <v>1971.0503151226724</v>
      </c>
      <c r="V1179" s="257">
        <f t="shared" si="347"/>
        <v>220.31563179952173</v>
      </c>
      <c r="W1179" s="257">
        <f t="shared" ref="W1179:W1184" si="365">X1179+Y1179+Z1179+AA1179+AB1179+AD1179+AF1179+AH1179+AJ1179+AL1179+AN1179+AO1179</f>
        <v>1964.3502068662442</v>
      </c>
      <c r="X1179" s="257">
        <v>0</v>
      </c>
      <c r="Y1179" s="258">
        <v>0</v>
      </c>
      <c r="Z1179" s="258">
        <v>0</v>
      </c>
      <c r="AA1179" s="258">
        <v>0</v>
      </c>
      <c r="AB1179" s="258">
        <v>0</v>
      </c>
      <c r="AC1179" s="258">
        <v>0</v>
      </c>
      <c r="AD1179" s="258">
        <v>0</v>
      </c>
      <c r="AE1179" s="258">
        <v>1175</v>
      </c>
      <c r="AF1179" s="257">
        <f>6238.91*AE1179/I1179</f>
        <v>1964.3502068662442</v>
      </c>
      <c r="AG1179" s="258">
        <v>0</v>
      </c>
      <c r="AH1179" s="257">
        <v>0</v>
      </c>
      <c r="AI1179" s="258">
        <v>0</v>
      </c>
      <c r="AJ1179" s="257">
        <v>0</v>
      </c>
      <c r="AK1179" s="258">
        <v>0</v>
      </c>
      <c r="AL1179" s="258">
        <v>0</v>
      </c>
      <c r="AM1179" s="258">
        <v>0</v>
      </c>
      <c r="AN1179" s="258"/>
      <c r="AO1179" s="258">
        <v>0</v>
      </c>
      <c r="AP1179" s="259"/>
      <c r="DQ1179" s="263"/>
      <c r="DR1179" s="263"/>
      <c r="DS1179" s="263"/>
      <c r="EP1179" s="264"/>
      <c r="FS1179" s="265"/>
      <c r="GI1179" s="266"/>
    </row>
    <row r="1180" spans="1:191" s="196" customFormat="1" ht="36" customHeight="1" x14ac:dyDescent="0.25">
      <c r="A1180" s="259">
        <v>1</v>
      </c>
      <c r="B1180" s="135">
        <f>SUBTOTAL(103,$A$1000:A1180)</f>
        <v>157</v>
      </c>
      <c r="C1180" s="132" t="s">
        <v>131</v>
      </c>
      <c r="D1180" s="124">
        <v>1992</v>
      </c>
      <c r="E1180" s="124"/>
      <c r="F1180" s="134" t="s">
        <v>269</v>
      </c>
      <c r="G1180" s="124">
        <v>2</v>
      </c>
      <c r="H1180" s="124" t="s">
        <v>314</v>
      </c>
      <c r="I1180" s="125">
        <v>1621.8</v>
      </c>
      <c r="J1180" s="125">
        <v>965.3</v>
      </c>
      <c r="K1180" s="125">
        <v>915.9</v>
      </c>
      <c r="L1180" s="133">
        <v>39</v>
      </c>
      <c r="M1180" s="124" t="s">
        <v>267</v>
      </c>
      <c r="N1180" s="124" t="s">
        <v>271</v>
      </c>
      <c r="O1180" s="124" t="s">
        <v>286</v>
      </c>
      <c r="P1180" s="125">
        <v>5163742.3999999994</v>
      </c>
      <c r="Q1180" s="125">
        <v>0</v>
      </c>
      <c r="R1180" s="125">
        <v>0</v>
      </c>
      <c r="S1180" s="125">
        <f t="shared" si="364"/>
        <v>5163742.3999999994</v>
      </c>
      <c r="T1180" s="128">
        <f t="shared" si="361"/>
        <v>3183.9575779997531</v>
      </c>
      <c r="U1180" s="128">
        <v>3221.3719077568135</v>
      </c>
      <c r="V1180" s="257">
        <f t="shared" si="347"/>
        <v>37.414329757060386</v>
      </c>
      <c r="W1180" s="257">
        <f t="shared" si="365"/>
        <v>3221.3719077568135</v>
      </c>
      <c r="X1180" s="257">
        <v>0</v>
      </c>
      <c r="Y1180" s="258">
        <v>0</v>
      </c>
      <c r="Z1180" s="258">
        <v>0</v>
      </c>
      <c r="AA1180" s="258">
        <v>0</v>
      </c>
      <c r="AB1180" s="258">
        <v>0</v>
      </c>
      <c r="AC1180" s="258">
        <v>0</v>
      </c>
      <c r="AD1180" s="258">
        <v>0</v>
      </c>
      <c r="AE1180" s="258">
        <v>0</v>
      </c>
      <c r="AF1180" s="257">
        <v>0</v>
      </c>
      <c r="AG1180" s="258">
        <v>0</v>
      </c>
      <c r="AH1180" s="257">
        <v>0</v>
      </c>
      <c r="AI1180" s="258">
        <v>0</v>
      </c>
      <c r="AJ1180" s="257">
        <v>0</v>
      </c>
      <c r="AK1180" s="258">
        <v>0</v>
      </c>
      <c r="AL1180" s="258">
        <v>0</v>
      </c>
      <c r="AM1180" s="258">
        <v>748</v>
      </c>
      <c r="AN1180" s="258">
        <f>6984.52*AM1180/I1180</f>
        <v>3221.3719077568135</v>
      </c>
      <c r="AO1180" s="258">
        <v>0</v>
      </c>
      <c r="AP1180" s="259"/>
      <c r="DQ1180" s="263"/>
      <c r="DR1180" s="263"/>
      <c r="DS1180" s="263"/>
      <c r="EP1180" s="264"/>
      <c r="FS1180" s="265"/>
      <c r="GI1180" s="266"/>
    </row>
    <row r="1181" spans="1:191" s="196" customFormat="1" ht="36" customHeight="1" x14ac:dyDescent="0.25">
      <c r="A1181" s="259">
        <v>1</v>
      </c>
      <c r="B1181" s="135">
        <f>SUBTOTAL(103,$A$1000:A1181)</f>
        <v>158</v>
      </c>
      <c r="C1181" s="132" t="s">
        <v>136</v>
      </c>
      <c r="D1181" s="124">
        <v>1986</v>
      </c>
      <c r="E1181" s="124"/>
      <c r="F1181" s="134" t="s">
        <v>269</v>
      </c>
      <c r="G1181" s="124">
        <v>2</v>
      </c>
      <c r="H1181" s="124" t="s">
        <v>314</v>
      </c>
      <c r="I1181" s="125">
        <v>923.9</v>
      </c>
      <c r="J1181" s="125">
        <v>841.9</v>
      </c>
      <c r="K1181" s="125">
        <v>646.1</v>
      </c>
      <c r="L1181" s="133">
        <v>45</v>
      </c>
      <c r="M1181" s="124" t="s">
        <v>267</v>
      </c>
      <c r="N1181" s="124" t="s">
        <v>271</v>
      </c>
      <c r="O1181" s="124" t="s">
        <v>286</v>
      </c>
      <c r="P1181" s="125">
        <v>4587373.3600000003</v>
      </c>
      <c r="Q1181" s="125">
        <v>0</v>
      </c>
      <c r="R1181" s="125">
        <v>0</v>
      </c>
      <c r="S1181" s="125">
        <f t="shared" si="364"/>
        <v>4587373.3600000003</v>
      </c>
      <c r="T1181" s="128">
        <f t="shared" si="361"/>
        <v>4965.2271457950001</v>
      </c>
      <c r="U1181" s="128">
        <v>5590.0603420283578</v>
      </c>
      <c r="V1181" s="257">
        <f t="shared" si="347"/>
        <v>624.83319623335774</v>
      </c>
      <c r="W1181" s="257">
        <f t="shared" si="365"/>
        <v>5571.0582855287366</v>
      </c>
      <c r="X1181" s="257">
        <v>0</v>
      </c>
      <c r="Y1181" s="258">
        <v>0</v>
      </c>
      <c r="Z1181" s="258">
        <v>0</v>
      </c>
      <c r="AA1181" s="258">
        <v>0</v>
      </c>
      <c r="AB1181" s="258">
        <v>0</v>
      </c>
      <c r="AC1181" s="258">
        <v>0</v>
      </c>
      <c r="AD1181" s="258">
        <v>0</v>
      </c>
      <c r="AE1181" s="258">
        <v>825</v>
      </c>
      <c r="AF1181" s="257">
        <f>6238.91*AE1181/I1181</f>
        <v>5571.0582855287366</v>
      </c>
      <c r="AG1181" s="258">
        <v>0</v>
      </c>
      <c r="AH1181" s="257">
        <v>0</v>
      </c>
      <c r="AI1181" s="258">
        <v>0</v>
      </c>
      <c r="AJ1181" s="257">
        <v>0</v>
      </c>
      <c r="AK1181" s="258">
        <v>0</v>
      </c>
      <c r="AL1181" s="258">
        <v>0</v>
      </c>
      <c r="AM1181" s="258">
        <v>0</v>
      </c>
      <c r="AN1181" s="258"/>
      <c r="AO1181" s="258">
        <v>0</v>
      </c>
      <c r="AP1181" s="259"/>
      <c r="DQ1181" s="263"/>
      <c r="DR1181" s="263"/>
      <c r="DS1181" s="263"/>
      <c r="EP1181" s="264"/>
      <c r="FS1181" s="265"/>
      <c r="GI1181" s="266"/>
    </row>
    <row r="1182" spans="1:191" s="196" customFormat="1" ht="36" customHeight="1" x14ac:dyDescent="0.25">
      <c r="A1182" s="259">
        <v>1</v>
      </c>
      <c r="B1182" s="135">
        <f>SUBTOTAL(103,$A$1000:A1182)</f>
        <v>159</v>
      </c>
      <c r="C1182" s="132" t="s">
        <v>132</v>
      </c>
      <c r="D1182" s="124">
        <v>1972</v>
      </c>
      <c r="E1182" s="124"/>
      <c r="F1182" s="134" t="s">
        <v>269</v>
      </c>
      <c r="G1182" s="124">
        <v>5</v>
      </c>
      <c r="H1182" s="124" t="s">
        <v>310</v>
      </c>
      <c r="I1182" s="125">
        <v>3740.78</v>
      </c>
      <c r="J1182" s="125">
        <v>3740.78</v>
      </c>
      <c r="K1182" s="125">
        <v>2819.7</v>
      </c>
      <c r="L1182" s="133">
        <v>124</v>
      </c>
      <c r="M1182" s="124" t="s">
        <v>267</v>
      </c>
      <c r="N1182" s="124" t="s">
        <v>271</v>
      </c>
      <c r="O1182" s="124" t="s">
        <v>287</v>
      </c>
      <c r="P1182" s="125">
        <v>5599375.7199999997</v>
      </c>
      <c r="Q1182" s="125">
        <v>0</v>
      </c>
      <c r="R1182" s="125">
        <v>0</v>
      </c>
      <c r="S1182" s="125">
        <f t="shared" si="364"/>
        <v>5599375.7199999997</v>
      </c>
      <c r="T1182" s="128">
        <f t="shared" si="361"/>
        <v>1496.8471067531368</v>
      </c>
      <c r="U1182" s="128">
        <v>1685.2130651896125</v>
      </c>
      <c r="V1182" s="257">
        <f t="shared" si="347"/>
        <v>188.36595843647569</v>
      </c>
      <c r="W1182" s="257">
        <f t="shared" si="365"/>
        <v>1679.4845914488421</v>
      </c>
      <c r="X1182" s="257">
        <v>0</v>
      </c>
      <c r="Y1182" s="258">
        <v>0</v>
      </c>
      <c r="Z1182" s="258">
        <v>0</v>
      </c>
      <c r="AA1182" s="258">
        <v>0</v>
      </c>
      <c r="AB1182" s="258">
        <v>0</v>
      </c>
      <c r="AC1182" s="258">
        <v>0</v>
      </c>
      <c r="AD1182" s="258">
        <v>0</v>
      </c>
      <c r="AE1182" s="258">
        <v>1007</v>
      </c>
      <c r="AF1182" s="257">
        <f>6238.91*AE1182/I1182</f>
        <v>1679.4845914488421</v>
      </c>
      <c r="AG1182" s="258">
        <v>0</v>
      </c>
      <c r="AH1182" s="257">
        <v>0</v>
      </c>
      <c r="AI1182" s="258">
        <v>0</v>
      </c>
      <c r="AJ1182" s="257">
        <v>0</v>
      </c>
      <c r="AK1182" s="258">
        <v>0</v>
      </c>
      <c r="AL1182" s="258">
        <v>0</v>
      </c>
      <c r="AM1182" s="258">
        <v>0</v>
      </c>
      <c r="AN1182" s="258"/>
      <c r="AO1182" s="258">
        <v>0</v>
      </c>
      <c r="AP1182" s="259"/>
      <c r="DQ1182" s="263"/>
      <c r="DR1182" s="263"/>
      <c r="DS1182" s="263"/>
      <c r="EP1182" s="264"/>
      <c r="FS1182" s="265"/>
      <c r="GI1182" s="266"/>
    </row>
    <row r="1183" spans="1:191" s="196" customFormat="1" ht="36" customHeight="1" x14ac:dyDescent="0.25">
      <c r="A1183" s="259">
        <v>1</v>
      </c>
      <c r="B1183" s="135">
        <f>SUBTOTAL(103,$A$1000:A1183)</f>
        <v>160</v>
      </c>
      <c r="C1183" s="132" t="s">
        <v>133</v>
      </c>
      <c r="D1183" s="124">
        <v>1979</v>
      </c>
      <c r="E1183" s="124"/>
      <c r="F1183" s="134" t="s">
        <v>269</v>
      </c>
      <c r="G1183" s="124">
        <v>5</v>
      </c>
      <c r="H1183" s="124" t="s">
        <v>310</v>
      </c>
      <c r="I1183" s="125">
        <v>4025.6</v>
      </c>
      <c r="J1183" s="125">
        <v>4025.6</v>
      </c>
      <c r="K1183" s="125">
        <v>3076</v>
      </c>
      <c r="L1183" s="133">
        <v>133</v>
      </c>
      <c r="M1183" s="124" t="s">
        <v>267</v>
      </c>
      <c r="N1183" s="124" t="s">
        <v>271</v>
      </c>
      <c r="O1183" s="124" t="s">
        <v>287</v>
      </c>
      <c r="P1183" s="125">
        <v>4480243.62</v>
      </c>
      <c r="Q1183" s="125">
        <v>0</v>
      </c>
      <c r="R1183" s="125">
        <v>0</v>
      </c>
      <c r="S1183" s="125">
        <f t="shared" si="364"/>
        <v>4480243.62</v>
      </c>
      <c r="T1183" s="128">
        <f t="shared" si="361"/>
        <v>1112.9381011526232</v>
      </c>
      <c r="U1183" s="128">
        <v>1201.4663140898251</v>
      </c>
      <c r="V1183" s="257">
        <f t="shared" si="347"/>
        <v>88.528212937201943</v>
      </c>
      <c r="W1183" s="257">
        <f t="shared" si="365"/>
        <v>1197.3822202901431</v>
      </c>
      <c r="X1183" s="257">
        <v>0</v>
      </c>
      <c r="Y1183" s="258">
        <v>0</v>
      </c>
      <c r="Z1183" s="258">
        <v>0</v>
      </c>
      <c r="AA1183" s="258">
        <v>0</v>
      </c>
      <c r="AB1183" s="258">
        <v>0</v>
      </c>
      <c r="AC1183" s="258">
        <v>0</v>
      </c>
      <c r="AD1183" s="258">
        <v>0</v>
      </c>
      <c r="AE1183" s="258">
        <v>772.6</v>
      </c>
      <c r="AF1183" s="257">
        <f>6238.91*AE1183/I1183</f>
        <v>1197.3822202901431</v>
      </c>
      <c r="AG1183" s="258">
        <v>0</v>
      </c>
      <c r="AH1183" s="257">
        <v>0</v>
      </c>
      <c r="AI1183" s="258">
        <v>0</v>
      </c>
      <c r="AJ1183" s="257">
        <v>0</v>
      </c>
      <c r="AK1183" s="258">
        <v>0</v>
      </c>
      <c r="AL1183" s="258">
        <v>0</v>
      </c>
      <c r="AM1183" s="258">
        <v>0</v>
      </c>
      <c r="AN1183" s="258"/>
      <c r="AO1183" s="258">
        <v>0</v>
      </c>
      <c r="AP1183" s="259"/>
      <c r="DQ1183" s="263"/>
      <c r="DR1183" s="263"/>
      <c r="DS1183" s="263"/>
      <c r="EP1183" s="264"/>
      <c r="FS1183" s="265"/>
      <c r="GI1183" s="266"/>
    </row>
    <row r="1184" spans="1:191" s="196" customFormat="1" ht="36" customHeight="1" x14ac:dyDescent="0.25">
      <c r="A1184" s="259">
        <v>1</v>
      </c>
      <c r="B1184" s="135">
        <f>SUBTOTAL(103,$A$1000:A1184)</f>
        <v>161</v>
      </c>
      <c r="C1184" s="132" t="s">
        <v>1606</v>
      </c>
      <c r="D1184" s="124">
        <v>1967</v>
      </c>
      <c r="E1184" s="124"/>
      <c r="F1184" s="134" t="s">
        <v>320</v>
      </c>
      <c r="G1184" s="124">
        <v>2</v>
      </c>
      <c r="H1184" s="124" t="s">
        <v>305</v>
      </c>
      <c r="I1184" s="125">
        <v>638</v>
      </c>
      <c r="J1184" s="125">
        <v>425.5</v>
      </c>
      <c r="K1184" s="125">
        <v>395.11</v>
      </c>
      <c r="L1184" s="133">
        <v>22</v>
      </c>
      <c r="M1184" s="124" t="s">
        <v>267</v>
      </c>
      <c r="N1184" s="124" t="s">
        <v>271</v>
      </c>
      <c r="O1184" s="124" t="s">
        <v>1592</v>
      </c>
      <c r="P1184" s="125">
        <v>3004662.15</v>
      </c>
      <c r="Q1184" s="125">
        <v>0</v>
      </c>
      <c r="R1184" s="125">
        <v>0</v>
      </c>
      <c r="S1184" s="125">
        <f t="shared" si="364"/>
        <v>3004662.15</v>
      </c>
      <c r="T1184" s="128">
        <f t="shared" si="361"/>
        <v>4709.5018025078371</v>
      </c>
      <c r="U1184" s="128">
        <v>4987.6917115987471</v>
      </c>
      <c r="V1184" s="257">
        <f t="shared" si="347"/>
        <v>278.18990909091008</v>
      </c>
      <c r="W1184" s="257">
        <f t="shared" si="365"/>
        <v>4987.6917115987471</v>
      </c>
      <c r="X1184" s="257">
        <v>0</v>
      </c>
      <c r="Y1184" s="258">
        <v>0</v>
      </c>
      <c r="Z1184" s="258">
        <v>0</v>
      </c>
      <c r="AA1184" s="258">
        <v>0</v>
      </c>
      <c r="AB1184" s="258">
        <v>0</v>
      </c>
      <c r="AC1184" s="258">
        <v>0</v>
      </c>
      <c r="AD1184" s="258">
        <v>0</v>
      </c>
      <c r="AE1184" s="258">
        <v>0</v>
      </c>
      <c r="AF1184" s="257">
        <v>0</v>
      </c>
      <c r="AG1184" s="258">
        <v>0</v>
      </c>
      <c r="AH1184" s="257">
        <v>0</v>
      </c>
      <c r="AI1184" s="258">
        <v>0</v>
      </c>
      <c r="AJ1184" s="257">
        <v>0</v>
      </c>
      <c r="AK1184" s="258">
        <v>0</v>
      </c>
      <c r="AL1184" s="258">
        <v>0</v>
      </c>
      <c r="AM1184" s="258">
        <v>455.6</v>
      </c>
      <c r="AN1184" s="258">
        <f>6984.52*AM1184/I1184</f>
        <v>4987.6917115987471</v>
      </c>
      <c r="AO1184" s="258">
        <v>0</v>
      </c>
      <c r="AP1184" s="259"/>
      <c r="DQ1184" s="267"/>
      <c r="DR1184" s="267"/>
      <c r="DS1184" s="267"/>
      <c r="EP1184" s="264"/>
      <c r="FS1184" s="265"/>
      <c r="GI1184" s="266"/>
    </row>
    <row r="1185" spans="1:191" s="259" customFormat="1" ht="36" customHeight="1" x14ac:dyDescent="0.25">
      <c r="B1185" s="94" t="s">
        <v>843</v>
      </c>
      <c r="C1185" s="261"/>
      <c r="D1185" s="124" t="s">
        <v>896</v>
      </c>
      <c r="E1185" s="124" t="s">
        <v>896</v>
      </c>
      <c r="F1185" s="124" t="s">
        <v>896</v>
      </c>
      <c r="G1185" s="124" t="s">
        <v>896</v>
      </c>
      <c r="H1185" s="124" t="s">
        <v>896</v>
      </c>
      <c r="I1185" s="125">
        <f>SUM(I1186:I1187)</f>
        <v>1573</v>
      </c>
      <c r="J1185" s="125">
        <f>SUM(J1186:J1187)</f>
        <v>1423.2</v>
      </c>
      <c r="K1185" s="125">
        <f>SUM(K1186:K1187)</f>
        <v>1423.2</v>
      </c>
      <c r="L1185" s="126">
        <f>SUM(L1186:L1187)</f>
        <v>86</v>
      </c>
      <c r="M1185" s="124" t="s">
        <v>896</v>
      </c>
      <c r="N1185" s="124" t="s">
        <v>896</v>
      </c>
      <c r="O1185" s="127" t="s">
        <v>896</v>
      </c>
      <c r="P1185" s="128">
        <v>5777967.8699999992</v>
      </c>
      <c r="Q1185" s="128">
        <f>Q1186+Q1187</f>
        <v>0</v>
      </c>
      <c r="R1185" s="128">
        <f>R1186+R1187</f>
        <v>0</v>
      </c>
      <c r="S1185" s="128">
        <f>S1186+S1187</f>
        <v>5777967.8699999992</v>
      </c>
      <c r="T1185" s="128">
        <f t="shared" si="361"/>
        <v>3673.2154291163379</v>
      </c>
      <c r="U1185" s="128">
        <f>MAX(U1186:U1187)</f>
        <v>5289.4349170191999</v>
      </c>
      <c r="V1185" s="257">
        <f t="shared" si="347"/>
        <v>1616.2194879028621</v>
      </c>
      <c r="W1185" s="257"/>
      <c r="X1185" s="257"/>
      <c r="Y1185" s="258"/>
      <c r="Z1185" s="258"/>
      <c r="AA1185" s="258"/>
      <c r="AB1185" s="258"/>
      <c r="AC1185" s="258"/>
      <c r="AD1185" s="258"/>
      <c r="AE1185" s="258"/>
      <c r="AF1185" s="258"/>
      <c r="AG1185" s="258"/>
      <c r="AH1185" s="258"/>
      <c r="AI1185" s="258"/>
      <c r="AJ1185" s="258"/>
      <c r="AK1185" s="258"/>
      <c r="AL1185" s="258"/>
      <c r="AM1185" s="258"/>
      <c r="AN1185" s="258"/>
      <c r="AO1185" s="258"/>
    </row>
    <row r="1186" spans="1:191" s="196" customFormat="1" ht="36" customHeight="1" x14ac:dyDescent="0.25">
      <c r="A1186" s="259">
        <v>1</v>
      </c>
      <c r="B1186" s="135">
        <f>SUBTOTAL(103,$A$1000:A1186)</f>
        <v>162</v>
      </c>
      <c r="C1186" s="132" t="s">
        <v>179</v>
      </c>
      <c r="D1186" s="124">
        <v>1985</v>
      </c>
      <c r="E1186" s="124">
        <v>2009</v>
      </c>
      <c r="F1186" s="134" t="s">
        <v>269</v>
      </c>
      <c r="G1186" s="124">
        <v>2</v>
      </c>
      <c r="H1186" s="124" t="s">
        <v>305</v>
      </c>
      <c r="I1186" s="125">
        <v>958.4</v>
      </c>
      <c r="J1186" s="125">
        <v>858.1</v>
      </c>
      <c r="K1186" s="125">
        <v>858.1</v>
      </c>
      <c r="L1186" s="133">
        <v>63</v>
      </c>
      <c r="M1186" s="124" t="s">
        <v>267</v>
      </c>
      <c r="N1186" s="124" t="s">
        <v>268</v>
      </c>
      <c r="O1186" s="124" t="s">
        <v>270</v>
      </c>
      <c r="P1186" s="125">
        <v>3457143.9</v>
      </c>
      <c r="Q1186" s="125">
        <v>0</v>
      </c>
      <c r="R1186" s="125">
        <v>0</v>
      </c>
      <c r="S1186" s="125">
        <f>P1186-Q1186-R1186</f>
        <v>3457143.9</v>
      </c>
      <c r="T1186" s="128">
        <f t="shared" si="361"/>
        <v>3607.2035684474122</v>
      </c>
      <c r="U1186" s="128">
        <v>4115.108201168614</v>
      </c>
      <c r="V1186" s="257">
        <f t="shared" ref="V1186:V1187" si="366">U1186-T1186</f>
        <v>507.90463272120178</v>
      </c>
      <c r="W1186" s="257">
        <f t="shared" ref="W1186:W1187" si="367">X1186+Y1186+Z1186+AA1186+AB1186+AD1186+AF1186+AH1186+AJ1186+AL1186+AN1186+AO1186</f>
        <v>4101.1198873121866</v>
      </c>
      <c r="X1186" s="257">
        <v>0</v>
      </c>
      <c r="Y1186" s="258">
        <v>0</v>
      </c>
      <c r="Z1186" s="258">
        <v>0</v>
      </c>
      <c r="AA1186" s="258">
        <v>0</v>
      </c>
      <c r="AB1186" s="258">
        <v>0</v>
      </c>
      <c r="AC1186" s="258">
        <v>0</v>
      </c>
      <c r="AD1186" s="258">
        <v>0</v>
      </c>
      <c r="AE1186" s="258">
        <v>630</v>
      </c>
      <c r="AF1186" s="257">
        <f>6238.91*AE1186/I1186</f>
        <v>4101.1198873121866</v>
      </c>
      <c r="AG1186" s="258">
        <v>0</v>
      </c>
      <c r="AH1186" s="257">
        <v>0</v>
      </c>
      <c r="AI1186" s="258">
        <v>0</v>
      </c>
      <c r="AJ1186" s="257">
        <v>0</v>
      </c>
      <c r="AK1186" s="258">
        <v>0</v>
      </c>
      <c r="AL1186" s="258">
        <v>0</v>
      </c>
      <c r="AM1186" s="258">
        <v>0</v>
      </c>
      <c r="AN1186" s="258"/>
      <c r="AO1186" s="258">
        <v>0</v>
      </c>
      <c r="AP1186" s="259"/>
      <c r="DQ1186" s="263"/>
      <c r="DR1186" s="263"/>
      <c r="DS1186" s="263"/>
      <c r="EP1186" s="264"/>
      <c r="FS1186" s="265"/>
      <c r="GI1186" s="266"/>
    </row>
    <row r="1187" spans="1:191" s="196" customFormat="1" ht="36" customHeight="1" x14ac:dyDescent="0.25">
      <c r="A1187" s="259">
        <v>1</v>
      </c>
      <c r="B1187" s="135">
        <f>SUBTOTAL(103,$A$1000:A1187)</f>
        <v>163</v>
      </c>
      <c r="C1187" s="132" t="s">
        <v>180</v>
      </c>
      <c r="D1187" s="124">
        <v>1961</v>
      </c>
      <c r="E1187" s="124">
        <v>2009</v>
      </c>
      <c r="F1187" s="134" t="s">
        <v>269</v>
      </c>
      <c r="G1187" s="124">
        <v>2</v>
      </c>
      <c r="H1187" s="124" t="s">
        <v>305</v>
      </c>
      <c r="I1187" s="125">
        <v>614.6</v>
      </c>
      <c r="J1187" s="125">
        <v>565.1</v>
      </c>
      <c r="K1187" s="125">
        <v>565.1</v>
      </c>
      <c r="L1187" s="133">
        <v>23</v>
      </c>
      <c r="M1187" s="124" t="s">
        <v>267</v>
      </c>
      <c r="N1187" s="124" t="s">
        <v>268</v>
      </c>
      <c r="O1187" s="124" t="s">
        <v>270</v>
      </c>
      <c r="P1187" s="125">
        <v>2320823.9699999997</v>
      </c>
      <c r="Q1187" s="125">
        <v>0</v>
      </c>
      <c r="R1187" s="125">
        <v>0</v>
      </c>
      <c r="S1187" s="125">
        <f>P1187-Q1187-R1187</f>
        <v>2320823.9699999997</v>
      </c>
      <c r="T1187" s="128">
        <f t="shared" si="361"/>
        <v>3776.153547022453</v>
      </c>
      <c r="U1187" s="128">
        <v>5289.4349170191999</v>
      </c>
      <c r="V1187" s="257">
        <f t="shared" si="366"/>
        <v>1513.2813699967469</v>
      </c>
      <c r="W1187" s="257">
        <f t="shared" si="367"/>
        <v>5289.4349170191999</v>
      </c>
      <c r="X1187" s="257">
        <v>0</v>
      </c>
      <c r="Y1187" s="258">
        <v>0</v>
      </c>
      <c r="Z1187" s="258">
        <v>0</v>
      </c>
      <c r="AA1187" s="258">
        <v>0</v>
      </c>
      <c r="AB1187" s="258">
        <v>0</v>
      </c>
      <c r="AC1187" s="258">
        <v>0</v>
      </c>
      <c r="AD1187" s="258">
        <v>0</v>
      </c>
      <c r="AE1187" s="258">
        <v>0</v>
      </c>
      <c r="AF1187" s="257">
        <v>0</v>
      </c>
      <c r="AG1187" s="258">
        <v>0</v>
      </c>
      <c r="AH1187" s="257">
        <v>0</v>
      </c>
      <c r="AI1187" s="258">
        <v>437</v>
      </c>
      <c r="AJ1187" s="257">
        <f>7439.1*AI1187/I1187</f>
        <v>5289.4349170191999</v>
      </c>
      <c r="AK1187" s="258">
        <v>0</v>
      </c>
      <c r="AL1187" s="258">
        <v>0</v>
      </c>
      <c r="AM1187" s="258">
        <v>0</v>
      </c>
      <c r="AN1187" s="258"/>
      <c r="AO1187" s="258">
        <v>0</v>
      </c>
      <c r="AP1187" s="259"/>
      <c r="DQ1187" s="263"/>
      <c r="DR1187" s="263"/>
      <c r="DS1187" s="263"/>
      <c r="EP1187" s="264"/>
      <c r="FS1187" s="265"/>
      <c r="GI1187" s="266"/>
    </row>
    <row r="1188" spans="1:191" s="259" customFormat="1" ht="36" customHeight="1" x14ac:dyDescent="0.25">
      <c r="B1188" s="94" t="s">
        <v>840</v>
      </c>
      <c r="C1188" s="94"/>
      <c r="D1188" s="124" t="s">
        <v>896</v>
      </c>
      <c r="E1188" s="124" t="s">
        <v>896</v>
      </c>
      <c r="F1188" s="124" t="s">
        <v>896</v>
      </c>
      <c r="G1188" s="124" t="s">
        <v>896</v>
      </c>
      <c r="H1188" s="124" t="s">
        <v>896</v>
      </c>
      <c r="I1188" s="125">
        <f>SUM(I1189:I1191)</f>
        <v>1266.2</v>
      </c>
      <c r="J1188" s="125">
        <f>SUM(J1189:J1191)</f>
        <v>1144.9000000000001</v>
      </c>
      <c r="K1188" s="125">
        <f>SUM(K1189:K1191)</f>
        <v>922.5</v>
      </c>
      <c r="L1188" s="126">
        <f>SUM(L1189:L1191)</f>
        <v>63</v>
      </c>
      <c r="M1188" s="124" t="s">
        <v>896</v>
      </c>
      <c r="N1188" s="124" t="s">
        <v>896</v>
      </c>
      <c r="O1188" s="127" t="s">
        <v>896</v>
      </c>
      <c r="P1188" s="128">
        <v>4715781.71</v>
      </c>
      <c r="Q1188" s="128">
        <f>Q1189+Q1190+Q1191</f>
        <v>0</v>
      </c>
      <c r="R1188" s="128">
        <f>R1189+R1190+R1191</f>
        <v>0</v>
      </c>
      <c r="S1188" s="128">
        <f>S1189+S1190+S1191</f>
        <v>4715781.71</v>
      </c>
      <c r="T1188" s="128">
        <f t="shared" si="361"/>
        <v>3724.3576923076921</v>
      </c>
      <c r="U1188" s="128">
        <f>MAX(U1189:U1191)</f>
        <v>5409.6436314363145</v>
      </c>
      <c r="V1188" s="257">
        <f t="shared" ref="V1188:V1250" si="368">U1188-T1188</f>
        <v>1685.2859391286224</v>
      </c>
      <c r="W1188" s="257"/>
      <c r="X1188" s="257"/>
      <c r="Y1188" s="258"/>
      <c r="Z1188" s="258"/>
      <c r="AA1188" s="258"/>
      <c r="AB1188" s="258"/>
      <c r="AC1188" s="258"/>
      <c r="AD1188" s="258"/>
      <c r="AE1188" s="258"/>
      <c r="AF1188" s="258"/>
      <c r="AG1188" s="258"/>
      <c r="AH1188" s="258"/>
      <c r="AI1188" s="258"/>
      <c r="AJ1188" s="258"/>
      <c r="AK1188" s="258"/>
      <c r="AL1188" s="258"/>
      <c r="AM1188" s="258"/>
      <c r="AN1188" s="258"/>
      <c r="AO1188" s="258"/>
    </row>
    <row r="1189" spans="1:191" s="196" customFormat="1" ht="36" customHeight="1" x14ac:dyDescent="0.25">
      <c r="A1189" s="259">
        <v>1</v>
      </c>
      <c r="B1189" s="135">
        <f>SUBTOTAL(103,$A$1000:A1189)</f>
        <v>164</v>
      </c>
      <c r="C1189" s="132" t="s">
        <v>798</v>
      </c>
      <c r="D1189" s="124">
        <v>1961</v>
      </c>
      <c r="E1189" s="124"/>
      <c r="F1189" s="134" t="s">
        <v>269</v>
      </c>
      <c r="G1189" s="124">
        <v>2</v>
      </c>
      <c r="H1189" s="124" t="s">
        <v>306</v>
      </c>
      <c r="I1189" s="125">
        <v>442.8</v>
      </c>
      <c r="J1189" s="125">
        <v>393.5</v>
      </c>
      <c r="K1189" s="125">
        <v>240.4</v>
      </c>
      <c r="L1189" s="133">
        <v>21</v>
      </c>
      <c r="M1189" s="124" t="s">
        <v>267</v>
      </c>
      <c r="N1189" s="124" t="s">
        <v>339</v>
      </c>
      <c r="O1189" s="124" t="s">
        <v>340</v>
      </c>
      <c r="P1189" s="125">
        <v>1710080.82</v>
      </c>
      <c r="Q1189" s="125">
        <v>0</v>
      </c>
      <c r="R1189" s="125">
        <v>0</v>
      </c>
      <c r="S1189" s="125">
        <f>P1189-Q1189-R1189</f>
        <v>1710080.82</v>
      </c>
      <c r="T1189" s="128">
        <f t="shared" si="361"/>
        <v>3861.9711382113824</v>
      </c>
      <c r="U1189" s="128">
        <v>5409.6436314363145</v>
      </c>
      <c r="V1189" s="257">
        <f t="shared" si="368"/>
        <v>1547.6724932249322</v>
      </c>
      <c r="W1189" s="257">
        <f t="shared" ref="W1189:W1191" si="369">X1189+Y1189+Z1189+AA1189+AB1189+AD1189+AF1189+AH1189+AJ1189+AL1189+AN1189+AO1189</f>
        <v>5409.6436314363145</v>
      </c>
      <c r="X1189" s="257">
        <v>0</v>
      </c>
      <c r="Y1189" s="258">
        <v>0</v>
      </c>
      <c r="Z1189" s="258">
        <v>0</v>
      </c>
      <c r="AA1189" s="258">
        <v>0</v>
      </c>
      <c r="AB1189" s="258">
        <v>0</v>
      </c>
      <c r="AC1189" s="258">
        <v>0</v>
      </c>
      <c r="AD1189" s="258">
        <v>0</v>
      </c>
      <c r="AE1189" s="258">
        <v>0</v>
      </c>
      <c r="AF1189" s="257">
        <v>0</v>
      </c>
      <c r="AG1189" s="258">
        <v>0</v>
      </c>
      <c r="AH1189" s="257">
        <v>0</v>
      </c>
      <c r="AI1189" s="258">
        <v>322</v>
      </c>
      <c r="AJ1189" s="257">
        <f>7439.1*AI1189/I1189</f>
        <v>5409.6436314363145</v>
      </c>
      <c r="AK1189" s="258">
        <v>0</v>
      </c>
      <c r="AL1189" s="258">
        <v>0</v>
      </c>
      <c r="AM1189" s="258">
        <v>0</v>
      </c>
      <c r="AN1189" s="258"/>
      <c r="AO1189" s="258">
        <v>0</v>
      </c>
      <c r="AP1189" s="259"/>
      <c r="DQ1189" s="263"/>
      <c r="DR1189" s="263"/>
      <c r="DS1189" s="263"/>
      <c r="EP1189" s="264"/>
      <c r="FS1189" s="265"/>
      <c r="GI1189" s="266"/>
    </row>
    <row r="1190" spans="1:191" s="196" customFormat="1" ht="36" customHeight="1" x14ac:dyDescent="0.25">
      <c r="A1190" s="259">
        <v>1</v>
      </c>
      <c r="B1190" s="135">
        <f>SUBTOTAL(103,$A$1000:A1190)</f>
        <v>165</v>
      </c>
      <c r="C1190" s="132" t="s">
        <v>183</v>
      </c>
      <c r="D1190" s="124">
        <v>1960</v>
      </c>
      <c r="E1190" s="124"/>
      <c r="F1190" s="134" t="s">
        <v>269</v>
      </c>
      <c r="G1190" s="124">
        <v>2</v>
      </c>
      <c r="H1190" s="124" t="s">
        <v>306</v>
      </c>
      <c r="I1190" s="125">
        <v>442.6</v>
      </c>
      <c r="J1190" s="125">
        <v>400.2</v>
      </c>
      <c r="K1190" s="125">
        <v>353.8</v>
      </c>
      <c r="L1190" s="133">
        <v>21</v>
      </c>
      <c r="M1190" s="124" t="s">
        <v>267</v>
      </c>
      <c r="N1190" s="124" t="s">
        <v>339</v>
      </c>
      <c r="O1190" s="124" t="s">
        <v>340</v>
      </c>
      <c r="P1190" s="125">
        <v>1452729.9</v>
      </c>
      <c r="Q1190" s="125">
        <v>0</v>
      </c>
      <c r="R1190" s="125">
        <v>0</v>
      </c>
      <c r="S1190" s="125">
        <f>P1190-Q1190-R1190</f>
        <v>1452729.9</v>
      </c>
      <c r="T1190" s="128">
        <f t="shared" si="361"/>
        <v>3282.2636692272927</v>
      </c>
      <c r="U1190" s="128">
        <v>3677.4726615454128</v>
      </c>
      <c r="V1190" s="257">
        <f t="shared" si="368"/>
        <v>395.20899231812018</v>
      </c>
      <c r="W1190" s="257">
        <f t="shared" si="369"/>
        <v>3664.9719837324892</v>
      </c>
      <c r="X1190" s="257">
        <v>0</v>
      </c>
      <c r="Y1190" s="258">
        <v>0</v>
      </c>
      <c r="Z1190" s="258">
        <v>0</v>
      </c>
      <c r="AA1190" s="258">
        <v>0</v>
      </c>
      <c r="AB1190" s="258">
        <v>0</v>
      </c>
      <c r="AC1190" s="258">
        <v>0</v>
      </c>
      <c r="AD1190" s="258">
        <v>0</v>
      </c>
      <c r="AE1190" s="258">
        <v>260</v>
      </c>
      <c r="AF1190" s="257">
        <f>6238.91*AE1190/I1190</f>
        <v>3664.9719837324892</v>
      </c>
      <c r="AG1190" s="258">
        <v>0</v>
      </c>
      <c r="AH1190" s="257">
        <v>0</v>
      </c>
      <c r="AI1190" s="258">
        <v>0</v>
      </c>
      <c r="AJ1190" s="257">
        <v>0</v>
      </c>
      <c r="AK1190" s="258">
        <v>0</v>
      </c>
      <c r="AL1190" s="258">
        <v>0</v>
      </c>
      <c r="AM1190" s="258">
        <v>0</v>
      </c>
      <c r="AN1190" s="258"/>
      <c r="AO1190" s="258">
        <v>0</v>
      </c>
      <c r="AP1190" s="259"/>
      <c r="DQ1190" s="263"/>
      <c r="DR1190" s="263"/>
      <c r="DS1190" s="263"/>
      <c r="EP1190" s="264"/>
      <c r="FS1190" s="265"/>
      <c r="GI1190" s="266"/>
    </row>
    <row r="1191" spans="1:191" s="196" customFormat="1" ht="36" customHeight="1" x14ac:dyDescent="0.25">
      <c r="A1191" s="259">
        <v>1</v>
      </c>
      <c r="B1191" s="135">
        <f>SUBTOTAL(103,$A$1000:A1191)</f>
        <v>166</v>
      </c>
      <c r="C1191" s="132" t="s">
        <v>181</v>
      </c>
      <c r="D1191" s="124">
        <v>1968</v>
      </c>
      <c r="E1191" s="124"/>
      <c r="F1191" s="134" t="s">
        <v>269</v>
      </c>
      <c r="G1191" s="124">
        <v>2</v>
      </c>
      <c r="H1191" s="124" t="s">
        <v>306</v>
      </c>
      <c r="I1191" s="125">
        <v>380.8</v>
      </c>
      <c r="J1191" s="125">
        <v>351.2</v>
      </c>
      <c r="K1191" s="125">
        <v>328.3</v>
      </c>
      <c r="L1191" s="133">
        <v>21</v>
      </c>
      <c r="M1191" s="124" t="s">
        <v>267</v>
      </c>
      <c r="N1191" s="124" t="s">
        <v>339</v>
      </c>
      <c r="O1191" s="124" t="s">
        <v>340</v>
      </c>
      <c r="P1191" s="125">
        <v>1552970.99</v>
      </c>
      <c r="Q1191" s="125">
        <v>0</v>
      </c>
      <c r="R1191" s="125">
        <v>0</v>
      </c>
      <c r="S1191" s="125">
        <f>P1191-Q1191-R1191</f>
        <v>1552970.99</v>
      </c>
      <c r="T1191" s="128">
        <f t="shared" si="361"/>
        <v>4078.180120798319</v>
      </c>
      <c r="U1191" s="128">
        <v>4652.3996060924364</v>
      </c>
      <c r="V1191" s="257">
        <f t="shared" si="368"/>
        <v>574.21948529411748</v>
      </c>
      <c r="W1191" s="257">
        <f t="shared" si="369"/>
        <v>4636.584900210084</v>
      </c>
      <c r="X1191" s="257">
        <v>0</v>
      </c>
      <c r="Y1191" s="258">
        <v>0</v>
      </c>
      <c r="Z1191" s="258">
        <v>0</v>
      </c>
      <c r="AA1191" s="258">
        <v>0</v>
      </c>
      <c r="AB1191" s="258">
        <v>0</v>
      </c>
      <c r="AC1191" s="258">
        <v>0</v>
      </c>
      <c r="AD1191" s="258">
        <v>0</v>
      </c>
      <c r="AE1191" s="258">
        <v>283</v>
      </c>
      <c r="AF1191" s="257">
        <f>6238.91*AE1191/I1191</f>
        <v>4636.584900210084</v>
      </c>
      <c r="AG1191" s="258">
        <v>0</v>
      </c>
      <c r="AH1191" s="257">
        <v>0</v>
      </c>
      <c r="AI1191" s="258">
        <v>0</v>
      </c>
      <c r="AJ1191" s="257">
        <v>0</v>
      </c>
      <c r="AK1191" s="258">
        <v>0</v>
      </c>
      <c r="AL1191" s="258">
        <v>0</v>
      </c>
      <c r="AM1191" s="258">
        <v>0</v>
      </c>
      <c r="AN1191" s="258"/>
      <c r="AO1191" s="258">
        <v>0</v>
      </c>
      <c r="AP1191" s="259"/>
      <c r="DQ1191" s="263"/>
      <c r="DR1191" s="263"/>
      <c r="DS1191" s="263"/>
      <c r="EP1191" s="264"/>
      <c r="FS1191" s="265"/>
      <c r="GI1191" s="266"/>
    </row>
    <row r="1192" spans="1:191" s="259" customFormat="1" ht="36" customHeight="1" x14ac:dyDescent="0.25">
      <c r="B1192" s="94" t="s">
        <v>841</v>
      </c>
      <c r="C1192" s="94"/>
      <c r="D1192" s="124" t="s">
        <v>896</v>
      </c>
      <c r="E1192" s="124" t="s">
        <v>896</v>
      </c>
      <c r="F1192" s="124" t="s">
        <v>896</v>
      </c>
      <c r="G1192" s="124" t="s">
        <v>896</v>
      </c>
      <c r="H1192" s="124" t="s">
        <v>896</v>
      </c>
      <c r="I1192" s="125">
        <f>SUM(I1193:I1194)</f>
        <v>666.5</v>
      </c>
      <c r="J1192" s="125">
        <f>SUM(J1193:J1194)</f>
        <v>608.5</v>
      </c>
      <c r="K1192" s="125">
        <f>SUM(K1193:K1194)</f>
        <v>430.2</v>
      </c>
      <c r="L1192" s="126">
        <f>SUM(L1193:L1194)</f>
        <v>37</v>
      </c>
      <c r="M1192" s="124" t="s">
        <v>896</v>
      </c>
      <c r="N1192" s="124" t="s">
        <v>896</v>
      </c>
      <c r="O1192" s="127" t="s">
        <v>896</v>
      </c>
      <c r="P1192" s="128">
        <v>2590114.16</v>
      </c>
      <c r="Q1192" s="128">
        <f>Q1193+Q1194</f>
        <v>0</v>
      </c>
      <c r="R1192" s="128">
        <f>R1193+R1194</f>
        <v>0</v>
      </c>
      <c r="S1192" s="128">
        <f>S1193+S1194</f>
        <v>2590114.16</v>
      </c>
      <c r="T1192" s="128">
        <f t="shared" si="361"/>
        <v>3886.1427756939238</v>
      </c>
      <c r="U1192" s="128">
        <f>MAX(U1193:U1194)</f>
        <v>4457.7204334365324</v>
      </c>
      <c r="V1192" s="257">
        <f t="shared" si="368"/>
        <v>571.57765774260861</v>
      </c>
      <c r="W1192" s="257"/>
      <c r="X1192" s="257"/>
      <c r="Y1192" s="258"/>
      <c r="Z1192" s="258"/>
      <c r="AA1192" s="258"/>
      <c r="AB1192" s="258"/>
      <c r="AC1192" s="258"/>
      <c r="AD1192" s="258"/>
      <c r="AE1192" s="258"/>
      <c r="AF1192" s="258"/>
      <c r="AG1192" s="258"/>
      <c r="AH1192" s="258"/>
      <c r="AI1192" s="258"/>
      <c r="AJ1192" s="258"/>
      <c r="AK1192" s="258"/>
      <c r="AL1192" s="258"/>
      <c r="AM1192" s="258"/>
      <c r="AN1192" s="258"/>
      <c r="AO1192" s="258"/>
    </row>
    <row r="1193" spans="1:191" s="196" customFormat="1" ht="36" customHeight="1" x14ac:dyDescent="0.25">
      <c r="A1193" s="259">
        <v>1</v>
      </c>
      <c r="B1193" s="135">
        <f>SUBTOTAL(103,$A$1000:A1193)</f>
        <v>167</v>
      </c>
      <c r="C1193" s="132" t="s">
        <v>1708</v>
      </c>
      <c r="D1193" s="124">
        <v>1968</v>
      </c>
      <c r="E1193" s="124"/>
      <c r="F1193" s="134" t="s">
        <v>269</v>
      </c>
      <c r="G1193" s="124">
        <v>2</v>
      </c>
      <c r="H1193" s="124" t="s">
        <v>306</v>
      </c>
      <c r="I1193" s="125">
        <v>323</v>
      </c>
      <c r="J1193" s="125">
        <v>293</v>
      </c>
      <c r="K1193" s="125">
        <v>114.7</v>
      </c>
      <c r="L1193" s="133">
        <v>17</v>
      </c>
      <c r="M1193" s="124" t="s">
        <v>267</v>
      </c>
      <c r="N1193" s="124" t="s">
        <v>339</v>
      </c>
      <c r="O1193" s="124" t="s">
        <v>341</v>
      </c>
      <c r="P1193" s="125">
        <v>1262131.9000000001</v>
      </c>
      <c r="Q1193" s="125">
        <v>0</v>
      </c>
      <c r="R1193" s="125">
        <v>0</v>
      </c>
      <c r="S1193" s="125">
        <f>P1193-Q1193-R1193</f>
        <v>1262131.9000000001</v>
      </c>
      <c r="T1193" s="128">
        <f t="shared" si="361"/>
        <v>3907.5291021671833</v>
      </c>
      <c r="U1193" s="128">
        <v>4457.7204334365324</v>
      </c>
      <c r="V1193" s="257">
        <f t="shared" si="368"/>
        <v>550.19133126934912</v>
      </c>
      <c r="W1193" s="257">
        <f t="shared" ref="W1193:W1194" si="370">X1193+Y1193+Z1193+AA1193+AB1193+AD1193+AF1193+AH1193+AJ1193+AL1193+AN1193+AO1193</f>
        <v>4442.567492260062</v>
      </c>
      <c r="X1193" s="257">
        <v>0</v>
      </c>
      <c r="Y1193" s="258">
        <v>0</v>
      </c>
      <c r="Z1193" s="258">
        <v>0</v>
      </c>
      <c r="AA1193" s="258">
        <v>0</v>
      </c>
      <c r="AB1193" s="258">
        <v>0</v>
      </c>
      <c r="AC1193" s="258">
        <v>0</v>
      </c>
      <c r="AD1193" s="258">
        <v>0</v>
      </c>
      <c r="AE1193" s="258">
        <v>230</v>
      </c>
      <c r="AF1193" s="257">
        <f>6238.91*AE1193/I1193</f>
        <v>4442.567492260062</v>
      </c>
      <c r="AG1193" s="258">
        <v>0</v>
      </c>
      <c r="AH1193" s="257">
        <v>0</v>
      </c>
      <c r="AI1193" s="258">
        <v>0</v>
      </c>
      <c r="AJ1193" s="257">
        <v>0</v>
      </c>
      <c r="AK1193" s="258">
        <v>0</v>
      </c>
      <c r="AL1193" s="258">
        <v>0</v>
      </c>
      <c r="AM1193" s="258">
        <v>0</v>
      </c>
      <c r="AN1193" s="258"/>
      <c r="AO1193" s="258">
        <v>0</v>
      </c>
      <c r="AP1193" s="259"/>
      <c r="DQ1193" s="263"/>
      <c r="DR1193" s="263"/>
      <c r="DS1193" s="263"/>
      <c r="EP1193" s="264"/>
      <c r="FS1193" s="265"/>
      <c r="GI1193" s="266"/>
    </row>
    <row r="1194" spans="1:191" s="196" customFormat="1" ht="36" customHeight="1" x14ac:dyDescent="0.25">
      <c r="A1194" s="259">
        <v>1</v>
      </c>
      <c r="B1194" s="135">
        <f>SUBTOTAL(103,$A$1000:A1194)</f>
        <v>168</v>
      </c>
      <c r="C1194" s="132" t="s">
        <v>178</v>
      </c>
      <c r="D1194" s="124">
        <v>1970</v>
      </c>
      <c r="E1194" s="124"/>
      <c r="F1194" s="134" t="s">
        <v>269</v>
      </c>
      <c r="G1194" s="124">
        <v>2</v>
      </c>
      <c r="H1194" s="124" t="s">
        <v>306</v>
      </c>
      <c r="I1194" s="125">
        <v>343.5</v>
      </c>
      <c r="J1194" s="125">
        <v>315.5</v>
      </c>
      <c r="K1194" s="125">
        <v>315.5</v>
      </c>
      <c r="L1194" s="133">
        <v>20</v>
      </c>
      <c r="M1194" s="124" t="s">
        <v>267</v>
      </c>
      <c r="N1194" s="124" t="s">
        <v>339</v>
      </c>
      <c r="O1194" s="124" t="s">
        <v>341</v>
      </c>
      <c r="P1194" s="125">
        <v>1327982.26</v>
      </c>
      <c r="Q1194" s="125">
        <v>0</v>
      </c>
      <c r="R1194" s="125">
        <v>0</v>
      </c>
      <c r="S1194" s="125">
        <f>P1194-Q1194-R1194</f>
        <v>1327982.26</v>
      </c>
      <c r="T1194" s="128">
        <f t="shared" si="361"/>
        <v>3866.0327802037846</v>
      </c>
      <c r="U1194" s="128">
        <v>4410.3813100436682</v>
      </c>
      <c r="V1194" s="257">
        <f t="shared" si="368"/>
        <v>544.34852983988367</v>
      </c>
      <c r="W1194" s="257">
        <f t="shared" si="370"/>
        <v>4395.3892867540026</v>
      </c>
      <c r="X1194" s="257">
        <v>0</v>
      </c>
      <c r="Y1194" s="258">
        <v>0</v>
      </c>
      <c r="Z1194" s="258">
        <v>0</v>
      </c>
      <c r="AA1194" s="258">
        <v>0</v>
      </c>
      <c r="AB1194" s="258">
        <v>0</v>
      </c>
      <c r="AC1194" s="258">
        <v>0</v>
      </c>
      <c r="AD1194" s="258">
        <v>0</v>
      </c>
      <c r="AE1194" s="258">
        <v>242</v>
      </c>
      <c r="AF1194" s="257">
        <f>6238.91*AE1194/I1194</f>
        <v>4395.3892867540026</v>
      </c>
      <c r="AG1194" s="258">
        <v>0</v>
      </c>
      <c r="AH1194" s="257">
        <v>0</v>
      </c>
      <c r="AI1194" s="258">
        <v>0</v>
      </c>
      <c r="AJ1194" s="257">
        <v>0</v>
      </c>
      <c r="AK1194" s="258">
        <v>0</v>
      </c>
      <c r="AL1194" s="258">
        <v>0</v>
      </c>
      <c r="AM1194" s="258">
        <v>0</v>
      </c>
      <c r="AN1194" s="258"/>
      <c r="AO1194" s="258">
        <v>0</v>
      </c>
      <c r="AP1194" s="259"/>
      <c r="DQ1194" s="263"/>
      <c r="DR1194" s="263"/>
      <c r="DS1194" s="263"/>
      <c r="EP1194" s="264"/>
      <c r="FS1194" s="265"/>
      <c r="GI1194" s="266"/>
    </row>
    <row r="1195" spans="1:191" s="259" customFormat="1" ht="36" customHeight="1" x14ac:dyDescent="0.25">
      <c r="B1195" s="94" t="s">
        <v>842</v>
      </c>
      <c r="C1195" s="94"/>
      <c r="D1195" s="124" t="s">
        <v>896</v>
      </c>
      <c r="E1195" s="124" t="s">
        <v>896</v>
      </c>
      <c r="F1195" s="124" t="s">
        <v>896</v>
      </c>
      <c r="G1195" s="124" t="s">
        <v>896</v>
      </c>
      <c r="H1195" s="124" t="s">
        <v>896</v>
      </c>
      <c r="I1195" s="125">
        <f>I1196</f>
        <v>1217.2</v>
      </c>
      <c r="J1195" s="125">
        <f>J1196</f>
        <v>862.2</v>
      </c>
      <c r="K1195" s="125">
        <f>K1196</f>
        <v>862.2</v>
      </c>
      <c r="L1195" s="126">
        <f>L1196</f>
        <v>47</v>
      </c>
      <c r="M1195" s="124" t="s">
        <v>896</v>
      </c>
      <c r="N1195" s="124" t="s">
        <v>896</v>
      </c>
      <c r="O1195" s="127" t="s">
        <v>896</v>
      </c>
      <c r="P1195" s="128">
        <v>1456533.11</v>
      </c>
      <c r="Q1195" s="128">
        <f>Q1196</f>
        <v>0</v>
      </c>
      <c r="R1195" s="128">
        <f>R1196</f>
        <v>0</v>
      </c>
      <c r="S1195" s="128">
        <f>S1196</f>
        <v>1456533.11</v>
      </c>
      <c r="T1195" s="128">
        <f t="shared" si="361"/>
        <v>1196.6259530069012</v>
      </c>
      <c r="U1195" s="128">
        <f>U1196</f>
        <v>1440.0699967137691</v>
      </c>
      <c r="V1195" s="257">
        <f t="shared" si="368"/>
        <v>243.44404370686789</v>
      </c>
      <c r="W1195" s="257"/>
      <c r="X1195" s="257"/>
      <c r="Y1195" s="258"/>
      <c r="Z1195" s="258"/>
      <c r="AA1195" s="258"/>
      <c r="AB1195" s="258"/>
      <c r="AC1195" s="258"/>
      <c r="AD1195" s="258"/>
      <c r="AE1195" s="258"/>
      <c r="AF1195" s="258"/>
      <c r="AG1195" s="258"/>
      <c r="AH1195" s="258"/>
      <c r="AI1195" s="258"/>
      <c r="AJ1195" s="258"/>
      <c r="AK1195" s="258"/>
      <c r="AL1195" s="258"/>
      <c r="AM1195" s="258"/>
      <c r="AN1195" s="258"/>
      <c r="AO1195" s="258"/>
    </row>
    <row r="1196" spans="1:191" s="196" customFormat="1" ht="36" customHeight="1" x14ac:dyDescent="0.25">
      <c r="A1196" s="259">
        <v>1</v>
      </c>
      <c r="B1196" s="135">
        <f>SUBTOTAL(103,$A$1000:A1196)</f>
        <v>169</v>
      </c>
      <c r="C1196" s="132" t="s">
        <v>799</v>
      </c>
      <c r="D1196" s="124">
        <v>1980</v>
      </c>
      <c r="E1196" s="124"/>
      <c r="F1196" s="134" t="s">
        <v>269</v>
      </c>
      <c r="G1196" s="124">
        <v>2</v>
      </c>
      <c r="H1196" s="124" t="s">
        <v>314</v>
      </c>
      <c r="I1196" s="125">
        <v>1217.2</v>
      </c>
      <c r="J1196" s="125">
        <v>862.2</v>
      </c>
      <c r="K1196" s="125">
        <v>862.2</v>
      </c>
      <c r="L1196" s="133">
        <v>47</v>
      </c>
      <c r="M1196" s="124" t="s">
        <v>267</v>
      </c>
      <c r="N1196" s="124" t="s">
        <v>343</v>
      </c>
      <c r="O1196" s="124" t="s">
        <v>818</v>
      </c>
      <c r="P1196" s="125">
        <v>1456533.11</v>
      </c>
      <c r="Q1196" s="125">
        <v>0</v>
      </c>
      <c r="R1196" s="125">
        <v>0</v>
      </c>
      <c r="S1196" s="125">
        <f>P1196-Q1196-R1196</f>
        <v>1456533.11</v>
      </c>
      <c r="T1196" s="128">
        <f t="shared" si="361"/>
        <v>1196.6259530069012</v>
      </c>
      <c r="U1196" s="128">
        <v>1440.0699967137691</v>
      </c>
      <c r="V1196" s="257">
        <f>U1196-T1196</f>
        <v>243.44404370686789</v>
      </c>
      <c r="W1196" s="257">
        <f>X1196+Y1196+Z1196+AA1196+AB1196+AD1196+AF1196+AH1196+AJ1196+AL1196+AN1196+AO1196</f>
        <v>1435.1748274728886</v>
      </c>
      <c r="X1196" s="257">
        <v>0</v>
      </c>
      <c r="Y1196" s="258">
        <v>0</v>
      </c>
      <c r="Z1196" s="258">
        <v>0</v>
      </c>
      <c r="AA1196" s="258">
        <v>0</v>
      </c>
      <c r="AB1196" s="258">
        <v>0</v>
      </c>
      <c r="AC1196" s="258">
        <v>0</v>
      </c>
      <c r="AD1196" s="258">
        <v>0</v>
      </c>
      <c r="AE1196" s="258">
        <v>280</v>
      </c>
      <c r="AF1196" s="257">
        <f>6238.91*AE1196/I1196</f>
        <v>1435.1748274728886</v>
      </c>
      <c r="AG1196" s="258">
        <v>0</v>
      </c>
      <c r="AH1196" s="257">
        <v>0</v>
      </c>
      <c r="AI1196" s="258">
        <v>0</v>
      </c>
      <c r="AJ1196" s="257">
        <v>0</v>
      </c>
      <c r="AK1196" s="258">
        <v>0</v>
      </c>
      <c r="AL1196" s="258">
        <v>0</v>
      </c>
      <c r="AM1196" s="258">
        <v>0</v>
      </c>
      <c r="AN1196" s="258"/>
      <c r="AO1196" s="258">
        <v>0</v>
      </c>
      <c r="AP1196" s="259"/>
      <c r="DQ1196" s="263"/>
      <c r="DR1196" s="263"/>
      <c r="DS1196" s="263"/>
      <c r="EP1196" s="264"/>
      <c r="FS1196" s="265"/>
      <c r="GI1196" s="266"/>
    </row>
    <row r="1197" spans="1:191" s="259" customFormat="1" ht="36" customHeight="1" x14ac:dyDescent="0.25">
      <c r="B1197" s="94" t="s">
        <v>844</v>
      </c>
      <c r="C1197" s="261"/>
      <c r="D1197" s="124" t="s">
        <v>896</v>
      </c>
      <c r="E1197" s="124" t="s">
        <v>896</v>
      </c>
      <c r="F1197" s="124" t="s">
        <v>896</v>
      </c>
      <c r="G1197" s="124" t="s">
        <v>896</v>
      </c>
      <c r="H1197" s="124" t="s">
        <v>896</v>
      </c>
      <c r="I1197" s="125">
        <f>SUM(I1198:I1200)</f>
        <v>1774</v>
      </c>
      <c r="J1197" s="125">
        <f>SUM(J1198:J1200)</f>
        <v>1612.3</v>
      </c>
      <c r="K1197" s="125">
        <f>SUM(K1198:K1200)</f>
        <v>1526.7</v>
      </c>
      <c r="L1197" s="126">
        <f>SUM(L1198:L1200)</f>
        <v>80</v>
      </c>
      <c r="M1197" s="124" t="s">
        <v>896</v>
      </c>
      <c r="N1197" s="124" t="s">
        <v>896</v>
      </c>
      <c r="O1197" s="127" t="s">
        <v>896</v>
      </c>
      <c r="P1197" s="128">
        <v>10290828.25</v>
      </c>
      <c r="Q1197" s="128">
        <f>Q1198+Q1199+Q1200</f>
        <v>0</v>
      </c>
      <c r="R1197" s="128">
        <f>R1198+R1199+R1200</f>
        <v>0</v>
      </c>
      <c r="S1197" s="128">
        <f>S1198+S1199+S1200</f>
        <v>10290828.25</v>
      </c>
      <c r="T1197" s="128">
        <f t="shared" si="361"/>
        <v>5800.9178410372042</v>
      </c>
      <c r="U1197" s="128">
        <f>MAX(U1198:U1200)</f>
        <v>9447.5900544285014</v>
      </c>
      <c r="V1197" s="257">
        <f t="shared" si="368"/>
        <v>3646.6722133912972</v>
      </c>
      <c r="W1197" s="257"/>
      <c r="X1197" s="257"/>
      <c r="Y1197" s="258"/>
      <c r="Z1197" s="258"/>
      <c r="AA1197" s="258"/>
      <c r="AB1197" s="258"/>
      <c r="AC1197" s="258"/>
      <c r="AD1197" s="258"/>
      <c r="AE1197" s="258"/>
      <c r="AF1197" s="258"/>
      <c r="AG1197" s="258"/>
      <c r="AH1197" s="258"/>
      <c r="AI1197" s="258"/>
      <c r="AJ1197" s="258"/>
      <c r="AK1197" s="258"/>
      <c r="AL1197" s="258"/>
      <c r="AM1197" s="258"/>
      <c r="AN1197" s="258"/>
      <c r="AO1197" s="258"/>
    </row>
    <row r="1198" spans="1:191" s="196" customFormat="1" ht="36" customHeight="1" x14ac:dyDescent="0.25">
      <c r="A1198" s="259">
        <v>1</v>
      </c>
      <c r="B1198" s="135">
        <f>SUBTOTAL(103,$A$1000:A1198)</f>
        <v>170</v>
      </c>
      <c r="C1198" s="132" t="s">
        <v>85</v>
      </c>
      <c r="D1198" s="124">
        <v>1952</v>
      </c>
      <c r="E1198" s="124"/>
      <c r="F1198" s="134" t="s">
        <v>269</v>
      </c>
      <c r="G1198" s="124">
        <v>2</v>
      </c>
      <c r="H1198" s="124" t="s">
        <v>305</v>
      </c>
      <c r="I1198" s="125">
        <v>744</v>
      </c>
      <c r="J1198" s="125">
        <v>669.9</v>
      </c>
      <c r="K1198" s="125">
        <v>617</v>
      </c>
      <c r="L1198" s="133">
        <v>23</v>
      </c>
      <c r="M1198" s="124" t="s">
        <v>267</v>
      </c>
      <c r="N1198" s="124" t="s">
        <v>268</v>
      </c>
      <c r="O1198" s="124" t="s">
        <v>270</v>
      </c>
      <c r="P1198" s="125">
        <v>3665226.5</v>
      </c>
      <c r="Q1198" s="125">
        <v>0</v>
      </c>
      <c r="R1198" s="125">
        <v>0</v>
      </c>
      <c r="S1198" s="125">
        <f>P1198-Q1198-R1198</f>
        <v>3665226.5</v>
      </c>
      <c r="T1198" s="128">
        <f t="shared" si="361"/>
        <v>4926.3797043010754</v>
      </c>
      <c r="U1198" s="128">
        <v>5469.2520161290313</v>
      </c>
      <c r="V1198" s="257">
        <f t="shared" si="368"/>
        <v>542.87231182795585</v>
      </c>
      <c r="W1198" s="257">
        <f t="shared" ref="W1198:W1200" si="371">X1198+Y1198+Z1198+AA1198+AB1198+AD1198+AF1198+AH1198+AJ1198+AL1198+AN1198+AO1198</f>
        <v>5450.6606182795695</v>
      </c>
      <c r="X1198" s="257">
        <v>0</v>
      </c>
      <c r="Y1198" s="258">
        <v>0</v>
      </c>
      <c r="Z1198" s="258">
        <v>0</v>
      </c>
      <c r="AA1198" s="258">
        <v>0</v>
      </c>
      <c r="AB1198" s="258">
        <v>0</v>
      </c>
      <c r="AC1198" s="258">
        <v>0</v>
      </c>
      <c r="AD1198" s="258">
        <v>0</v>
      </c>
      <c r="AE1198" s="258">
        <v>650</v>
      </c>
      <c r="AF1198" s="257">
        <f>6238.91*AE1198/I1198</f>
        <v>5450.6606182795695</v>
      </c>
      <c r="AG1198" s="258">
        <v>0</v>
      </c>
      <c r="AH1198" s="257">
        <v>0</v>
      </c>
      <c r="AI1198" s="258">
        <v>0</v>
      </c>
      <c r="AJ1198" s="257">
        <v>0</v>
      </c>
      <c r="AK1198" s="258">
        <v>0</v>
      </c>
      <c r="AL1198" s="258">
        <v>0</v>
      </c>
      <c r="AM1198" s="258">
        <v>0</v>
      </c>
      <c r="AN1198" s="258"/>
      <c r="AO1198" s="258">
        <v>0</v>
      </c>
      <c r="AP1198" s="259"/>
      <c r="DQ1198" s="263"/>
      <c r="DR1198" s="263"/>
      <c r="DS1198" s="263"/>
      <c r="EP1198" s="264"/>
      <c r="FS1198" s="265"/>
      <c r="GI1198" s="266"/>
    </row>
    <row r="1199" spans="1:191" s="196" customFormat="1" ht="36" customHeight="1" x14ac:dyDescent="0.25">
      <c r="A1199" s="259">
        <v>1</v>
      </c>
      <c r="B1199" s="135">
        <f>SUBTOTAL(103,$A$1000:A1199)</f>
        <v>171</v>
      </c>
      <c r="C1199" s="132" t="s">
        <v>86</v>
      </c>
      <c r="D1199" s="124">
        <v>1951</v>
      </c>
      <c r="E1199" s="124"/>
      <c r="F1199" s="134" t="s">
        <v>269</v>
      </c>
      <c r="G1199" s="124">
        <v>2</v>
      </c>
      <c r="H1199" s="124" t="s">
        <v>305</v>
      </c>
      <c r="I1199" s="125">
        <v>625.79999999999995</v>
      </c>
      <c r="J1199" s="125">
        <v>578.70000000000005</v>
      </c>
      <c r="K1199" s="125">
        <v>546</v>
      </c>
      <c r="L1199" s="133">
        <v>42</v>
      </c>
      <c r="M1199" s="124" t="s">
        <v>267</v>
      </c>
      <c r="N1199" s="124" t="s">
        <v>268</v>
      </c>
      <c r="O1199" s="124" t="s">
        <v>270</v>
      </c>
      <c r="P1199" s="125">
        <v>3185927.6500000004</v>
      </c>
      <c r="Q1199" s="125">
        <v>0</v>
      </c>
      <c r="R1199" s="125">
        <v>0</v>
      </c>
      <c r="S1199" s="125">
        <f>P1199-Q1199-R1199</f>
        <v>3185927.6500000004</v>
      </c>
      <c r="T1199" s="128">
        <f t="shared" si="361"/>
        <v>5090.9678012144468</v>
      </c>
      <c r="U1199" s="128">
        <v>5651.9772291466925</v>
      </c>
      <c r="V1199" s="257">
        <f t="shared" si="368"/>
        <v>561.00942793224567</v>
      </c>
      <c r="W1199" s="257">
        <f t="shared" si="371"/>
        <v>5632.7647011824865</v>
      </c>
      <c r="X1199" s="257">
        <v>0</v>
      </c>
      <c r="Y1199" s="258">
        <v>0</v>
      </c>
      <c r="Z1199" s="258">
        <v>0</v>
      </c>
      <c r="AA1199" s="258">
        <v>0</v>
      </c>
      <c r="AB1199" s="258">
        <v>0</v>
      </c>
      <c r="AC1199" s="258">
        <v>0</v>
      </c>
      <c r="AD1199" s="258">
        <v>0</v>
      </c>
      <c r="AE1199" s="258">
        <v>565</v>
      </c>
      <c r="AF1199" s="257">
        <f>6238.91*AE1199/I1199</f>
        <v>5632.7647011824865</v>
      </c>
      <c r="AG1199" s="258">
        <v>0</v>
      </c>
      <c r="AH1199" s="257">
        <v>0</v>
      </c>
      <c r="AI1199" s="258">
        <v>0</v>
      </c>
      <c r="AJ1199" s="257">
        <v>0</v>
      </c>
      <c r="AK1199" s="258">
        <v>0</v>
      </c>
      <c r="AL1199" s="258">
        <v>0</v>
      </c>
      <c r="AM1199" s="258">
        <v>0</v>
      </c>
      <c r="AN1199" s="258"/>
      <c r="AO1199" s="258">
        <v>0</v>
      </c>
      <c r="AP1199" s="259"/>
      <c r="DQ1199" s="263"/>
      <c r="DR1199" s="263"/>
      <c r="DS1199" s="263"/>
      <c r="EP1199" s="264"/>
      <c r="FS1199" s="265"/>
      <c r="GI1199" s="266"/>
    </row>
    <row r="1200" spans="1:191" s="196" customFormat="1" ht="36" customHeight="1" x14ac:dyDescent="0.25">
      <c r="A1200" s="259">
        <v>1</v>
      </c>
      <c r="B1200" s="135">
        <f>SUBTOTAL(103,$A$1000:A1200)</f>
        <v>172</v>
      </c>
      <c r="C1200" s="132" t="s">
        <v>84</v>
      </c>
      <c r="D1200" s="124">
        <v>1951</v>
      </c>
      <c r="E1200" s="124"/>
      <c r="F1200" s="134" t="s">
        <v>269</v>
      </c>
      <c r="G1200" s="124">
        <v>2</v>
      </c>
      <c r="H1200" s="124" t="s">
        <v>305</v>
      </c>
      <c r="I1200" s="125">
        <v>404.2</v>
      </c>
      <c r="J1200" s="125">
        <v>363.7</v>
      </c>
      <c r="K1200" s="125">
        <v>363.7</v>
      </c>
      <c r="L1200" s="133">
        <v>15</v>
      </c>
      <c r="M1200" s="124" t="s">
        <v>267</v>
      </c>
      <c r="N1200" s="124" t="s">
        <v>268</v>
      </c>
      <c r="O1200" s="124" t="s">
        <v>270</v>
      </c>
      <c r="P1200" s="125">
        <v>3439674.1</v>
      </c>
      <c r="Q1200" s="125">
        <v>0</v>
      </c>
      <c r="R1200" s="125">
        <v>0</v>
      </c>
      <c r="S1200" s="125">
        <f>P1200-Q1200-R1200</f>
        <v>3439674.1</v>
      </c>
      <c r="T1200" s="128">
        <f t="shared" si="361"/>
        <v>8509.8320138545278</v>
      </c>
      <c r="U1200" s="128">
        <v>9447.5900544285014</v>
      </c>
      <c r="V1200" s="257">
        <f t="shared" si="368"/>
        <v>937.75804057397363</v>
      </c>
      <c r="W1200" s="257">
        <f t="shared" si="371"/>
        <v>9415.4752597723909</v>
      </c>
      <c r="X1200" s="257">
        <v>0</v>
      </c>
      <c r="Y1200" s="258">
        <v>0</v>
      </c>
      <c r="Z1200" s="258">
        <v>0</v>
      </c>
      <c r="AA1200" s="258">
        <v>0</v>
      </c>
      <c r="AB1200" s="258">
        <v>0</v>
      </c>
      <c r="AC1200" s="258">
        <v>0</v>
      </c>
      <c r="AD1200" s="258">
        <v>0</v>
      </c>
      <c r="AE1200" s="258">
        <v>610</v>
      </c>
      <c r="AF1200" s="257">
        <f>6238.91*AE1200/I1200</f>
        <v>9415.4752597723909</v>
      </c>
      <c r="AG1200" s="258">
        <v>0</v>
      </c>
      <c r="AH1200" s="257">
        <v>0</v>
      </c>
      <c r="AI1200" s="258">
        <v>0</v>
      </c>
      <c r="AJ1200" s="257">
        <v>0</v>
      </c>
      <c r="AK1200" s="258">
        <v>0</v>
      </c>
      <c r="AL1200" s="258">
        <v>0</v>
      </c>
      <c r="AM1200" s="258">
        <v>0</v>
      </c>
      <c r="AN1200" s="258"/>
      <c r="AO1200" s="258">
        <v>0</v>
      </c>
      <c r="AP1200" s="259"/>
      <c r="DQ1200" s="263"/>
      <c r="DR1200" s="263"/>
      <c r="DS1200" s="263"/>
      <c r="EP1200" s="264"/>
      <c r="FS1200" s="265"/>
      <c r="GI1200" s="266"/>
    </row>
    <row r="1201" spans="1:191" s="259" customFormat="1" ht="36" customHeight="1" x14ac:dyDescent="0.25">
      <c r="B1201" s="94" t="s">
        <v>845</v>
      </c>
      <c r="C1201" s="94"/>
      <c r="D1201" s="124" t="s">
        <v>896</v>
      </c>
      <c r="E1201" s="124" t="s">
        <v>896</v>
      </c>
      <c r="F1201" s="124" t="s">
        <v>896</v>
      </c>
      <c r="G1201" s="124" t="s">
        <v>896</v>
      </c>
      <c r="H1201" s="124" t="s">
        <v>896</v>
      </c>
      <c r="I1201" s="125">
        <f>I1202</f>
        <v>609</v>
      </c>
      <c r="J1201" s="125">
        <f>J1202</f>
        <v>579</v>
      </c>
      <c r="K1201" s="125">
        <f>K1202</f>
        <v>387.6</v>
      </c>
      <c r="L1201" s="126">
        <f>L1202</f>
        <v>32</v>
      </c>
      <c r="M1201" s="124" t="s">
        <v>896</v>
      </c>
      <c r="N1201" s="124" t="s">
        <v>896</v>
      </c>
      <c r="O1201" s="127" t="s">
        <v>896</v>
      </c>
      <c r="P1201" s="128">
        <v>3013803.8600000003</v>
      </c>
      <c r="Q1201" s="128">
        <f>Q1202</f>
        <v>0</v>
      </c>
      <c r="R1201" s="128">
        <f>R1202</f>
        <v>0</v>
      </c>
      <c r="S1201" s="128">
        <f>S1202</f>
        <v>3013803.8600000003</v>
      </c>
      <c r="T1201" s="128">
        <f t="shared" si="361"/>
        <v>4948.7748111658466</v>
      </c>
      <c r="U1201" s="128">
        <f>U1202</f>
        <v>6023.7624630541868</v>
      </c>
      <c r="V1201" s="257">
        <f t="shared" si="368"/>
        <v>1074.9876518883402</v>
      </c>
      <c r="W1201" s="257"/>
      <c r="X1201" s="257"/>
      <c r="Y1201" s="258"/>
      <c r="Z1201" s="258"/>
      <c r="AA1201" s="258"/>
      <c r="AB1201" s="258"/>
      <c r="AC1201" s="258"/>
      <c r="AD1201" s="258"/>
      <c r="AE1201" s="258"/>
      <c r="AF1201" s="258"/>
      <c r="AG1201" s="258"/>
      <c r="AH1201" s="258"/>
      <c r="AI1201" s="258"/>
      <c r="AJ1201" s="258"/>
      <c r="AK1201" s="258"/>
      <c r="AL1201" s="258"/>
      <c r="AM1201" s="258"/>
      <c r="AN1201" s="258"/>
      <c r="AO1201" s="258"/>
    </row>
    <row r="1202" spans="1:191" s="196" customFormat="1" ht="36" customHeight="1" x14ac:dyDescent="0.25">
      <c r="A1202" s="259">
        <v>1</v>
      </c>
      <c r="B1202" s="135">
        <f>SUBTOTAL(103,$A$1000:A1202)</f>
        <v>173</v>
      </c>
      <c r="C1202" s="132" t="s">
        <v>88</v>
      </c>
      <c r="D1202" s="124">
        <v>1967</v>
      </c>
      <c r="E1202" s="124"/>
      <c r="F1202" s="134" t="s">
        <v>269</v>
      </c>
      <c r="G1202" s="124">
        <v>2</v>
      </c>
      <c r="H1202" s="124" t="s">
        <v>305</v>
      </c>
      <c r="I1202" s="125">
        <v>609</v>
      </c>
      <c r="J1202" s="125">
        <v>579</v>
      </c>
      <c r="K1202" s="125">
        <v>387.6</v>
      </c>
      <c r="L1202" s="133">
        <v>32</v>
      </c>
      <c r="M1202" s="124" t="s">
        <v>267</v>
      </c>
      <c r="N1202" s="124" t="s">
        <v>268</v>
      </c>
      <c r="O1202" s="124" t="s">
        <v>270</v>
      </c>
      <c r="P1202" s="125">
        <v>3013803.8600000003</v>
      </c>
      <c r="Q1202" s="125">
        <v>0</v>
      </c>
      <c r="R1202" s="125">
        <v>0</v>
      </c>
      <c r="S1202" s="125">
        <f>P1202-Q1202-R1202</f>
        <v>3013803.8600000003</v>
      </c>
      <c r="T1202" s="128">
        <f t="shared" si="361"/>
        <v>4948.7748111658466</v>
      </c>
      <c r="U1202" s="128">
        <v>6023.7624630541868</v>
      </c>
      <c r="V1202" s="257">
        <f>U1202-T1202</f>
        <v>1074.9876518883402</v>
      </c>
      <c r="W1202" s="257">
        <f>X1202+Y1202+Z1202+AA1202+AB1202+AD1202+AF1202+AH1202+AJ1202+AL1202+AN1202+AO1202</f>
        <v>6003.286141215106</v>
      </c>
      <c r="X1202" s="257">
        <v>0</v>
      </c>
      <c r="Y1202" s="258">
        <v>0</v>
      </c>
      <c r="Z1202" s="258">
        <v>0</v>
      </c>
      <c r="AA1202" s="258">
        <v>0</v>
      </c>
      <c r="AB1202" s="258">
        <v>0</v>
      </c>
      <c r="AC1202" s="258">
        <v>0</v>
      </c>
      <c r="AD1202" s="258">
        <v>0</v>
      </c>
      <c r="AE1202" s="258">
        <v>586</v>
      </c>
      <c r="AF1202" s="257">
        <f>6238.91*AE1202/I1202</f>
        <v>6003.286141215106</v>
      </c>
      <c r="AG1202" s="258">
        <v>0</v>
      </c>
      <c r="AH1202" s="257">
        <v>0</v>
      </c>
      <c r="AI1202" s="258">
        <v>0</v>
      </c>
      <c r="AJ1202" s="257">
        <v>0</v>
      </c>
      <c r="AK1202" s="258">
        <v>0</v>
      </c>
      <c r="AL1202" s="258">
        <v>0</v>
      </c>
      <c r="AM1202" s="258">
        <v>0</v>
      </c>
      <c r="AN1202" s="258"/>
      <c r="AO1202" s="258">
        <v>0</v>
      </c>
      <c r="AP1202" s="259"/>
      <c r="DQ1202" s="263"/>
      <c r="DR1202" s="263"/>
      <c r="DS1202" s="263"/>
      <c r="EP1202" s="264"/>
      <c r="FS1202" s="265"/>
      <c r="GI1202" s="266"/>
    </row>
    <row r="1203" spans="1:191" s="259" customFormat="1" ht="36" customHeight="1" x14ac:dyDescent="0.25">
      <c r="B1203" s="94" t="s">
        <v>894</v>
      </c>
      <c r="C1203" s="94"/>
      <c r="D1203" s="124" t="s">
        <v>896</v>
      </c>
      <c r="E1203" s="124" t="s">
        <v>896</v>
      </c>
      <c r="F1203" s="124" t="s">
        <v>896</v>
      </c>
      <c r="G1203" s="124" t="s">
        <v>896</v>
      </c>
      <c r="H1203" s="124" t="s">
        <v>896</v>
      </c>
      <c r="I1203" s="125">
        <f>I1204</f>
        <v>616.20000000000005</v>
      </c>
      <c r="J1203" s="125">
        <f>J1204</f>
        <v>540.1</v>
      </c>
      <c r="K1203" s="125">
        <f>K1204</f>
        <v>315</v>
      </c>
      <c r="L1203" s="126">
        <f>L1204</f>
        <v>21</v>
      </c>
      <c r="M1203" s="124" t="s">
        <v>896</v>
      </c>
      <c r="N1203" s="124" t="s">
        <v>896</v>
      </c>
      <c r="O1203" s="127" t="s">
        <v>896</v>
      </c>
      <c r="P1203" s="128">
        <v>2036502</v>
      </c>
      <c r="Q1203" s="128">
        <f>Q1204</f>
        <v>0</v>
      </c>
      <c r="R1203" s="128">
        <f>R1204</f>
        <v>0</v>
      </c>
      <c r="S1203" s="128">
        <f>S1204</f>
        <v>2036502</v>
      </c>
      <c r="T1203" s="128">
        <f t="shared" si="361"/>
        <v>3304.9367088607592</v>
      </c>
      <c r="U1203" s="128">
        <f>U1204</f>
        <v>3962.1455696202524</v>
      </c>
      <c r="V1203" s="257">
        <f t="shared" si="368"/>
        <v>657.20886075949329</v>
      </c>
      <c r="W1203" s="257"/>
      <c r="X1203" s="257"/>
      <c r="Y1203" s="258"/>
      <c r="Z1203" s="258"/>
      <c r="AA1203" s="258"/>
      <c r="AB1203" s="258"/>
      <c r="AC1203" s="258"/>
      <c r="AD1203" s="258"/>
      <c r="AE1203" s="258"/>
      <c r="AF1203" s="258"/>
      <c r="AG1203" s="258"/>
      <c r="AH1203" s="258"/>
      <c r="AI1203" s="258"/>
      <c r="AJ1203" s="258"/>
      <c r="AK1203" s="258"/>
      <c r="AL1203" s="258"/>
      <c r="AM1203" s="258"/>
      <c r="AN1203" s="258"/>
      <c r="AO1203" s="258"/>
    </row>
    <row r="1204" spans="1:191" s="196" customFormat="1" ht="36" customHeight="1" x14ac:dyDescent="0.25">
      <c r="A1204" s="259">
        <v>1</v>
      </c>
      <c r="B1204" s="135">
        <f>SUBTOTAL(103,$A$1000:A1204)</f>
        <v>174</v>
      </c>
      <c r="C1204" s="132" t="s">
        <v>87</v>
      </c>
      <c r="D1204" s="124">
        <v>1982</v>
      </c>
      <c r="E1204" s="124"/>
      <c r="F1204" s="134" t="s">
        <v>269</v>
      </c>
      <c r="G1204" s="124">
        <v>2</v>
      </c>
      <c r="H1204" s="124" t="s">
        <v>305</v>
      </c>
      <c r="I1204" s="125">
        <v>616.20000000000005</v>
      </c>
      <c r="J1204" s="125">
        <v>540.1</v>
      </c>
      <c r="K1204" s="125">
        <v>315</v>
      </c>
      <c r="L1204" s="133">
        <v>21</v>
      </c>
      <c r="M1204" s="124" t="s">
        <v>267</v>
      </c>
      <c r="N1204" s="124" t="s">
        <v>268</v>
      </c>
      <c r="O1204" s="124" t="s">
        <v>270</v>
      </c>
      <c r="P1204" s="125">
        <v>2036502</v>
      </c>
      <c r="Q1204" s="125">
        <v>0</v>
      </c>
      <c r="R1204" s="125">
        <v>0</v>
      </c>
      <c r="S1204" s="125">
        <f>P1204-Q1204-R1204</f>
        <v>2036502</v>
      </c>
      <c r="T1204" s="128">
        <f t="shared" si="361"/>
        <v>3304.9367088607592</v>
      </c>
      <c r="U1204" s="128">
        <v>3962.1455696202524</v>
      </c>
      <c r="V1204" s="257">
        <f>U1204-T1204</f>
        <v>657.20886075949329</v>
      </c>
      <c r="W1204" s="257">
        <f>X1204+Y1204+Z1204+AA1204+AB1204+AD1204+AF1204+AH1204+AJ1204+AL1204+AN1204+AO1204</f>
        <v>3948.6772151898731</v>
      </c>
      <c r="X1204" s="257">
        <v>0</v>
      </c>
      <c r="Y1204" s="258">
        <v>0</v>
      </c>
      <c r="Z1204" s="258">
        <v>0</v>
      </c>
      <c r="AA1204" s="258">
        <v>0</v>
      </c>
      <c r="AB1204" s="258">
        <v>0</v>
      </c>
      <c r="AC1204" s="258">
        <v>0</v>
      </c>
      <c r="AD1204" s="258">
        <v>0</v>
      </c>
      <c r="AE1204" s="258">
        <v>390</v>
      </c>
      <c r="AF1204" s="257">
        <f>6238.91*AE1204/I1204</f>
        <v>3948.6772151898731</v>
      </c>
      <c r="AG1204" s="258">
        <v>0</v>
      </c>
      <c r="AH1204" s="257">
        <v>0</v>
      </c>
      <c r="AI1204" s="258">
        <v>0</v>
      </c>
      <c r="AJ1204" s="257">
        <v>0</v>
      </c>
      <c r="AK1204" s="258">
        <v>0</v>
      </c>
      <c r="AL1204" s="258">
        <v>0</v>
      </c>
      <c r="AM1204" s="258">
        <v>0</v>
      </c>
      <c r="AN1204" s="258"/>
      <c r="AO1204" s="258">
        <v>0</v>
      </c>
      <c r="AP1204" s="259"/>
      <c r="DQ1204" s="263"/>
      <c r="DR1204" s="263"/>
      <c r="DS1204" s="263"/>
      <c r="EP1204" s="264"/>
      <c r="FS1204" s="265"/>
      <c r="GI1204" s="266"/>
    </row>
    <row r="1205" spans="1:191" s="259" customFormat="1" ht="36" customHeight="1" x14ac:dyDescent="0.25">
      <c r="B1205" s="94" t="s">
        <v>846</v>
      </c>
      <c r="C1205" s="261"/>
      <c r="D1205" s="124" t="s">
        <v>896</v>
      </c>
      <c r="E1205" s="124" t="s">
        <v>896</v>
      </c>
      <c r="F1205" s="124" t="s">
        <v>896</v>
      </c>
      <c r="G1205" s="124" t="s">
        <v>896</v>
      </c>
      <c r="H1205" s="124" t="s">
        <v>896</v>
      </c>
      <c r="I1205" s="125">
        <f>I1206</f>
        <v>772.9</v>
      </c>
      <c r="J1205" s="125">
        <f>J1206</f>
        <v>728.9</v>
      </c>
      <c r="K1205" s="125">
        <f>K1206</f>
        <v>650.20000000000005</v>
      </c>
      <c r="L1205" s="126">
        <f>L1206</f>
        <v>30</v>
      </c>
      <c r="M1205" s="124" t="s">
        <v>896</v>
      </c>
      <c r="N1205" s="124" t="s">
        <v>896</v>
      </c>
      <c r="O1205" s="127" t="s">
        <v>896</v>
      </c>
      <c r="P1205" s="128">
        <v>3592598.4</v>
      </c>
      <c r="Q1205" s="128">
        <f>Q1206</f>
        <v>0</v>
      </c>
      <c r="R1205" s="128">
        <f>R1206</f>
        <v>0</v>
      </c>
      <c r="S1205" s="128">
        <f>S1206</f>
        <v>3592598.4</v>
      </c>
      <c r="T1205" s="128">
        <f t="shared" si="361"/>
        <v>4648.2059774873851</v>
      </c>
      <c r="U1205" s="128">
        <f>U1206</f>
        <v>5572.5329538103242</v>
      </c>
      <c r="V1205" s="257">
        <f t="shared" si="368"/>
        <v>924.32697632293912</v>
      </c>
      <c r="W1205" s="257"/>
      <c r="X1205" s="257"/>
      <c r="Y1205" s="258"/>
      <c r="Z1205" s="258"/>
      <c r="AA1205" s="258"/>
      <c r="AB1205" s="258"/>
      <c r="AC1205" s="258"/>
      <c r="AD1205" s="258"/>
      <c r="AE1205" s="258"/>
      <c r="AF1205" s="258"/>
      <c r="AG1205" s="258"/>
      <c r="AH1205" s="258"/>
      <c r="AI1205" s="258"/>
      <c r="AJ1205" s="258"/>
      <c r="AK1205" s="258"/>
      <c r="AL1205" s="258"/>
      <c r="AM1205" s="258"/>
      <c r="AN1205" s="258"/>
      <c r="AO1205" s="258"/>
    </row>
    <row r="1206" spans="1:191" s="196" customFormat="1" ht="36" customHeight="1" x14ac:dyDescent="0.25">
      <c r="A1206" s="259">
        <v>1</v>
      </c>
      <c r="B1206" s="135">
        <f>SUBTOTAL(103,$A$1000:A1206)</f>
        <v>175</v>
      </c>
      <c r="C1206" s="132" t="s">
        <v>108</v>
      </c>
      <c r="D1206" s="124">
        <v>1971</v>
      </c>
      <c r="E1206" s="124"/>
      <c r="F1206" s="134" t="s">
        <v>269</v>
      </c>
      <c r="G1206" s="124">
        <v>2</v>
      </c>
      <c r="H1206" s="124" t="s">
        <v>306</v>
      </c>
      <c r="I1206" s="125">
        <v>772.9</v>
      </c>
      <c r="J1206" s="125">
        <v>728.9</v>
      </c>
      <c r="K1206" s="125">
        <v>650.20000000000005</v>
      </c>
      <c r="L1206" s="133">
        <v>30</v>
      </c>
      <c r="M1206" s="124" t="s">
        <v>267</v>
      </c>
      <c r="N1206" s="124" t="s">
        <v>268</v>
      </c>
      <c r="O1206" s="124" t="s">
        <v>270</v>
      </c>
      <c r="P1206" s="125">
        <v>3592598.4</v>
      </c>
      <c r="Q1206" s="125">
        <v>0</v>
      </c>
      <c r="R1206" s="125">
        <v>0</v>
      </c>
      <c r="S1206" s="125">
        <f>P1206-Q1206-R1206</f>
        <v>3592598.4</v>
      </c>
      <c r="T1206" s="128">
        <f t="shared" si="361"/>
        <v>4648.2059774873851</v>
      </c>
      <c r="U1206" s="128">
        <v>5572.5329538103242</v>
      </c>
      <c r="V1206" s="257">
        <f>U1206-T1206</f>
        <v>924.32697632293912</v>
      </c>
      <c r="W1206" s="257">
        <f>X1206+Y1206+Z1206+AA1206+AB1206+AD1206+AF1206+AH1206+AJ1206+AL1206+AN1206+AO1206</f>
        <v>5553.5904774226938</v>
      </c>
      <c r="X1206" s="257">
        <v>0</v>
      </c>
      <c r="Y1206" s="258">
        <v>0</v>
      </c>
      <c r="Z1206" s="258">
        <v>0</v>
      </c>
      <c r="AA1206" s="258">
        <v>0</v>
      </c>
      <c r="AB1206" s="258">
        <v>0</v>
      </c>
      <c r="AC1206" s="258">
        <v>0</v>
      </c>
      <c r="AD1206" s="258">
        <v>0</v>
      </c>
      <c r="AE1206" s="258">
        <v>688</v>
      </c>
      <c r="AF1206" s="257">
        <f>6238.91*AE1206/I1206</f>
        <v>5553.5904774226938</v>
      </c>
      <c r="AG1206" s="258">
        <v>0</v>
      </c>
      <c r="AH1206" s="257">
        <v>0</v>
      </c>
      <c r="AI1206" s="258">
        <v>0</v>
      </c>
      <c r="AJ1206" s="257">
        <v>0</v>
      </c>
      <c r="AK1206" s="258">
        <v>0</v>
      </c>
      <c r="AL1206" s="258">
        <v>0</v>
      </c>
      <c r="AM1206" s="258">
        <v>0</v>
      </c>
      <c r="AN1206" s="258"/>
      <c r="AO1206" s="258">
        <v>0</v>
      </c>
      <c r="AP1206" s="259"/>
      <c r="DQ1206" s="263"/>
      <c r="DR1206" s="263"/>
      <c r="DS1206" s="263"/>
      <c r="EP1206" s="264"/>
      <c r="FS1206" s="265"/>
      <c r="GI1206" s="266"/>
    </row>
    <row r="1207" spans="1:191" s="259" customFormat="1" ht="36" customHeight="1" x14ac:dyDescent="0.25">
      <c r="B1207" s="94" t="s">
        <v>881</v>
      </c>
      <c r="C1207" s="94"/>
      <c r="D1207" s="124" t="s">
        <v>757</v>
      </c>
      <c r="E1207" s="124" t="s">
        <v>757</v>
      </c>
      <c r="F1207" s="124" t="s">
        <v>757</v>
      </c>
      <c r="G1207" s="124" t="s">
        <v>757</v>
      </c>
      <c r="H1207" s="124" t="s">
        <v>757</v>
      </c>
      <c r="I1207" s="125">
        <f>I1208</f>
        <v>976.3</v>
      </c>
      <c r="J1207" s="125">
        <f>J1208</f>
        <v>976.3</v>
      </c>
      <c r="K1207" s="125">
        <f>K1208</f>
        <v>880.1</v>
      </c>
      <c r="L1207" s="126">
        <f>L1208</f>
        <v>36</v>
      </c>
      <c r="M1207" s="124" t="s">
        <v>896</v>
      </c>
      <c r="N1207" s="124" t="s">
        <v>896</v>
      </c>
      <c r="O1207" s="127" t="s">
        <v>896</v>
      </c>
      <c r="P1207" s="128">
        <v>4454195.3999999994</v>
      </c>
      <c r="Q1207" s="128">
        <f>Q1208</f>
        <v>0</v>
      </c>
      <c r="R1207" s="128">
        <f>R1208</f>
        <v>0</v>
      </c>
      <c r="S1207" s="128">
        <f>S1208</f>
        <v>4454195.3999999994</v>
      </c>
      <c r="T1207" s="128">
        <f t="shared" si="361"/>
        <v>4562.3224418723748</v>
      </c>
      <c r="U1207" s="128">
        <f>U1208</f>
        <v>5469.5709003380107</v>
      </c>
      <c r="V1207" s="257">
        <f t="shared" si="368"/>
        <v>907.24845846563585</v>
      </c>
      <c r="W1207" s="257"/>
      <c r="X1207" s="257"/>
      <c r="Y1207" s="258"/>
      <c r="Z1207" s="258"/>
      <c r="AA1207" s="258"/>
      <c r="AB1207" s="258"/>
      <c r="AC1207" s="258"/>
      <c r="AD1207" s="258"/>
      <c r="AE1207" s="258"/>
      <c r="AF1207" s="258"/>
      <c r="AG1207" s="258"/>
      <c r="AH1207" s="258"/>
      <c r="AI1207" s="258"/>
      <c r="AJ1207" s="258"/>
      <c r="AK1207" s="258"/>
      <c r="AL1207" s="258"/>
      <c r="AM1207" s="258"/>
      <c r="AN1207" s="258"/>
      <c r="AO1207" s="258"/>
    </row>
    <row r="1208" spans="1:191" s="196" customFormat="1" ht="36" customHeight="1" x14ac:dyDescent="0.25">
      <c r="A1208" s="259">
        <v>1</v>
      </c>
      <c r="B1208" s="135">
        <f>SUBTOTAL(103,$A$1000:A1208)</f>
        <v>176</v>
      </c>
      <c r="C1208" s="132" t="s">
        <v>110</v>
      </c>
      <c r="D1208" s="124">
        <v>1987</v>
      </c>
      <c r="E1208" s="124"/>
      <c r="F1208" s="134" t="s">
        <v>269</v>
      </c>
      <c r="G1208" s="124">
        <v>2</v>
      </c>
      <c r="H1208" s="124" t="s">
        <v>314</v>
      </c>
      <c r="I1208" s="125">
        <v>976.3</v>
      </c>
      <c r="J1208" s="125">
        <v>976.3</v>
      </c>
      <c r="K1208" s="125">
        <v>880.1</v>
      </c>
      <c r="L1208" s="133">
        <v>36</v>
      </c>
      <c r="M1208" s="124" t="s">
        <v>267</v>
      </c>
      <c r="N1208" s="124" t="s">
        <v>268</v>
      </c>
      <c r="O1208" s="124" t="s">
        <v>270</v>
      </c>
      <c r="P1208" s="125">
        <v>4454195.3999999994</v>
      </c>
      <c r="Q1208" s="125">
        <v>0</v>
      </c>
      <c r="R1208" s="125">
        <v>0</v>
      </c>
      <c r="S1208" s="125">
        <f>P1208-Q1208-R1208</f>
        <v>4454195.3999999994</v>
      </c>
      <c r="T1208" s="128">
        <f t="shared" si="361"/>
        <v>4562.3224418723748</v>
      </c>
      <c r="U1208" s="128">
        <v>5469.5709003380107</v>
      </c>
      <c r="V1208" s="257">
        <f>U1208-T1208</f>
        <v>907.24845846563585</v>
      </c>
      <c r="W1208" s="257">
        <f>X1208+Y1208+Z1208+AA1208+AB1208+AD1208+AF1208+AH1208+AJ1208+AL1208+AN1208+AO1208</f>
        <v>5450.9784185188973</v>
      </c>
      <c r="X1208" s="257">
        <v>0</v>
      </c>
      <c r="Y1208" s="258">
        <v>0</v>
      </c>
      <c r="Z1208" s="258">
        <v>0</v>
      </c>
      <c r="AA1208" s="258">
        <v>0</v>
      </c>
      <c r="AB1208" s="258">
        <v>0</v>
      </c>
      <c r="AC1208" s="258">
        <v>0</v>
      </c>
      <c r="AD1208" s="258">
        <v>0</v>
      </c>
      <c r="AE1208" s="258">
        <v>853</v>
      </c>
      <c r="AF1208" s="257">
        <f>6238.91*AE1208/I1208</f>
        <v>5450.9784185188973</v>
      </c>
      <c r="AG1208" s="258">
        <v>0</v>
      </c>
      <c r="AH1208" s="257">
        <v>0</v>
      </c>
      <c r="AI1208" s="258">
        <v>0</v>
      </c>
      <c r="AJ1208" s="257">
        <v>0</v>
      </c>
      <c r="AK1208" s="258">
        <v>0</v>
      </c>
      <c r="AL1208" s="258">
        <v>0</v>
      </c>
      <c r="AM1208" s="258">
        <v>0</v>
      </c>
      <c r="AN1208" s="258"/>
      <c r="AO1208" s="258">
        <v>0</v>
      </c>
      <c r="AP1208" s="259"/>
      <c r="DQ1208" s="263"/>
      <c r="DR1208" s="263"/>
      <c r="DS1208" s="263"/>
      <c r="EP1208" s="264"/>
      <c r="FS1208" s="265"/>
      <c r="GI1208" s="266"/>
    </row>
    <row r="1209" spans="1:191" s="259" customFormat="1" ht="36" customHeight="1" x14ac:dyDescent="0.25">
      <c r="B1209" s="94" t="s">
        <v>895</v>
      </c>
      <c r="C1209" s="261"/>
      <c r="D1209" s="124" t="s">
        <v>757</v>
      </c>
      <c r="E1209" s="124" t="s">
        <v>757</v>
      </c>
      <c r="F1209" s="124" t="s">
        <v>757</v>
      </c>
      <c r="G1209" s="124" t="s">
        <v>757</v>
      </c>
      <c r="H1209" s="124" t="s">
        <v>757</v>
      </c>
      <c r="I1209" s="125">
        <f>I1210</f>
        <v>781.7</v>
      </c>
      <c r="J1209" s="125">
        <f>J1210</f>
        <v>781.7</v>
      </c>
      <c r="K1209" s="125">
        <f>K1210</f>
        <v>505.6</v>
      </c>
      <c r="L1209" s="126">
        <f>L1210</f>
        <v>40</v>
      </c>
      <c r="M1209" s="124" t="s">
        <v>896</v>
      </c>
      <c r="N1209" s="124" t="s">
        <v>896</v>
      </c>
      <c r="O1209" s="127" t="s">
        <v>896</v>
      </c>
      <c r="P1209" s="128">
        <v>5304624.57</v>
      </c>
      <c r="Q1209" s="128">
        <f>Q1210</f>
        <v>0</v>
      </c>
      <c r="R1209" s="128">
        <f>R1210</f>
        <v>0</v>
      </c>
      <c r="S1209" s="128">
        <f>S1210</f>
        <v>5304624.57</v>
      </c>
      <c r="T1209" s="128">
        <f t="shared" si="361"/>
        <v>6786.0107074325188</v>
      </c>
      <c r="U1209" s="128">
        <f>U1210</f>
        <v>7422.4534958423937</v>
      </c>
      <c r="V1209" s="257">
        <f t="shared" si="368"/>
        <v>636.44278840987499</v>
      </c>
      <c r="W1209" s="257"/>
      <c r="X1209" s="257"/>
      <c r="Y1209" s="258"/>
      <c r="Z1209" s="258"/>
      <c r="AA1209" s="258"/>
      <c r="AB1209" s="258"/>
      <c r="AC1209" s="258"/>
      <c r="AD1209" s="258"/>
      <c r="AE1209" s="258"/>
      <c r="AF1209" s="258"/>
      <c r="AG1209" s="258"/>
      <c r="AH1209" s="258"/>
      <c r="AI1209" s="258"/>
      <c r="AJ1209" s="258"/>
      <c r="AK1209" s="258"/>
      <c r="AL1209" s="258"/>
      <c r="AM1209" s="258"/>
      <c r="AN1209" s="258"/>
      <c r="AO1209" s="258"/>
    </row>
    <row r="1210" spans="1:191" s="196" customFormat="1" ht="36" customHeight="1" x14ac:dyDescent="0.25">
      <c r="A1210" s="259">
        <v>1</v>
      </c>
      <c r="B1210" s="135">
        <f>SUBTOTAL(103,$A$1000:A1210)</f>
        <v>177</v>
      </c>
      <c r="C1210" s="132" t="s">
        <v>211</v>
      </c>
      <c r="D1210" s="124">
        <v>1968</v>
      </c>
      <c r="E1210" s="124"/>
      <c r="F1210" s="134" t="s">
        <v>269</v>
      </c>
      <c r="G1210" s="124">
        <v>2</v>
      </c>
      <c r="H1210" s="124" t="s">
        <v>305</v>
      </c>
      <c r="I1210" s="125">
        <v>781.7</v>
      </c>
      <c r="J1210" s="125">
        <v>781.7</v>
      </c>
      <c r="K1210" s="125">
        <v>505.6</v>
      </c>
      <c r="L1210" s="133">
        <v>40</v>
      </c>
      <c r="M1210" s="124" t="s">
        <v>267</v>
      </c>
      <c r="N1210" s="124" t="s">
        <v>271</v>
      </c>
      <c r="O1210" s="124" t="s">
        <v>333</v>
      </c>
      <c r="P1210" s="125">
        <v>5304624.57</v>
      </c>
      <c r="Q1210" s="125">
        <v>0</v>
      </c>
      <c r="R1210" s="125">
        <v>0</v>
      </c>
      <c r="S1210" s="125">
        <f>P1210-Q1210-R1210</f>
        <v>5304624.57</v>
      </c>
      <c r="T1210" s="128">
        <f t="shared" si="361"/>
        <v>6786.0107074325188</v>
      </c>
      <c r="U1210" s="128">
        <v>7422.4534958423937</v>
      </c>
      <c r="V1210" s="257">
        <f>U1210-T1210</f>
        <v>636.44278840987499</v>
      </c>
      <c r="W1210" s="257">
        <f>X1210+Y1210+Z1210+AA1210+AB1210+AD1210+AF1210+AH1210+AJ1210+AL1210+AN1210+AO1210</f>
        <v>7397.2226625303829</v>
      </c>
      <c r="X1210" s="257">
        <v>0</v>
      </c>
      <c r="Y1210" s="258">
        <v>0</v>
      </c>
      <c r="Z1210" s="258">
        <v>0</v>
      </c>
      <c r="AA1210" s="258">
        <v>0</v>
      </c>
      <c r="AB1210" s="258">
        <v>0</v>
      </c>
      <c r="AC1210" s="258">
        <v>0</v>
      </c>
      <c r="AD1210" s="258">
        <v>0</v>
      </c>
      <c r="AE1210" s="258">
        <v>926.83</v>
      </c>
      <c r="AF1210" s="257">
        <f>6238.91*AE1210/I1210</f>
        <v>7397.2226625303829</v>
      </c>
      <c r="AG1210" s="258">
        <v>0</v>
      </c>
      <c r="AH1210" s="257">
        <v>0</v>
      </c>
      <c r="AI1210" s="258">
        <v>0</v>
      </c>
      <c r="AJ1210" s="257">
        <v>0</v>
      </c>
      <c r="AK1210" s="258">
        <v>0</v>
      </c>
      <c r="AL1210" s="258">
        <v>0</v>
      </c>
      <c r="AM1210" s="258">
        <v>0</v>
      </c>
      <c r="AN1210" s="258"/>
      <c r="AO1210" s="258">
        <v>0</v>
      </c>
      <c r="AP1210" s="259"/>
      <c r="DQ1210" s="263"/>
      <c r="DR1210" s="263"/>
      <c r="DS1210" s="263"/>
      <c r="EP1210" s="264"/>
      <c r="FS1210" s="265"/>
      <c r="GI1210" s="266"/>
    </row>
    <row r="1211" spans="1:191" s="259" customFormat="1" ht="36" customHeight="1" x14ac:dyDescent="0.25">
      <c r="B1211" s="94" t="s">
        <v>847</v>
      </c>
      <c r="C1211" s="261"/>
      <c r="D1211" s="124" t="s">
        <v>757</v>
      </c>
      <c r="E1211" s="124" t="s">
        <v>757</v>
      </c>
      <c r="F1211" s="124" t="s">
        <v>757</v>
      </c>
      <c r="G1211" s="124" t="s">
        <v>757</v>
      </c>
      <c r="H1211" s="124" t="s">
        <v>757</v>
      </c>
      <c r="I1211" s="125">
        <f>I1212</f>
        <v>736.7</v>
      </c>
      <c r="J1211" s="125">
        <f>J1212</f>
        <v>450.8</v>
      </c>
      <c r="K1211" s="125">
        <f>K1212</f>
        <v>447.6</v>
      </c>
      <c r="L1211" s="126">
        <f>L1212</f>
        <v>41</v>
      </c>
      <c r="M1211" s="124" t="s">
        <v>896</v>
      </c>
      <c r="N1211" s="124" t="s">
        <v>896</v>
      </c>
      <c r="O1211" s="127" t="s">
        <v>896</v>
      </c>
      <c r="P1211" s="128">
        <v>3231458.3</v>
      </c>
      <c r="Q1211" s="128">
        <f>Q1212</f>
        <v>0</v>
      </c>
      <c r="R1211" s="128">
        <f>R1212</f>
        <v>1851570.68</v>
      </c>
      <c r="S1211" s="128">
        <f>S1212</f>
        <v>1379887.6199999999</v>
      </c>
      <c r="T1211" s="128">
        <f t="shared" si="361"/>
        <v>4386.3964978960221</v>
      </c>
      <c r="U1211" s="128">
        <f>U1212</f>
        <v>6773.6504411565084</v>
      </c>
      <c r="V1211" s="257">
        <f t="shared" si="368"/>
        <v>2387.2539432604863</v>
      </c>
      <c r="W1211" s="257"/>
      <c r="X1211" s="257"/>
      <c r="Y1211" s="258"/>
      <c r="Z1211" s="258"/>
      <c r="AA1211" s="258"/>
      <c r="AB1211" s="258"/>
      <c r="AC1211" s="258"/>
      <c r="AD1211" s="258"/>
      <c r="AE1211" s="258"/>
      <c r="AF1211" s="258"/>
      <c r="AG1211" s="258"/>
      <c r="AH1211" s="258"/>
      <c r="AI1211" s="258"/>
      <c r="AJ1211" s="258"/>
      <c r="AK1211" s="258"/>
      <c r="AL1211" s="258"/>
      <c r="AM1211" s="258"/>
      <c r="AN1211" s="258"/>
      <c r="AO1211" s="258"/>
    </row>
    <row r="1212" spans="1:191" s="196" customFormat="1" ht="36" customHeight="1" x14ac:dyDescent="0.25">
      <c r="A1212" s="259">
        <v>1</v>
      </c>
      <c r="B1212" s="135">
        <f>SUBTOTAL(103,$A$1000:A1212)</f>
        <v>178</v>
      </c>
      <c r="C1212" s="132" t="s">
        <v>66</v>
      </c>
      <c r="D1212" s="124">
        <v>1978</v>
      </c>
      <c r="E1212" s="124"/>
      <c r="F1212" s="134" t="s">
        <v>269</v>
      </c>
      <c r="G1212" s="124">
        <v>2</v>
      </c>
      <c r="H1212" s="124" t="s">
        <v>305</v>
      </c>
      <c r="I1212" s="125">
        <v>736.7</v>
      </c>
      <c r="J1212" s="125">
        <v>450.8</v>
      </c>
      <c r="K1212" s="125">
        <v>447.6</v>
      </c>
      <c r="L1212" s="133">
        <v>41</v>
      </c>
      <c r="M1212" s="124" t="s">
        <v>267</v>
      </c>
      <c r="N1212" s="124" t="s">
        <v>268</v>
      </c>
      <c r="O1212" s="124" t="s">
        <v>270</v>
      </c>
      <c r="P1212" s="125">
        <v>3231458.3</v>
      </c>
      <c r="Q1212" s="125">
        <v>0</v>
      </c>
      <c r="R1212" s="125">
        <v>1851570.68</v>
      </c>
      <c r="S1212" s="125">
        <f>P1212-Q1212-R1212</f>
        <v>1379887.6199999999</v>
      </c>
      <c r="T1212" s="128">
        <f t="shared" si="361"/>
        <v>4386.3964978960221</v>
      </c>
      <c r="U1212" s="128">
        <v>6773.6504411565084</v>
      </c>
      <c r="V1212" s="257">
        <f>U1212-T1212</f>
        <v>2387.2539432604863</v>
      </c>
      <c r="W1212" s="257">
        <f>X1212+Y1212+Z1212+AA1212+AB1212+AD1212+AF1212+AH1212+AJ1212+AL1212+AN1212+AO1212</f>
        <v>6773.6504411565084</v>
      </c>
      <c r="X1212" s="257">
        <v>0</v>
      </c>
      <c r="Y1212" s="258">
        <v>0</v>
      </c>
      <c r="Z1212" s="258">
        <v>0</v>
      </c>
      <c r="AA1212" s="258">
        <v>0</v>
      </c>
      <c r="AB1212" s="258">
        <v>0</v>
      </c>
      <c r="AC1212" s="258">
        <v>0</v>
      </c>
      <c r="AD1212" s="258">
        <v>0</v>
      </c>
      <c r="AE1212" s="258">
        <v>0</v>
      </c>
      <c r="AF1212" s="257">
        <v>0</v>
      </c>
      <c r="AG1212" s="258">
        <v>0</v>
      </c>
      <c r="AH1212" s="257">
        <v>0</v>
      </c>
      <c r="AI1212" s="258">
        <v>670.8</v>
      </c>
      <c r="AJ1212" s="257">
        <f>7439.1*AI1212/I1212</f>
        <v>6773.6504411565084</v>
      </c>
      <c r="AK1212" s="258">
        <v>0</v>
      </c>
      <c r="AL1212" s="258">
        <v>0</v>
      </c>
      <c r="AM1212" s="258">
        <v>0</v>
      </c>
      <c r="AN1212" s="258"/>
      <c r="AO1212" s="258">
        <v>0</v>
      </c>
      <c r="AP1212" s="259"/>
      <c r="DQ1212" s="263"/>
      <c r="DR1212" s="263"/>
      <c r="DS1212" s="263"/>
      <c r="EP1212" s="264"/>
      <c r="FS1212" s="265"/>
      <c r="GI1212" s="266"/>
    </row>
    <row r="1213" spans="1:191" s="259" customFormat="1" ht="36" customHeight="1" x14ac:dyDescent="0.25">
      <c r="B1213" s="94" t="s">
        <v>849</v>
      </c>
      <c r="C1213" s="94"/>
      <c r="D1213" s="124" t="s">
        <v>896</v>
      </c>
      <c r="E1213" s="124" t="s">
        <v>896</v>
      </c>
      <c r="F1213" s="124" t="s">
        <v>896</v>
      </c>
      <c r="G1213" s="124" t="s">
        <v>896</v>
      </c>
      <c r="H1213" s="124" t="s">
        <v>896</v>
      </c>
      <c r="I1213" s="125">
        <f>SUM(I1214:I1216)</f>
        <v>9352.4</v>
      </c>
      <c r="J1213" s="125">
        <f>SUM(J1214:J1216)</f>
        <v>9002.2999999999993</v>
      </c>
      <c r="K1213" s="125">
        <f>SUM(K1214:K1216)</f>
        <v>8355.619999999999</v>
      </c>
      <c r="L1213" s="126">
        <f>SUM(L1214:L1216)</f>
        <v>384</v>
      </c>
      <c r="M1213" s="124" t="s">
        <v>896</v>
      </c>
      <c r="N1213" s="124" t="s">
        <v>896</v>
      </c>
      <c r="O1213" s="127" t="s">
        <v>896</v>
      </c>
      <c r="P1213" s="128">
        <v>16849360.93</v>
      </c>
      <c r="Q1213" s="128">
        <f>Q1214+Q1215+Q1216</f>
        <v>0</v>
      </c>
      <c r="R1213" s="128">
        <f>R1214+R1215+R1216</f>
        <v>0</v>
      </c>
      <c r="S1213" s="128">
        <f>S1214+S1215+S1216</f>
        <v>16849360.93</v>
      </c>
      <c r="T1213" s="128">
        <f t="shared" si="361"/>
        <v>1801.6082428039863</v>
      </c>
      <c r="U1213" s="128">
        <f>MAX(U1214:U1216)</f>
        <v>3721.67</v>
      </c>
      <c r="V1213" s="257">
        <f t="shared" si="368"/>
        <v>1920.0617571960138</v>
      </c>
      <c r="W1213" s="257"/>
      <c r="X1213" s="257"/>
      <c r="Y1213" s="258"/>
      <c r="Z1213" s="258"/>
      <c r="AA1213" s="258"/>
      <c r="AB1213" s="258"/>
      <c r="AC1213" s="258"/>
      <c r="AD1213" s="258"/>
      <c r="AE1213" s="258"/>
      <c r="AF1213" s="258"/>
      <c r="AG1213" s="258"/>
      <c r="AH1213" s="258"/>
      <c r="AI1213" s="258"/>
      <c r="AJ1213" s="258"/>
      <c r="AK1213" s="258"/>
      <c r="AL1213" s="258"/>
      <c r="AM1213" s="258"/>
      <c r="AN1213" s="258"/>
      <c r="AO1213" s="258"/>
    </row>
    <row r="1214" spans="1:191" s="196" customFormat="1" ht="36" customHeight="1" x14ac:dyDescent="0.25">
      <c r="A1214" s="259">
        <v>1</v>
      </c>
      <c r="B1214" s="135">
        <f>SUBTOTAL(103,$A$1000:A1214)</f>
        <v>179</v>
      </c>
      <c r="C1214" s="132" t="s">
        <v>69</v>
      </c>
      <c r="D1214" s="124">
        <v>1977</v>
      </c>
      <c r="E1214" s="124"/>
      <c r="F1214" s="134" t="s">
        <v>269</v>
      </c>
      <c r="G1214" s="124">
        <v>5</v>
      </c>
      <c r="H1214" s="124" t="s">
        <v>373</v>
      </c>
      <c r="I1214" s="125">
        <v>4338.6000000000004</v>
      </c>
      <c r="J1214" s="125">
        <v>4154.6000000000004</v>
      </c>
      <c r="K1214" s="125">
        <v>3916.52</v>
      </c>
      <c r="L1214" s="133">
        <v>177</v>
      </c>
      <c r="M1214" s="124" t="s">
        <v>267</v>
      </c>
      <c r="N1214" s="124" t="s">
        <v>271</v>
      </c>
      <c r="O1214" s="124" t="s">
        <v>273</v>
      </c>
      <c r="P1214" s="125">
        <v>5782944.25</v>
      </c>
      <c r="Q1214" s="125">
        <v>0</v>
      </c>
      <c r="R1214" s="125">
        <v>0</v>
      </c>
      <c r="S1214" s="125">
        <f>P1214-Q1214-R1214</f>
        <v>5782944.25</v>
      </c>
      <c r="T1214" s="128">
        <f t="shared" si="361"/>
        <v>1332.905603189969</v>
      </c>
      <c r="U1214" s="128">
        <v>1511.5878495367165</v>
      </c>
      <c r="V1214" s="257">
        <f t="shared" si="368"/>
        <v>178.68224634674743</v>
      </c>
      <c r="W1214" s="257">
        <f t="shared" ref="W1214:W1216" si="372">X1214+Y1214+Z1214+AA1214+AB1214+AD1214+AF1214+AH1214+AJ1214+AL1214+AN1214+AO1214</f>
        <v>1506.4495726732123</v>
      </c>
      <c r="X1214" s="257">
        <v>0</v>
      </c>
      <c r="Y1214" s="258">
        <v>0</v>
      </c>
      <c r="Z1214" s="258">
        <v>0</v>
      </c>
      <c r="AA1214" s="258">
        <v>0</v>
      </c>
      <c r="AB1214" s="258">
        <v>0</v>
      </c>
      <c r="AC1214" s="258">
        <v>0</v>
      </c>
      <c r="AD1214" s="258">
        <v>0</v>
      </c>
      <c r="AE1214" s="258">
        <v>1047.5999999999999</v>
      </c>
      <c r="AF1214" s="257">
        <f>6238.91*AE1214/I1214</f>
        <v>1506.4495726732123</v>
      </c>
      <c r="AG1214" s="258">
        <v>0</v>
      </c>
      <c r="AH1214" s="257">
        <v>0</v>
      </c>
      <c r="AI1214" s="258">
        <v>0</v>
      </c>
      <c r="AJ1214" s="257">
        <v>0</v>
      </c>
      <c r="AK1214" s="258">
        <v>0</v>
      </c>
      <c r="AL1214" s="258">
        <v>0</v>
      </c>
      <c r="AM1214" s="258">
        <v>0</v>
      </c>
      <c r="AN1214" s="258"/>
      <c r="AO1214" s="258">
        <v>0</v>
      </c>
      <c r="AP1214" s="259"/>
      <c r="DQ1214" s="263"/>
      <c r="DR1214" s="263"/>
      <c r="DS1214" s="263"/>
      <c r="EP1214" s="264"/>
      <c r="FS1214" s="265"/>
      <c r="GI1214" s="266"/>
    </row>
    <row r="1215" spans="1:191" s="196" customFormat="1" ht="36" customHeight="1" x14ac:dyDescent="0.25">
      <c r="A1215" s="259">
        <v>1</v>
      </c>
      <c r="B1215" s="135">
        <f>SUBTOTAL(103,$A$1000:A1215)</f>
        <v>180</v>
      </c>
      <c r="C1215" s="132" t="s">
        <v>68</v>
      </c>
      <c r="D1215" s="124">
        <v>1965</v>
      </c>
      <c r="E1215" s="124"/>
      <c r="F1215" s="134" t="s">
        <v>269</v>
      </c>
      <c r="G1215" s="124">
        <v>4</v>
      </c>
      <c r="H1215" s="124" t="s">
        <v>310</v>
      </c>
      <c r="I1215" s="125">
        <v>2512.9</v>
      </c>
      <c r="J1215" s="125">
        <v>2431.4</v>
      </c>
      <c r="K1215" s="125">
        <v>2131.1999999999998</v>
      </c>
      <c r="L1215" s="133">
        <v>90</v>
      </c>
      <c r="M1215" s="124" t="s">
        <v>267</v>
      </c>
      <c r="N1215" s="124" t="s">
        <v>271</v>
      </c>
      <c r="O1215" s="124" t="s">
        <v>273</v>
      </c>
      <c r="P1215" s="125">
        <v>6823737.3099999996</v>
      </c>
      <c r="Q1215" s="125">
        <v>0</v>
      </c>
      <c r="R1215" s="125">
        <v>0</v>
      </c>
      <c r="S1215" s="125">
        <f>P1215-Q1215-R1215</f>
        <v>6823737.3099999996</v>
      </c>
      <c r="T1215" s="128">
        <f t="shared" si="361"/>
        <v>2715.4830315571648</v>
      </c>
      <c r="U1215" s="128">
        <v>3086.3740662183131</v>
      </c>
      <c r="V1215" s="257">
        <f t="shared" si="368"/>
        <v>370.8910346611483</v>
      </c>
      <c r="W1215" s="257">
        <f t="shared" si="372"/>
        <v>3075.8826849456805</v>
      </c>
      <c r="X1215" s="257">
        <v>0</v>
      </c>
      <c r="Y1215" s="258">
        <v>0</v>
      </c>
      <c r="Z1215" s="258">
        <v>0</v>
      </c>
      <c r="AA1215" s="258">
        <v>0</v>
      </c>
      <c r="AB1215" s="258">
        <v>0</v>
      </c>
      <c r="AC1215" s="258">
        <v>0</v>
      </c>
      <c r="AD1215" s="258">
        <v>0</v>
      </c>
      <c r="AE1215" s="258">
        <v>1238.9000000000001</v>
      </c>
      <c r="AF1215" s="257">
        <f>6238.91*AE1215/I1215</f>
        <v>3075.8826849456805</v>
      </c>
      <c r="AG1215" s="258">
        <v>0</v>
      </c>
      <c r="AH1215" s="257">
        <v>0</v>
      </c>
      <c r="AI1215" s="258">
        <v>0</v>
      </c>
      <c r="AJ1215" s="257">
        <v>0</v>
      </c>
      <c r="AK1215" s="258">
        <v>0</v>
      </c>
      <c r="AL1215" s="258">
        <v>0</v>
      </c>
      <c r="AM1215" s="258">
        <v>0</v>
      </c>
      <c r="AN1215" s="258"/>
      <c r="AO1215" s="258">
        <v>0</v>
      </c>
      <c r="AP1215" s="259"/>
      <c r="DQ1215" s="263"/>
      <c r="DR1215" s="263"/>
      <c r="DS1215" s="263"/>
      <c r="EP1215" s="264"/>
      <c r="FS1215" s="265"/>
      <c r="GI1215" s="266"/>
    </row>
    <row r="1216" spans="1:191" s="196" customFormat="1" ht="36" customHeight="1" x14ac:dyDescent="0.25">
      <c r="A1216" s="259">
        <v>1</v>
      </c>
      <c r="B1216" s="135">
        <f>SUBTOTAL(103,$A$1000:A1216)</f>
        <v>181</v>
      </c>
      <c r="C1216" s="132" t="s">
        <v>67</v>
      </c>
      <c r="D1216" s="124">
        <v>1967</v>
      </c>
      <c r="E1216" s="124"/>
      <c r="F1216" s="134" t="s">
        <v>269</v>
      </c>
      <c r="G1216" s="124">
        <v>4</v>
      </c>
      <c r="H1216" s="124" t="s">
        <v>310</v>
      </c>
      <c r="I1216" s="125">
        <v>2500.9</v>
      </c>
      <c r="J1216" s="125">
        <v>2416.3000000000002</v>
      </c>
      <c r="K1216" s="125">
        <v>2307.9</v>
      </c>
      <c r="L1216" s="133">
        <v>117</v>
      </c>
      <c r="M1216" s="124" t="s">
        <v>267</v>
      </c>
      <c r="N1216" s="124" t="s">
        <v>271</v>
      </c>
      <c r="O1216" s="124" t="s">
        <v>273</v>
      </c>
      <c r="P1216" s="125">
        <v>4242679.37</v>
      </c>
      <c r="Q1216" s="125">
        <v>0</v>
      </c>
      <c r="R1216" s="125">
        <v>0</v>
      </c>
      <c r="S1216" s="125">
        <f>P1216-Q1216-R1216</f>
        <v>4242679.37</v>
      </c>
      <c r="T1216" s="128">
        <f t="shared" si="361"/>
        <v>1696.4610220320685</v>
      </c>
      <c r="U1216" s="128">
        <v>3721.67</v>
      </c>
      <c r="V1216" s="257">
        <f t="shared" si="368"/>
        <v>2025.2089779679316</v>
      </c>
      <c r="W1216" s="257">
        <f t="shared" si="372"/>
        <v>3791.6299999999997</v>
      </c>
      <c r="X1216" s="257">
        <v>101.55</v>
      </c>
      <c r="Y1216" s="258">
        <v>245.44</v>
      </c>
      <c r="Z1216" s="258">
        <v>3259.66</v>
      </c>
      <c r="AA1216" s="258">
        <v>184.98</v>
      </c>
      <c r="AB1216" s="258">
        <v>0</v>
      </c>
      <c r="AC1216" s="258">
        <v>0</v>
      </c>
      <c r="AD1216" s="258">
        <v>0</v>
      </c>
      <c r="AE1216" s="258">
        <v>0</v>
      </c>
      <c r="AF1216" s="257">
        <v>0</v>
      </c>
      <c r="AG1216" s="258">
        <v>0</v>
      </c>
      <c r="AH1216" s="257">
        <v>0</v>
      </c>
      <c r="AI1216" s="258">
        <v>0</v>
      </c>
      <c r="AJ1216" s="257">
        <v>0</v>
      </c>
      <c r="AK1216" s="258">
        <v>0</v>
      </c>
      <c r="AL1216" s="258">
        <v>0</v>
      </c>
      <c r="AM1216" s="258">
        <v>0</v>
      </c>
      <c r="AN1216" s="258"/>
      <c r="AO1216" s="258">
        <v>0</v>
      </c>
      <c r="AP1216" s="259"/>
      <c r="DQ1216" s="263"/>
      <c r="DR1216" s="263"/>
      <c r="DS1216" s="263"/>
      <c r="EP1216" s="264"/>
      <c r="FS1216" s="265"/>
      <c r="GI1216" s="266"/>
    </row>
    <row r="1217" spans="1:191" s="259" customFormat="1" ht="36" customHeight="1" x14ac:dyDescent="0.25">
      <c r="B1217" s="94" t="s">
        <v>850</v>
      </c>
      <c r="C1217" s="94"/>
      <c r="D1217" s="124" t="s">
        <v>896</v>
      </c>
      <c r="E1217" s="124" t="s">
        <v>896</v>
      </c>
      <c r="F1217" s="124" t="s">
        <v>896</v>
      </c>
      <c r="G1217" s="124" t="s">
        <v>896</v>
      </c>
      <c r="H1217" s="124" t="s">
        <v>896</v>
      </c>
      <c r="I1217" s="125">
        <f>I1218</f>
        <v>2168.41</v>
      </c>
      <c r="J1217" s="125">
        <f>J1218</f>
        <v>1286.56</v>
      </c>
      <c r="K1217" s="125">
        <f>K1218</f>
        <v>1251.51</v>
      </c>
      <c r="L1217" s="126">
        <f>L1218</f>
        <v>63</v>
      </c>
      <c r="M1217" s="124" t="s">
        <v>896</v>
      </c>
      <c r="N1217" s="124" t="s">
        <v>896</v>
      </c>
      <c r="O1217" s="127" t="s">
        <v>896</v>
      </c>
      <c r="P1217" s="128">
        <v>2872957.67</v>
      </c>
      <c r="Q1217" s="128">
        <f>Q1218</f>
        <v>0</v>
      </c>
      <c r="R1217" s="128">
        <f>R1218</f>
        <v>0</v>
      </c>
      <c r="S1217" s="128">
        <f>S1218</f>
        <v>2872957.67</v>
      </c>
      <c r="T1217" s="128">
        <f t="shared" si="361"/>
        <v>1324.9144165540649</v>
      </c>
      <c r="U1217" s="128">
        <f>U1218</f>
        <v>2576.4374197684019</v>
      </c>
      <c r="V1217" s="257">
        <f t="shared" si="368"/>
        <v>1251.523003214337</v>
      </c>
      <c r="W1217" s="257"/>
      <c r="X1217" s="257"/>
      <c r="Y1217" s="258"/>
      <c r="Z1217" s="258"/>
      <c r="AA1217" s="258"/>
      <c r="AB1217" s="258"/>
      <c r="AC1217" s="258"/>
      <c r="AD1217" s="258"/>
      <c r="AE1217" s="258"/>
      <c r="AF1217" s="258"/>
      <c r="AG1217" s="258"/>
      <c r="AH1217" s="258"/>
      <c r="AI1217" s="258"/>
      <c r="AJ1217" s="258"/>
      <c r="AK1217" s="258"/>
      <c r="AL1217" s="258"/>
      <c r="AM1217" s="258"/>
      <c r="AN1217" s="258"/>
      <c r="AO1217" s="258"/>
    </row>
    <row r="1218" spans="1:191" s="196" customFormat="1" ht="36" customHeight="1" x14ac:dyDescent="0.25">
      <c r="A1218" s="259">
        <v>1</v>
      </c>
      <c r="B1218" s="135">
        <f>SUBTOTAL(103,$A$1000:A1218)</f>
        <v>182</v>
      </c>
      <c r="C1218" s="132" t="s">
        <v>65</v>
      </c>
      <c r="D1218" s="124">
        <v>1954</v>
      </c>
      <c r="E1218" s="124"/>
      <c r="F1218" s="134" t="s">
        <v>269</v>
      </c>
      <c r="G1218" s="124">
        <v>3</v>
      </c>
      <c r="H1218" s="124" t="s">
        <v>314</v>
      </c>
      <c r="I1218" s="125">
        <v>2168.41</v>
      </c>
      <c r="J1218" s="125">
        <v>1286.56</v>
      </c>
      <c r="K1218" s="125">
        <v>1251.51</v>
      </c>
      <c r="L1218" s="133">
        <v>63</v>
      </c>
      <c r="M1218" s="124" t="s">
        <v>267</v>
      </c>
      <c r="N1218" s="124" t="s">
        <v>271</v>
      </c>
      <c r="O1218" s="124" t="s">
        <v>274</v>
      </c>
      <c r="P1218" s="125">
        <v>2872957.67</v>
      </c>
      <c r="Q1218" s="125">
        <v>0</v>
      </c>
      <c r="R1218" s="125">
        <v>0</v>
      </c>
      <c r="S1218" s="125">
        <f>P1218-Q1218-R1218</f>
        <v>2872957.67</v>
      </c>
      <c r="T1218" s="128">
        <f t="shared" si="361"/>
        <v>1324.9144165540649</v>
      </c>
      <c r="U1218" s="128">
        <v>2576.4374197684019</v>
      </c>
      <c r="V1218" s="257">
        <f>U1218-T1218</f>
        <v>1251.523003214337</v>
      </c>
      <c r="W1218" s="257">
        <f>X1218+Y1218+Z1218+AA1218+AB1218+AD1218+AF1218+AH1218+AJ1218+AL1218+AN1218+AO1218</f>
        <v>2576.4374197684019</v>
      </c>
      <c r="X1218" s="257">
        <v>0</v>
      </c>
      <c r="Y1218" s="258">
        <v>0</v>
      </c>
      <c r="Z1218" s="258">
        <v>0</v>
      </c>
      <c r="AA1218" s="258">
        <v>0</v>
      </c>
      <c r="AB1218" s="258">
        <v>0</v>
      </c>
      <c r="AC1218" s="258">
        <v>0</v>
      </c>
      <c r="AD1218" s="258">
        <v>0</v>
      </c>
      <c r="AE1218" s="258">
        <v>0</v>
      </c>
      <c r="AF1218" s="257">
        <v>0</v>
      </c>
      <c r="AG1218" s="258">
        <v>0</v>
      </c>
      <c r="AH1218" s="257">
        <v>0</v>
      </c>
      <c r="AI1218" s="258">
        <v>0</v>
      </c>
      <c r="AJ1218" s="257">
        <v>0</v>
      </c>
      <c r="AK1218" s="258">
        <v>72.77</v>
      </c>
      <c r="AL1218" s="257">
        <f>76773.02*AK1218/I1218</f>
        <v>2576.4374197684019</v>
      </c>
      <c r="AM1218" s="258">
        <v>0</v>
      </c>
      <c r="AN1218" s="258"/>
      <c r="AO1218" s="258">
        <v>0</v>
      </c>
      <c r="AP1218" s="259"/>
      <c r="DQ1218" s="263"/>
      <c r="DR1218" s="263"/>
      <c r="DS1218" s="263"/>
      <c r="EP1218" s="264"/>
      <c r="FS1218" s="265"/>
      <c r="GI1218" s="266"/>
    </row>
    <row r="1219" spans="1:191" s="259" customFormat="1" ht="36" customHeight="1" x14ac:dyDescent="0.25">
      <c r="B1219" s="94" t="s">
        <v>851</v>
      </c>
      <c r="C1219" s="94"/>
      <c r="D1219" s="124" t="s">
        <v>757</v>
      </c>
      <c r="E1219" s="124" t="s">
        <v>757</v>
      </c>
      <c r="F1219" s="124" t="s">
        <v>757</v>
      </c>
      <c r="G1219" s="124" t="s">
        <v>757</v>
      </c>
      <c r="H1219" s="124" t="s">
        <v>757</v>
      </c>
      <c r="I1219" s="125">
        <f>I1220</f>
        <v>780.3</v>
      </c>
      <c r="J1219" s="125">
        <f>J1220</f>
        <v>720.3</v>
      </c>
      <c r="K1219" s="125">
        <f>K1220</f>
        <v>720.3</v>
      </c>
      <c r="L1219" s="126">
        <f>L1220</f>
        <v>40</v>
      </c>
      <c r="M1219" s="124" t="s">
        <v>896</v>
      </c>
      <c r="N1219" s="124" t="s">
        <v>896</v>
      </c>
      <c r="O1219" s="127" t="s">
        <v>896</v>
      </c>
      <c r="P1219" s="128">
        <v>2311215.4500000002</v>
      </c>
      <c r="Q1219" s="128">
        <f>Q1220</f>
        <v>0</v>
      </c>
      <c r="R1219" s="128">
        <f>R1220</f>
        <v>0</v>
      </c>
      <c r="S1219" s="128">
        <f>S1220</f>
        <v>2311215.4500000002</v>
      </c>
      <c r="T1219" s="128">
        <f t="shared" si="361"/>
        <v>2961.9575163398695</v>
      </c>
      <c r="U1219" s="128">
        <f>U1220</f>
        <v>3770.7154940407536</v>
      </c>
      <c r="V1219" s="257">
        <f t="shared" si="368"/>
        <v>808.75797770088411</v>
      </c>
      <c r="W1219" s="257"/>
      <c r="X1219" s="257"/>
      <c r="Y1219" s="258"/>
      <c r="Z1219" s="258"/>
      <c r="AA1219" s="258"/>
      <c r="AB1219" s="258"/>
      <c r="AC1219" s="258"/>
      <c r="AD1219" s="258"/>
      <c r="AE1219" s="258"/>
      <c r="AF1219" s="258"/>
      <c r="AG1219" s="258"/>
      <c r="AH1219" s="258"/>
      <c r="AI1219" s="258"/>
      <c r="AJ1219" s="258"/>
      <c r="AK1219" s="258"/>
      <c r="AL1219" s="258"/>
      <c r="AM1219" s="258"/>
      <c r="AN1219" s="258"/>
      <c r="AO1219" s="258"/>
    </row>
    <row r="1220" spans="1:191" s="196" customFormat="1" ht="36" customHeight="1" x14ac:dyDescent="0.25">
      <c r="A1220" s="259">
        <v>1</v>
      </c>
      <c r="B1220" s="135">
        <f>SUBTOTAL(103,$A$1000:A1220)</f>
        <v>183</v>
      </c>
      <c r="C1220" s="132" t="s">
        <v>64</v>
      </c>
      <c r="D1220" s="124">
        <v>1961</v>
      </c>
      <c r="E1220" s="124"/>
      <c r="F1220" s="134" t="s">
        <v>269</v>
      </c>
      <c r="G1220" s="124">
        <v>2</v>
      </c>
      <c r="H1220" s="124" t="s">
        <v>305</v>
      </c>
      <c r="I1220" s="125">
        <v>780.3</v>
      </c>
      <c r="J1220" s="125">
        <v>720.3</v>
      </c>
      <c r="K1220" s="125">
        <v>720.3</v>
      </c>
      <c r="L1220" s="133">
        <v>40</v>
      </c>
      <c r="M1220" s="124" t="s">
        <v>267</v>
      </c>
      <c r="N1220" s="124" t="s">
        <v>271</v>
      </c>
      <c r="O1220" s="124" t="s">
        <v>275</v>
      </c>
      <c r="P1220" s="125">
        <v>2311215.4500000002</v>
      </c>
      <c r="Q1220" s="125">
        <v>0</v>
      </c>
      <c r="R1220" s="125">
        <v>0</v>
      </c>
      <c r="S1220" s="125">
        <f>P1220-Q1220-R1220</f>
        <v>2311215.4500000002</v>
      </c>
      <c r="T1220" s="128">
        <f t="shared" si="361"/>
        <v>2961.9575163398695</v>
      </c>
      <c r="U1220" s="128">
        <v>3770.7154940407536</v>
      </c>
      <c r="V1220" s="257">
        <f>U1220-T1220</f>
        <v>808.75797770088411</v>
      </c>
      <c r="W1220" s="257">
        <f>X1220+Y1220+Z1220+AA1220+AB1220+AD1220+AF1220+AH1220+AJ1220+AL1220+AN1220+AO1220</f>
        <v>3757.8978597975138</v>
      </c>
      <c r="X1220" s="257">
        <v>0</v>
      </c>
      <c r="Y1220" s="258">
        <v>0</v>
      </c>
      <c r="Z1220" s="258">
        <v>0</v>
      </c>
      <c r="AA1220" s="258">
        <v>0</v>
      </c>
      <c r="AB1220" s="258">
        <v>0</v>
      </c>
      <c r="AC1220" s="258">
        <v>0</v>
      </c>
      <c r="AD1220" s="258">
        <v>0</v>
      </c>
      <c r="AE1220" s="258">
        <v>470</v>
      </c>
      <c r="AF1220" s="257">
        <f>6238.91*AE1220/I1220</f>
        <v>3757.8978597975138</v>
      </c>
      <c r="AG1220" s="258">
        <v>0</v>
      </c>
      <c r="AH1220" s="257">
        <v>0</v>
      </c>
      <c r="AI1220" s="258">
        <v>0</v>
      </c>
      <c r="AJ1220" s="257">
        <v>0</v>
      </c>
      <c r="AK1220" s="258">
        <v>0</v>
      </c>
      <c r="AL1220" s="258">
        <v>0</v>
      </c>
      <c r="AM1220" s="258">
        <v>0</v>
      </c>
      <c r="AN1220" s="258"/>
      <c r="AO1220" s="258">
        <v>0</v>
      </c>
      <c r="AP1220" s="259"/>
      <c r="DQ1220" s="263"/>
      <c r="DR1220" s="263"/>
      <c r="DS1220" s="263"/>
      <c r="EP1220" s="264"/>
      <c r="FS1220" s="265"/>
      <c r="GI1220" s="266"/>
    </row>
    <row r="1221" spans="1:191" s="259" customFormat="1" ht="36" customHeight="1" x14ac:dyDescent="0.25">
      <c r="B1221" s="94" t="s">
        <v>889</v>
      </c>
      <c r="C1221" s="94"/>
      <c r="D1221" s="124" t="s">
        <v>757</v>
      </c>
      <c r="E1221" s="124" t="s">
        <v>757</v>
      </c>
      <c r="F1221" s="124" t="s">
        <v>757</v>
      </c>
      <c r="G1221" s="124" t="s">
        <v>757</v>
      </c>
      <c r="H1221" s="124" t="s">
        <v>757</v>
      </c>
      <c r="I1221" s="125">
        <f>I1222</f>
        <v>540.79999999999995</v>
      </c>
      <c r="J1221" s="125">
        <f>J1222</f>
        <v>388.59</v>
      </c>
      <c r="K1221" s="125">
        <f>K1222</f>
        <v>251.8</v>
      </c>
      <c r="L1221" s="126">
        <f>L1222</f>
        <v>26</v>
      </c>
      <c r="M1221" s="124" t="s">
        <v>896</v>
      </c>
      <c r="N1221" s="124" t="s">
        <v>896</v>
      </c>
      <c r="O1221" s="127" t="s">
        <v>896</v>
      </c>
      <c r="P1221" s="128">
        <v>3215375.5700000003</v>
      </c>
      <c r="Q1221" s="128">
        <f>Q1222</f>
        <v>0</v>
      </c>
      <c r="R1221" s="128">
        <f>R1222</f>
        <v>0</v>
      </c>
      <c r="S1221" s="128">
        <f>S1222</f>
        <v>3215375.5700000003</v>
      </c>
      <c r="T1221" s="128">
        <f t="shared" si="361"/>
        <v>5945.5909208579897</v>
      </c>
      <c r="U1221" s="128">
        <f>U1222</f>
        <v>7127.9116020710062</v>
      </c>
      <c r="V1221" s="257">
        <f t="shared" si="368"/>
        <v>1182.3206812130165</v>
      </c>
      <c r="W1221" s="257"/>
      <c r="X1221" s="257"/>
      <c r="Y1221" s="258"/>
      <c r="Z1221" s="258"/>
      <c r="AA1221" s="258"/>
      <c r="AB1221" s="258"/>
      <c r="AC1221" s="258"/>
      <c r="AD1221" s="258"/>
      <c r="AE1221" s="258"/>
      <c r="AF1221" s="258"/>
      <c r="AG1221" s="258"/>
      <c r="AH1221" s="258"/>
      <c r="AI1221" s="258"/>
      <c r="AJ1221" s="258"/>
      <c r="AK1221" s="258"/>
      <c r="AL1221" s="258"/>
      <c r="AM1221" s="258"/>
      <c r="AN1221" s="258"/>
      <c r="AO1221" s="258"/>
    </row>
    <row r="1222" spans="1:191" s="196" customFormat="1" ht="36" customHeight="1" x14ac:dyDescent="0.25">
      <c r="A1222" s="259">
        <v>1</v>
      </c>
      <c r="B1222" s="135">
        <f>SUBTOTAL(103,$A$1000:A1222)</f>
        <v>184</v>
      </c>
      <c r="C1222" s="132" t="s">
        <v>70</v>
      </c>
      <c r="D1222" s="124">
        <v>1958</v>
      </c>
      <c r="E1222" s="124"/>
      <c r="F1222" s="134" t="s">
        <v>269</v>
      </c>
      <c r="G1222" s="124">
        <v>2</v>
      </c>
      <c r="H1222" s="124" t="s">
        <v>305</v>
      </c>
      <c r="I1222" s="125">
        <v>540.79999999999995</v>
      </c>
      <c r="J1222" s="125">
        <v>388.59</v>
      </c>
      <c r="K1222" s="125">
        <v>251.8</v>
      </c>
      <c r="L1222" s="133">
        <v>26</v>
      </c>
      <c r="M1222" s="124" t="s">
        <v>267</v>
      </c>
      <c r="N1222" s="124" t="s">
        <v>268</v>
      </c>
      <c r="O1222" s="124" t="s">
        <v>270</v>
      </c>
      <c r="P1222" s="125">
        <v>3215375.5700000003</v>
      </c>
      <c r="Q1222" s="125">
        <v>0</v>
      </c>
      <c r="R1222" s="125">
        <v>0</v>
      </c>
      <c r="S1222" s="125">
        <f>P1222-Q1222-R1222</f>
        <v>3215375.5700000003</v>
      </c>
      <c r="T1222" s="128">
        <f t="shared" si="361"/>
        <v>5945.5909208579897</v>
      </c>
      <c r="U1222" s="128">
        <v>7127.9116020710062</v>
      </c>
      <c r="V1222" s="257">
        <f>U1222-T1222</f>
        <v>1182.3206812130165</v>
      </c>
      <c r="W1222" s="257">
        <f>X1222+Y1222+Z1222+AA1222+AB1222+AD1222+AF1222+AH1222+AJ1222+AL1222+AN1222+AO1222</f>
        <v>7103.6819926035505</v>
      </c>
      <c r="X1222" s="257">
        <v>0</v>
      </c>
      <c r="Y1222" s="258">
        <v>0</v>
      </c>
      <c r="Z1222" s="258">
        <v>0</v>
      </c>
      <c r="AA1222" s="258">
        <v>0</v>
      </c>
      <c r="AB1222" s="258">
        <v>0</v>
      </c>
      <c r="AC1222" s="258">
        <v>0</v>
      </c>
      <c r="AD1222" s="258">
        <v>0</v>
      </c>
      <c r="AE1222" s="258">
        <v>615.76</v>
      </c>
      <c r="AF1222" s="257">
        <f>6238.91*AE1222/I1222</f>
        <v>7103.6819926035505</v>
      </c>
      <c r="AG1222" s="258">
        <v>0</v>
      </c>
      <c r="AH1222" s="257">
        <v>0</v>
      </c>
      <c r="AI1222" s="258">
        <v>0</v>
      </c>
      <c r="AJ1222" s="257">
        <v>0</v>
      </c>
      <c r="AK1222" s="258">
        <v>0</v>
      </c>
      <c r="AL1222" s="258">
        <v>0</v>
      </c>
      <c r="AM1222" s="258">
        <v>0</v>
      </c>
      <c r="AN1222" s="258"/>
      <c r="AO1222" s="258">
        <v>0</v>
      </c>
      <c r="AP1222" s="259"/>
      <c r="DQ1222" s="263"/>
      <c r="DR1222" s="263"/>
      <c r="DS1222" s="263"/>
      <c r="EP1222" s="264"/>
      <c r="FS1222" s="265"/>
      <c r="GI1222" s="266"/>
    </row>
    <row r="1223" spans="1:191" s="259" customFormat="1" ht="36" customHeight="1" x14ac:dyDescent="0.25">
      <c r="B1223" s="94" t="s">
        <v>852</v>
      </c>
      <c r="C1223" s="94"/>
      <c r="D1223" s="124" t="s">
        <v>896</v>
      </c>
      <c r="E1223" s="124" t="s">
        <v>896</v>
      </c>
      <c r="F1223" s="124" t="s">
        <v>896</v>
      </c>
      <c r="G1223" s="124" t="s">
        <v>896</v>
      </c>
      <c r="H1223" s="124" t="s">
        <v>896</v>
      </c>
      <c r="I1223" s="125">
        <f>SUM(I1224:I1226)</f>
        <v>2550.6999999999998</v>
      </c>
      <c r="J1223" s="125">
        <f>SUM(J1224:J1226)</f>
        <v>2520.7799999999997</v>
      </c>
      <c r="K1223" s="125">
        <f>SUM(K1224:K1226)</f>
        <v>2068.7200000000003</v>
      </c>
      <c r="L1223" s="126">
        <f>SUM(L1224:L1226)</f>
        <v>140</v>
      </c>
      <c r="M1223" s="124" t="s">
        <v>896</v>
      </c>
      <c r="N1223" s="124" t="s">
        <v>896</v>
      </c>
      <c r="O1223" s="127" t="s">
        <v>896</v>
      </c>
      <c r="P1223" s="128">
        <v>10672314.84</v>
      </c>
      <c r="Q1223" s="128">
        <f>Q1224+Q1225+Q1226</f>
        <v>0</v>
      </c>
      <c r="R1223" s="128">
        <f>R1224+R1225+R1226</f>
        <v>0</v>
      </c>
      <c r="S1223" s="128">
        <f>S1224+S1225+S1226</f>
        <v>10672314.84</v>
      </c>
      <c r="T1223" s="128">
        <f t="shared" si="361"/>
        <v>4184.0729368408674</v>
      </c>
      <c r="U1223" s="128">
        <f>MAX(U1224:U1226)</f>
        <v>6066.5758762886599</v>
      </c>
      <c r="V1223" s="257">
        <f t="shared" si="368"/>
        <v>1882.5029394477924</v>
      </c>
      <c r="W1223" s="257"/>
      <c r="X1223" s="257"/>
      <c r="Y1223" s="258"/>
      <c r="Z1223" s="258"/>
      <c r="AA1223" s="258"/>
      <c r="AB1223" s="258"/>
      <c r="AC1223" s="258"/>
      <c r="AD1223" s="258"/>
      <c r="AE1223" s="258"/>
      <c r="AF1223" s="258"/>
      <c r="AG1223" s="258"/>
      <c r="AH1223" s="258"/>
      <c r="AI1223" s="258"/>
      <c r="AJ1223" s="258"/>
      <c r="AK1223" s="258"/>
      <c r="AL1223" s="258"/>
      <c r="AM1223" s="258"/>
      <c r="AN1223" s="258"/>
      <c r="AO1223" s="258"/>
    </row>
    <row r="1224" spans="1:191" s="196" customFormat="1" ht="36" customHeight="1" x14ac:dyDescent="0.25">
      <c r="A1224" s="259">
        <v>1</v>
      </c>
      <c r="B1224" s="135">
        <f>SUBTOTAL(103,$A$1000:A1224)</f>
        <v>185</v>
      </c>
      <c r="C1224" s="132" t="s">
        <v>71</v>
      </c>
      <c r="D1224" s="124">
        <v>1977</v>
      </c>
      <c r="E1224" s="124"/>
      <c r="F1224" s="134" t="s">
        <v>269</v>
      </c>
      <c r="G1224" s="124">
        <v>3</v>
      </c>
      <c r="H1224" s="124" t="s">
        <v>305</v>
      </c>
      <c r="I1224" s="125">
        <v>850.1</v>
      </c>
      <c r="J1224" s="125">
        <v>850.1</v>
      </c>
      <c r="K1224" s="125">
        <v>745</v>
      </c>
      <c r="L1224" s="133">
        <v>38</v>
      </c>
      <c r="M1224" s="124" t="s">
        <v>267</v>
      </c>
      <c r="N1224" s="124" t="s">
        <v>268</v>
      </c>
      <c r="O1224" s="124" t="s">
        <v>270</v>
      </c>
      <c r="P1224" s="125">
        <v>2391584.4</v>
      </c>
      <c r="Q1224" s="125">
        <v>0</v>
      </c>
      <c r="R1224" s="125">
        <v>0</v>
      </c>
      <c r="S1224" s="125">
        <f>P1224-Q1224-R1224</f>
        <v>2391584.4</v>
      </c>
      <c r="T1224" s="128">
        <f t="shared" si="361"/>
        <v>2813.2977296788613</v>
      </c>
      <c r="U1224" s="128">
        <v>3372.7408775438184</v>
      </c>
      <c r="V1224" s="257">
        <f t="shared" si="368"/>
        <v>559.44314786495715</v>
      </c>
      <c r="W1224" s="257">
        <f t="shared" ref="W1224:W1226" si="373">X1224+Y1224+Z1224+AA1224+AB1224+AD1224+AF1224+AH1224+AJ1224+AL1224+AN1224+AO1224</f>
        <v>3361.2760616398068</v>
      </c>
      <c r="X1224" s="257">
        <v>0</v>
      </c>
      <c r="Y1224" s="258">
        <v>0</v>
      </c>
      <c r="Z1224" s="258">
        <v>0</v>
      </c>
      <c r="AA1224" s="258">
        <v>0</v>
      </c>
      <c r="AB1224" s="258">
        <v>0</v>
      </c>
      <c r="AC1224" s="258">
        <v>0</v>
      </c>
      <c r="AD1224" s="258">
        <v>0</v>
      </c>
      <c r="AE1224" s="258">
        <v>458</v>
      </c>
      <c r="AF1224" s="257">
        <f>6238.91*AE1224/I1224</f>
        <v>3361.2760616398068</v>
      </c>
      <c r="AG1224" s="258">
        <v>0</v>
      </c>
      <c r="AH1224" s="257">
        <v>0</v>
      </c>
      <c r="AI1224" s="258">
        <v>0</v>
      </c>
      <c r="AJ1224" s="257">
        <v>0</v>
      </c>
      <c r="AK1224" s="258">
        <v>0</v>
      </c>
      <c r="AL1224" s="258">
        <v>0</v>
      </c>
      <c r="AM1224" s="258">
        <v>0</v>
      </c>
      <c r="AN1224" s="258"/>
      <c r="AO1224" s="258">
        <v>0</v>
      </c>
      <c r="AP1224" s="259"/>
      <c r="DQ1224" s="263"/>
      <c r="DR1224" s="263"/>
      <c r="DS1224" s="263"/>
      <c r="EP1224" s="264"/>
      <c r="FS1224" s="265"/>
      <c r="GI1224" s="266"/>
    </row>
    <row r="1225" spans="1:191" s="196" customFormat="1" ht="36" customHeight="1" x14ac:dyDescent="0.25">
      <c r="A1225" s="259">
        <v>1</v>
      </c>
      <c r="B1225" s="135">
        <f>SUBTOTAL(103,$A$1000:A1225)</f>
        <v>186</v>
      </c>
      <c r="C1225" s="132" t="s">
        <v>72</v>
      </c>
      <c r="D1225" s="124">
        <v>1980</v>
      </c>
      <c r="E1225" s="124"/>
      <c r="F1225" s="134" t="s">
        <v>269</v>
      </c>
      <c r="G1225" s="124">
        <v>2</v>
      </c>
      <c r="H1225" s="124" t="s">
        <v>314</v>
      </c>
      <c r="I1225" s="125">
        <v>970</v>
      </c>
      <c r="J1225" s="125">
        <v>970</v>
      </c>
      <c r="K1225" s="125">
        <v>826.90000000000009</v>
      </c>
      <c r="L1225" s="133">
        <v>68</v>
      </c>
      <c r="M1225" s="124" t="s">
        <v>267</v>
      </c>
      <c r="N1225" s="124" t="s">
        <v>268</v>
      </c>
      <c r="O1225" s="124" t="s">
        <v>270</v>
      </c>
      <c r="P1225" s="125">
        <v>4908492</v>
      </c>
      <c r="Q1225" s="125">
        <v>0</v>
      </c>
      <c r="R1225" s="125">
        <v>0</v>
      </c>
      <c r="S1225" s="125">
        <f>P1225-Q1225-R1225</f>
        <v>4908492</v>
      </c>
      <c r="T1225" s="128">
        <f t="shared" si="361"/>
        <v>5060.3010309278352</v>
      </c>
      <c r="U1225" s="128">
        <v>6066.5758762886599</v>
      </c>
      <c r="V1225" s="257">
        <f t="shared" si="368"/>
        <v>1006.2748453608247</v>
      </c>
      <c r="W1225" s="257">
        <f t="shared" si="373"/>
        <v>6045.9540206185566</v>
      </c>
      <c r="X1225" s="257">
        <v>0</v>
      </c>
      <c r="Y1225" s="258">
        <v>0</v>
      </c>
      <c r="Z1225" s="258">
        <v>0</v>
      </c>
      <c r="AA1225" s="258">
        <v>0</v>
      </c>
      <c r="AB1225" s="258">
        <v>0</v>
      </c>
      <c r="AC1225" s="258">
        <v>0</v>
      </c>
      <c r="AD1225" s="258">
        <v>0</v>
      </c>
      <c r="AE1225" s="258">
        <v>940</v>
      </c>
      <c r="AF1225" s="257">
        <f>6238.91*AE1225/I1225</f>
        <v>6045.9540206185566</v>
      </c>
      <c r="AG1225" s="258">
        <v>0</v>
      </c>
      <c r="AH1225" s="257">
        <v>0</v>
      </c>
      <c r="AI1225" s="258">
        <v>0</v>
      </c>
      <c r="AJ1225" s="257">
        <v>0</v>
      </c>
      <c r="AK1225" s="258">
        <v>0</v>
      </c>
      <c r="AL1225" s="258">
        <v>0</v>
      </c>
      <c r="AM1225" s="258">
        <v>0</v>
      </c>
      <c r="AN1225" s="258"/>
      <c r="AO1225" s="258">
        <v>0</v>
      </c>
      <c r="AP1225" s="259"/>
      <c r="DQ1225" s="263"/>
      <c r="DR1225" s="263"/>
      <c r="DS1225" s="263"/>
      <c r="EP1225" s="264"/>
      <c r="FS1225" s="265"/>
      <c r="GI1225" s="266"/>
    </row>
    <row r="1226" spans="1:191" s="196" customFormat="1" ht="36" customHeight="1" x14ac:dyDescent="0.25">
      <c r="A1226" s="259">
        <v>1</v>
      </c>
      <c r="B1226" s="135">
        <f>SUBTOTAL(103,$A$1000:A1226)</f>
        <v>187</v>
      </c>
      <c r="C1226" s="132" t="s">
        <v>73</v>
      </c>
      <c r="D1226" s="124">
        <v>1969</v>
      </c>
      <c r="E1226" s="124"/>
      <c r="F1226" s="134" t="s">
        <v>269</v>
      </c>
      <c r="G1226" s="124">
        <v>2</v>
      </c>
      <c r="H1226" s="124" t="s">
        <v>305</v>
      </c>
      <c r="I1226" s="125">
        <v>730.6</v>
      </c>
      <c r="J1226" s="125">
        <v>700.68</v>
      </c>
      <c r="K1226" s="125">
        <v>496.82</v>
      </c>
      <c r="L1226" s="133">
        <v>34</v>
      </c>
      <c r="M1226" s="124" t="s">
        <v>267</v>
      </c>
      <c r="N1226" s="124" t="s">
        <v>268</v>
      </c>
      <c r="O1226" s="124" t="s">
        <v>270</v>
      </c>
      <c r="P1226" s="125">
        <v>3372238.44</v>
      </c>
      <c r="Q1226" s="125">
        <v>0</v>
      </c>
      <c r="R1226" s="125">
        <v>0</v>
      </c>
      <c r="S1226" s="125">
        <f>P1226-Q1226-R1226</f>
        <v>3372238.44</v>
      </c>
      <c r="T1226" s="128">
        <f t="shared" si="361"/>
        <v>4615.710977278949</v>
      </c>
      <c r="U1226" s="128">
        <v>5533.5761045715844</v>
      </c>
      <c r="V1226" s="257">
        <f t="shared" si="368"/>
        <v>917.86512729263541</v>
      </c>
      <c r="W1226" s="257">
        <f t="shared" si="373"/>
        <v>5514.7660525595393</v>
      </c>
      <c r="X1226" s="257">
        <v>0</v>
      </c>
      <c r="Y1226" s="258">
        <v>0</v>
      </c>
      <c r="Z1226" s="258">
        <v>0</v>
      </c>
      <c r="AA1226" s="258">
        <v>0</v>
      </c>
      <c r="AB1226" s="258">
        <v>0</v>
      </c>
      <c r="AC1226" s="258">
        <v>0</v>
      </c>
      <c r="AD1226" s="258">
        <v>0</v>
      </c>
      <c r="AE1226" s="258">
        <v>645.79999999999995</v>
      </c>
      <c r="AF1226" s="257">
        <f>6238.91*AE1226/I1226</f>
        <v>5514.7660525595393</v>
      </c>
      <c r="AG1226" s="258">
        <v>0</v>
      </c>
      <c r="AH1226" s="257">
        <v>0</v>
      </c>
      <c r="AI1226" s="258">
        <v>0</v>
      </c>
      <c r="AJ1226" s="257">
        <v>0</v>
      </c>
      <c r="AK1226" s="258">
        <v>0</v>
      </c>
      <c r="AL1226" s="258">
        <v>0</v>
      </c>
      <c r="AM1226" s="258">
        <v>0</v>
      </c>
      <c r="AN1226" s="258"/>
      <c r="AO1226" s="258">
        <v>0</v>
      </c>
      <c r="AP1226" s="259"/>
      <c r="DQ1226" s="263"/>
      <c r="DR1226" s="263"/>
      <c r="DS1226" s="263"/>
      <c r="EP1226" s="264"/>
      <c r="FS1226" s="265"/>
      <c r="GI1226" s="266"/>
    </row>
    <row r="1227" spans="1:191" s="259" customFormat="1" ht="36" customHeight="1" x14ac:dyDescent="0.25">
      <c r="B1227" s="94" t="s">
        <v>848</v>
      </c>
      <c r="C1227" s="94"/>
      <c r="D1227" s="124" t="s">
        <v>896</v>
      </c>
      <c r="E1227" s="124" t="s">
        <v>896</v>
      </c>
      <c r="F1227" s="124" t="s">
        <v>896</v>
      </c>
      <c r="G1227" s="124" t="s">
        <v>896</v>
      </c>
      <c r="H1227" s="124" t="s">
        <v>896</v>
      </c>
      <c r="I1227" s="125">
        <f>I1228</f>
        <v>5523</v>
      </c>
      <c r="J1227" s="125">
        <f>J1228</f>
        <v>4570.6000000000004</v>
      </c>
      <c r="K1227" s="125">
        <f>K1228</f>
        <v>2967.3500000000004</v>
      </c>
      <c r="L1227" s="126">
        <f>L1228</f>
        <v>208</v>
      </c>
      <c r="M1227" s="124" t="s">
        <v>896</v>
      </c>
      <c r="N1227" s="124" t="s">
        <v>896</v>
      </c>
      <c r="O1227" s="127" t="s">
        <v>896</v>
      </c>
      <c r="P1227" s="128">
        <v>3912770.8299999996</v>
      </c>
      <c r="Q1227" s="128">
        <f>Q1228</f>
        <v>0</v>
      </c>
      <c r="R1227" s="128">
        <f>R1228</f>
        <v>0</v>
      </c>
      <c r="S1227" s="128">
        <f>S1228</f>
        <v>3912770.8299999996</v>
      </c>
      <c r="T1227" s="128">
        <f t="shared" si="361"/>
        <v>708.45026797030596</v>
      </c>
      <c r="U1227" s="128">
        <f>U1228</f>
        <v>1496.1888104291145</v>
      </c>
      <c r="V1227" s="257">
        <f t="shared" si="368"/>
        <v>787.73854245880852</v>
      </c>
      <c r="W1227" s="257"/>
      <c r="X1227" s="257"/>
      <c r="Y1227" s="258"/>
      <c r="Z1227" s="258"/>
      <c r="AA1227" s="258"/>
      <c r="AB1227" s="258"/>
      <c r="AC1227" s="258"/>
      <c r="AD1227" s="258"/>
      <c r="AE1227" s="258"/>
      <c r="AF1227" s="258"/>
      <c r="AG1227" s="258"/>
      <c r="AH1227" s="258"/>
      <c r="AI1227" s="258"/>
      <c r="AJ1227" s="258"/>
      <c r="AK1227" s="258"/>
      <c r="AL1227" s="258"/>
      <c r="AM1227" s="258"/>
      <c r="AN1227" s="258"/>
      <c r="AO1227" s="258"/>
    </row>
    <row r="1228" spans="1:191" s="196" customFormat="1" ht="36" customHeight="1" x14ac:dyDescent="0.25">
      <c r="A1228" s="259">
        <v>1</v>
      </c>
      <c r="B1228" s="135">
        <f>SUBTOTAL(103,$A$1000:A1228)</f>
        <v>188</v>
      </c>
      <c r="C1228" s="132" t="s">
        <v>1575</v>
      </c>
      <c r="D1228" s="124">
        <v>1979</v>
      </c>
      <c r="E1228" s="124"/>
      <c r="F1228" s="134" t="s">
        <v>1585</v>
      </c>
      <c r="G1228" s="124">
        <v>5</v>
      </c>
      <c r="H1228" s="124" t="s">
        <v>373</v>
      </c>
      <c r="I1228" s="125">
        <v>5523</v>
      </c>
      <c r="J1228" s="125">
        <v>4570.6000000000004</v>
      </c>
      <c r="K1228" s="125">
        <v>2967.3500000000004</v>
      </c>
      <c r="L1228" s="133">
        <v>208</v>
      </c>
      <c r="M1228" s="124" t="s">
        <v>267</v>
      </c>
      <c r="N1228" s="124" t="s">
        <v>271</v>
      </c>
      <c r="O1228" s="124" t="s">
        <v>1537</v>
      </c>
      <c r="P1228" s="125">
        <v>3912770.8299999996</v>
      </c>
      <c r="Q1228" s="125">
        <v>0</v>
      </c>
      <c r="R1228" s="125">
        <v>0</v>
      </c>
      <c r="S1228" s="125">
        <f>P1228-Q1228-R1228</f>
        <v>3912770.8299999996</v>
      </c>
      <c r="T1228" s="128">
        <f t="shared" si="361"/>
        <v>708.45026797030596</v>
      </c>
      <c r="U1228" s="128">
        <v>1496.1888104291145</v>
      </c>
      <c r="V1228" s="257">
        <f>U1228-T1228</f>
        <v>787.73854245880852</v>
      </c>
      <c r="W1228" s="257">
        <f>X1228+Y1228+Z1228+AA1228+AB1228+AD1228+AF1228+AH1228+AJ1228+AL1228+AN1228+AO1228</f>
        <v>1491.1028788701792</v>
      </c>
      <c r="X1228" s="257">
        <v>0</v>
      </c>
      <c r="Y1228" s="258">
        <v>0</v>
      </c>
      <c r="Z1228" s="258">
        <v>0</v>
      </c>
      <c r="AA1228" s="258">
        <v>0</v>
      </c>
      <c r="AB1228" s="258">
        <v>0</v>
      </c>
      <c r="AC1228" s="258">
        <v>0</v>
      </c>
      <c r="AD1228" s="258">
        <v>0</v>
      </c>
      <c r="AE1228" s="258">
        <v>1320</v>
      </c>
      <c r="AF1228" s="257">
        <f>6238.91*AE1228/I1228</f>
        <v>1491.1028788701792</v>
      </c>
      <c r="AG1228" s="258">
        <v>0</v>
      </c>
      <c r="AH1228" s="257">
        <v>0</v>
      </c>
      <c r="AI1228" s="258">
        <v>0</v>
      </c>
      <c r="AJ1228" s="257">
        <v>0</v>
      </c>
      <c r="AK1228" s="258">
        <v>0</v>
      </c>
      <c r="AL1228" s="258">
        <v>0</v>
      </c>
      <c r="AM1228" s="258">
        <v>0</v>
      </c>
      <c r="AN1228" s="258"/>
      <c r="AO1228" s="258">
        <v>0</v>
      </c>
      <c r="AP1228" s="259"/>
      <c r="DQ1228" s="263"/>
      <c r="DR1228" s="263"/>
      <c r="DS1228" s="263"/>
      <c r="EP1228" s="264"/>
      <c r="FS1228" s="265"/>
      <c r="GI1228" s="266"/>
    </row>
    <row r="1229" spans="1:191" s="259" customFormat="1" ht="36" customHeight="1" x14ac:dyDescent="0.25">
      <c r="B1229" s="94" t="s">
        <v>853</v>
      </c>
      <c r="C1229" s="261"/>
      <c r="D1229" s="124" t="s">
        <v>896</v>
      </c>
      <c r="E1229" s="124" t="s">
        <v>896</v>
      </c>
      <c r="F1229" s="124" t="s">
        <v>896</v>
      </c>
      <c r="G1229" s="124" t="s">
        <v>896</v>
      </c>
      <c r="H1229" s="124" t="s">
        <v>896</v>
      </c>
      <c r="I1229" s="125">
        <f>I1230</f>
        <v>1046.8</v>
      </c>
      <c r="J1229" s="125">
        <f>J1230</f>
        <v>929.5</v>
      </c>
      <c r="K1229" s="125">
        <f>K1230</f>
        <v>929.5</v>
      </c>
      <c r="L1229" s="126">
        <f>L1230</f>
        <v>44</v>
      </c>
      <c r="M1229" s="124" t="s">
        <v>896</v>
      </c>
      <c r="N1229" s="124" t="s">
        <v>896</v>
      </c>
      <c r="O1229" s="127" t="s">
        <v>896</v>
      </c>
      <c r="P1229" s="128">
        <v>4804056</v>
      </c>
      <c r="Q1229" s="128">
        <f>Q1230</f>
        <v>0</v>
      </c>
      <c r="R1229" s="128">
        <f>R1230</f>
        <v>0</v>
      </c>
      <c r="S1229" s="128">
        <f>S1230</f>
        <v>4804056</v>
      </c>
      <c r="T1229" s="128">
        <f t="shared" si="361"/>
        <v>4589.277799006496</v>
      </c>
      <c r="U1229" s="128">
        <f>U1230</f>
        <v>5531.7880683989306</v>
      </c>
      <c r="V1229" s="257">
        <f t="shared" si="368"/>
        <v>942.51026939243457</v>
      </c>
      <c r="W1229" s="257"/>
      <c r="X1229" s="257"/>
      <c r="Y1229" s="258"/>
      <c r="Z1229" s="258"/>
      <c r="AA1229" s="258"/>
      <c r="AB1229" s="258"/>
      <c r="AC1229" s="258"/>
      <c r="AD1229" s="258"/>
      <c r="AE1229" s="258"/>
      <c r="AF1229" s="258"/>
      <c r="AG1229" s="258"/>
      <c r="AH1229" s="258"/>
      <c r="AI1229" s="258"/>
      <c r="AJ1229" s="258"/>
      <c r="AK1229" s="258"/>
      <c r="AL1229" s="258"/>
      <c r="AM1229" s="258"/>
      <c r="AN1229" s="258"/>
      <c r="AO1229" s="258"/>
    </row>
    <row r="1230" spans="1:191" s="196" customFormat="1" ht="36" customHeight="1" x14ac:dyDescent="0.25">
      <c r="A1230" s="259">
        <v>1</v>
      </c>
      <c r="B1230" s="135">
        <f>SUBTOTAL(103,$A$1000:A1230)</f>
        <v>189</v>
      </c>
      <c r="C1230" s="132" t="s">
        <v>227</v>
      </c>
      <c r="D1230" s="124">
        <v>1994</v>
      </c>
      <c r="E1230" s="124"/>
      <c r="F1230" s="134" t="s">
        <v>269</v>
      </c>
      <c r="G1230" s="124">
        <v>2</v>
      </c>
      <c r="H1230" s="124" t="s">
        <v>314</v>
      </c>
      <c r="I1230" s="125">
        <v>1046.8</v>
      </c>
      <c r="J1230" s="125">
        <v>929.5</v>
      </c>
      <c r="K1230" s="125">
        <v>929.5</v>
      </c>
      <c r="L1230" s="133">
        <v>44</v>
      </c>
      <c r="M1230" s="124" t="s">
        <v>267</v>
      </c>
      <c r="N1230" s="124" t="s">
        <v>271</v>
      </c>
      <c r="O1230" s="124" t="s">
        <v>707</v>
      </c>
      <c r="P1230" s="125">
        <v>4804056</v>
      </c>
      <c r="Q1230" s="125">
        <v>0</v>
      </c>
      <c r="R1230" s="125">
        <v>0</v>
      </c>
      <c r="S1230" s="125">
        <f>P1230-Q1230-R1230</f>
        <v>4804056</v>
      </c>
      <c r="T1230" s="128">
        <f t="shared" ref="T1230:T1272" si="374">P1230/I1230</f>
        <v>4589.277799006496</v>
      </c>
      <c r="U1230" s="128">
        <v>5531.7880683989306</v>
      </c>
      <c r="V1230" s="257">
        <f>U1230-T1230</f>
        <v>942.51026939243457</v>
      </c>
      <c r="W1230" s="257">
        <f>X1230+Y1230+Z1230+AA1230+AB1230+AD1230+AF1230+AH1230+AJ1230+AL1230+AN1230+AO1230</f>
        <v>5512.9840943828813</v>
      </c>
      <c r="X1230" s="257">
        <v>0</v>
      </c>
      <c r="Y1230" s="258">
        <v>0</v>
      </c>
      <c r="Z1230" s="258">
        <v>0</v>
      </c>
      <c r="AA1230" s="258">
        <v>0</v>
      </c>
      <c r="AB1230" s="258">
        <v>0</v>
      </c>
      <c r="AC1230" s="258">
        <v>0</v>
      </c>
      <c r="AD1230" s="258">
        <v>0</v>
      </c>
      <c r="AE1230" s="258">
        <v>925</v>
      </c>
      <c r="AF1230" s="257">
        <f>6238.91*AE1230/I1230</f>
        <v>5512.9840943828813</v>
      </c>
      <c r="AG1230" s="258">
        <v>0</v>
      </c>
      <c r="AH1230" s="257">
        <v>0</v>
      </c>
      <c r="AI1230" s="258">
        <v>0</v>
      </c>
      <c r="AJ1230" s="257">
        <v>0</v>
      </c>
      <c r="AK1230" s="258">
        <v>0</v>
      </c>
      <c r="AL1230" s="258">
        <v>0</v>
      </c>
      <c r="AM1230" s="258">
        <v>0</v>
      </c>
      <c r="AN1230" s="258"/>
      <c r="AO1230" s="258">
        <v>0</v>
      </c>
      <c r="AP1230" s="259"/>
      <c r="DQ1230" s="263"/>
      <c r="DR1230" s="263"/>
      <c r="DS1230" s="263"/>
      <c r="EP1230" s="264"/>
      <c r="FS1230" s="265"/>
      <c r="GI1230" s="266"/>
    </row>
    <row r="1231" spans="1:191" s="259" customFormat="1" ht="36" customHeight="1" x14ac:dyDescent="0.25">
      <c r="B1231" s="94" t="s">
        <v>888</v>
      </c>
      <c r="C1231" s="261"/>
      <c r="D1231" s="124" t="s">
        <v>896</v>
      </c>
      <c r="E1231" s="124" t="s">
        <v>896</v>
      </c>
      <c r="F1231" s="124" t="s">
        <v>896</v>
      </c>
      <c r="G1231" s="124" t="s">
        <v>896</v>
      </c>
      <c r="H1231" s="124" t="s">
        <v>896</v>
      </c>
      <c r="I1231" s="125">
        <f>I1232</f>
        <v>3554.5</v>
      </c>
      <c r="J1231" s="125">
        <f>J1232</f>
        <v>3554.5</v>
      </c>
      <c r="K1231" s="125">
        <f>K1232</f>
        <v>3220.4</v>
      </c>
      <c r="L1231" s="126">
        <f>L1232</f>
        <v>158</v>
      </c>
      <c r="M1231" s="124" t="s">
        <v>896</v>
      </c>
      <c r="N1231" s="124" t="s">
        <v>896</v>
      </c>
      <c r="O1231" s="127" t="s">
        <v>896</v>
      </c>
      <c r="P1231" s="128">
        <v>7284801.9000000004</v>
      </c>
      <c r="Q1231" s="128">
        <f>Q1232</f>
        <v>0</v>
      </c>
      <c r="R1231" s="128">
        <f>R1232</f>
        <v>0</v>
      </c>
      <c r="S1231" s="128">
        <f>S1232</f>
        <v>7284801.9000000004</v>
      </c>
      <c r="T1231" s="128">
        <f t="shared" si="374"/>
        <v>2049.4589675059783</v>
      </c>
      <c r="U1231" s="128">
        <f>U1232</f>
        <v>2644.4562343041662</v>
      </c>
      <c r="V1231" s="257">
        <f t="shared" si="368"/>
        <v>594.99726679818787</v>
      </c>
      <c r="W1231" s="257"/>
      <c r="X1231" s="257"/>
      <c r="Y1231" s="258"/>
      <c r="Z1231" s="258"/>
      <c r="AA1231" s="258"/>
      <c r="AB1231" s="258"/>
      <c r="AC1231" s="258"/>
      <c r="AD1231" s="258"/>
      <c r="AE1231" s="258"/>
      <c r="AF1231" s="258"/>
      <c r="AG1231" s="258"/>
      <c r="AH1231" s="258"/>
      <c r="AI1231" s="258"/>
      <c r="AJ1231" s="258"/>
      <c r="AK1231" s="258"/>
      <c r="AL1231" s="258"/>
      <c r="AM1231" s="258"/>
      <c r="AN1231" s="258"/>
      <c r="AO1231" s="258"/>
    </row>
    <row r="1232" spans="1:191" s="196" customFormat="1" ht="36" customHeight="1" x14ac:dyDescent="0.25">
      <c r="A1232" s="259">
        <v>1</v>
      </c>
      <c r="B1232" s="135">
        <f>SUBTOTAL(103,$A$1000:A1232)</f>
        <v>190</v>
      </c>
      <c r="C1232" s="132" t="s">
        <v>160</v>
      </c>
      <c r="D1232" s="124">
        <v>1987</v>
      </c>
      <c r="E1232" s="124"/>
      <c r="F1232" s="134" t="s">
        <v>289</v>
      </c>
      <c r="G1232" s="124">
        <v>3</v>
      </c>
      <c r="H1232" s="124" t="s">
        <v>2294</v>
      </c>
      <c r="I1232" s="125">
        <v>3554.5</v>
      </c>
      <c r="J1232" s="125">
        <v>3554.5</v>
      </c>
      <c r="K1232" s="125">
        <v>3220.4</v>
      </c>
      <c r="L1232" s="133">
        <v>158</v>
      </c>
      <c r="M1232" s="124" t="s">
        <v>267</v>
      </c>
      <c r="N1232" s="124" t="s">
        <v>271</v>
      </c>
      <c r="O1232" s="124" t="s">
        <v>999</v>
      </c>
      <c r="P1232" s="125">
        <v>7284801.9000000004</v>
      </c>
      <c r="Q1232" s="125">
        <v>0</v>
      </c>
      <c r="R1232" s="125">
        <v>0</v>
      </c>
      <c r="S1232" s="125">
        <f>P1232-Q1232-R1232</f>
        <v>7284801.9000000004</v>
      </c>
      <c r="T1232" s="128">
        <f t="shared" si="374"/>
        <v>2049.4589675059783</v>
      </c>
      <c r="U1232" s="128">
        <v>2644.4562343041662</v>
      </c>
      <c r="V1232" s="257">
        <f>U1232-T1232</f>
        <v>594.99726679818787</v>
      </c>
      <c r="W1232" s="257">
        <f>X1232+Y1232+Z1232+AA1232+AB1232+AD1232+AF1232+AH1232+AJ1232+AL1232+AN1232+AO1232</f>
        <v>2635.4670456907224</v>
      </c>
      <c r="X1232" s="257">
        <v>0</v>
      </c>
      <c r="Y1232" s="258">
        <v>0</v>
      </c>
      <c r="Z1232" s="258">
        <v>0</v>
      </c>
      <c r="AA1232" s="258">
        <v>0</v>
      </c>
      <c r="AB1232" s="258">
        <v>0</v>
      </c>
      <c r="AC1232" s="258">
        <v>0</v>
      </c>
      <c r="AD1232" s="258">
        <v>0</v>
      </c>
      <c r="AE1232" s="258">
        <v>1501.50709241</v>
      </c>
      <c r="AF1232" s="257">
        <f>6238.91*AE1232/I1232</f>
        <v>2635.4670456907224</v>
      </c>
      <c r="AG1232" s="258">
        <v>0</v>
      </c>
      <c r="AH1232" s="257">
        <v>0</v>
      </c>
      <c r="AI1232" s="258">
        <v>0</v>
      </c>
      <c r="AJ1232" s="257">
        <v>0</v>
      </c>
      <c r="AK1232" s="258">
        <v>0</v>
      </c>
      <c r="AL1232" s="258">
        <v>0</v>
      </c>
      <c r="AM1232" s="258">
        <v>0</v>
      </c>
      <c r="AN1232" s="258"/>
      <c r="AO1232" s="258">
        <v>0</v>
      </c>
      <c r="AP1232" s="259"/>
      <c r="DQ1232" s="263"/>
      <c r="DR1232" s="263"/>
      <c r="DS1232" s="263"/>
      <c r="EP1232" s="264"/>
      <c r="FS1232" s="265"/>
      <c r="GI1232" s="266"/>
    </row>
    <row r="1233" spans="1:191" s="259" customFormat="1" ht="36" customHeight="1" x14ac:dyDescent="0.25">
      <c r="B1233" s="94" t="s">
        <v>884</v>
      </c>
      <c r="C1233" s="94"/>
      <c r="D1233" s="124" t="s">
        <v>896</v>
      </c>
      <c r="E1233" s="124" t="s">
        <v>896</v>
      </c>
      <c r="F1233" s="124" t="s">
        <v>896</v>
      </c>
      <c r="G1233" s="124" t="s">
        <v>896</v>
      </c>
      <c r="H1233" s="124" t="s">
        <v>896</v>
      </c>
      <c r="I1233" s="125">
        <f>SUM(I1234:I1235)</f>
        <v>2640.94</v>
      </c>
      <c r="J1233" s="125">
        <f>SUM(J1234:J1235)</f>
        <v>1584.6</v>
      </c>
      <c r="K1233" s="125">
        <f>SUM(K1234:K1235)</f>
        <v>1443.9</v>
      </c>
      <c r="L1233" s="126">
        <f>SUM(L1234:L1235)</f>
        <v>92</v>
      </c>
      <c r="M1233" s="124" t="s">
        <v>896</v>
      </c>
      <c r="N1233" s="124" t="s">
        <v>896</v>
      </c>
      <c r="O1233" s="127" t="s">
        <v>896</v>
      </c>
      <c r="P1233" s="128">
        <v>4011881.02</v>
      </c>
      <c r="Q1233" s="128">
        <f>Q1234+Q1235</f>
        <v>0</v>
      </c>
      <c r="R1233" s="128">
        <f>R1234+R1235</f>
        <v>0</v>
      </c>
      <c r="S1233" s="128">
        <f>S1234+S1235</f>
        <v>4011881.02</v>
      </c>
      <c r="T1233" s="128">
        <f t="shared" si="374"/>
        <v>1519.1110059297068</v>
      </c>
      <c r="U1233" s="128">
        <f>MAX(U1234:U1235)</f>
        <v>3396.589156346749</v>
      </c>
      <c r="V1233" s="257">
        <f t="shared" si="368"/>
        <v>1877.4781504170421</v>
      </c>
      <c r="W1233" s="257"/>
      <c r="X1233" s="257"/>
      <c r="Y1233" s="258"/>
      <c r="Z1233" s="258"/>
      <c r="AA1233" s="258"/>
      <c r="AB1233" s="258"/>
      <c r="AC1233" s="258"/>
      <c r="AD1233" s="258"/>
      <c r="AE1233" s="258"/>
      <c r="AF1233" s="258"/>
      <c r="AG1233" s="258"/>
      <c r="AH1233" s="258"/>
      <c r="AI1233" s="258"/>
      <c r="AJ1233" s="258"/>
      <c r="AK1233" s="258"/>
      <c r="AL1233" s="258"/>
      <c r="AM1233" s="258"/>
      <c r="AN1233" s="258"/>
      <c r="AO1233" s="258"/>
    </row>
    <row r="1234" spans="1:191" s="196" customFormat="1" ht="36" customHeight="1" x14ac:dyDescent="0.25">
      <c r="A1234" s="259">
        <v>1</v>
      </c>
      <c r="B1234" s="135">
        <f>SUBTOTAL(103,$A$1000:A1234)</f>
        <v>191</v>
      </c>
      <c r="C1234" s="132" t="s">
        <v>165</v>
      </c>
      <c r="D1234" s="124">
        <v>1978</v>
      </c>
      <c r="E1234" s="124"/>
      <c r="F1234" s="134" t="s">
        <v>269</v>
      </c>
      <c r="G1234" s="124">
        <v>2</v>
      </c>
      <c r="H1234" s="124" t="s">
        <v>305</v>
      </c>
      <c r="I1234" s="125">
        <v>1219.74</v>
      </c>
      <c r="J1234" s="125">
        <v>712.8</v>
      </c>
      <c r="K1234" s="125">
        <v>712.8</v>
      </c>
      <c r="L1234" s="133">
        <v>45</v>
      </c>
      <c r="M1234" s="124" t="s">
        <v>267</v>
      </c>
      <c r="N1234" s="124" t="s">
        <v>271</v>
      </c>
      <c r="O1234" s="124" t="s">
        <v>999</v>
      </c>
      <c r="P1234" s="125">
        <v>329863.09999999998</v>
      </c>
      <c r="Q1234" s="125">
        <v>0</v>
      </c>
      <c r="R1234" s="125">
        <v>0</v>
      </c>
      <c r="S1234" s="125">
        <f>P1234-Q1234-R1234</f>
        <v>329863.09999999998</v>
      </c>
      <c r="T1234" s="128">
        <f t="shared" si="374"/>
        <v>270.43722432649577</v>
      </c>
      <c r="U1234" s="128">
        <v>597.69442668109605</v>
      </c>
      <c r="V1234" s="257">
        <f t="shared" si="368"/>
        <v>327.25720235460028</v>
      </c>
      <c r="W1234" s="257">
        <f t="shared" ref="W1234:W1235" si="375">X1234+Y1234+Z1234+AA1234+AB1234+AD1234+AF1234+AH1234+AJ1234+AL1234+AN1234+AO1234</f>
        <v>597.69442668109605</v>
      </c>
      <c r="X1234" s="257">
        <v>0</v>
      </c>
      <c r="Y1234" s="258">
        <v>0</v>
      </c>
      <c r="Z1234" s="258">
        <v>0</v>
      </c>
      <c r="AA1234" s="258">
        <v>0</v>
      </c>
      <c r="AB1234" s="258">
        <v>0</v>
      </c>
      <c r="AC1234" s="258">
        <v>0</v>
      </c>
      <c r="AD1234" s="258">
        <v>0</v>
      </c>
      <c r="AE1234" s="258">
        <v>0</v>
      </c>
      <c r="AF1234" s="257">
        <v>0</v>
      </c>
      <c r="AG1234" s="258">
        <v>0</v>
      </c>
      <c r="AH1234" s="257">
        <v>0</v>
      </c>
      <c r="AI1234" s="258">
        <v>98</v>
      </c>
      <c r="AJ1234" s="257">
        <f>7439.1*AI1234/I1234</f>
        <v>597.69442668109605</v>
      </c>
      <c r="AK1234" s="258">
        <v>0</v>
      </c>
      <c r="AL1234" s="258">
        <v>0</v>
      </c>
      <c r="AM1234" s="258">
        <v>0</v>
      </c>
      <c r="AN1234" s="258"/>
      <c r="AO1234" s="258">
        <v>0</v>
      </c>
      <c r="AP1234" s="259"/>
      <c r="DQ1234" s="263"/>
      <c r="DR1234" s="263"/>
      <c r="DS1234" s="263"/>
      <c r="EP1234" s="264"/>
      <c r="FS1234" s="265"/>
      <c r="GI1234" s="266"/>
    </row>
    <row r="1235" spans="1:191" s="196" customFormat="1" ht="36" customHeight="1" x14ac:dyDescent="0.25">
      <c r="A1235" s="259">
        <v>1</v>
      </c>
      <c r="B1235" s="135">
        <f>SUBTOTAL(103,$A$1000:A1235)</f>
        <v>192</v>
      </c>
      <c r="C1235" s="132" t="s">
        <v>166</v>
      </c>
      <c r="D1235" s="124">
        <v>1989</v>
      </c>
      <c r="E1235" s="124"/>
      <c r="F1235" s="134" t="s">
        <v>269</v>
      </c>
      <c r="G1235" s="124">
        <v>2</v>
      </c>
      <c r="H1235" s="124" t="s">
        <v>314</v>
      </c>
      <c r="I1235" s="125">
        <v>1421.2</v>
      </c>
      <c r="J1235" s="125">
        <v>871.8</v>
      </c>
      <c r="K1235" s="125">
        <v>731.1</v>
      </c>
      <c r="L1235" s="133">
        <v>47</v>
      </c>
      <c r="M1235" s="124" t="s">
        <v>267</v>
      </c>
      <c r="N1235" s="124" t="s">
        <v>271</v>
      </c>
      <c r="O1235" s="124" t="s">
        <v>999</v>
      </c>
      <c r="P1235" s="125">
        <v>3682017.92</v>
      </c>
      <c r="Q1235" s="125">
        <v>0</v>
      </c>
      <c r="R1235" s="125">
        <v>0</v>
      </c>
      <c r="S1235" s="125">
        <f>P1235-Q1235-R1235</f>
        <v>3682017.92</v>
      </c>
      <c r="T1235" s="128">
        <f t="shared" si="374"/>
        <v>2590.7809738249366</v>
      </c>
      <c r="U1235" s="128">
        <v>3396.589156346749</v>
      </c>
      <c r="V1235" s="257">
        <f t="shared" si="368"/>
        <v>805.80818252181234</v>
      </c>
      <c r="W1235" s="257">
        <f t="shared" si="375"/>
        <v>3385.0432739938083</v>
      </c>
      <c r="X1235" s="257">
        <v>0</v>
      </c>
      <c r="Y1235" s="258">
        <v>0</v>
      </c>
      <c r="Z1235" s="258">
        <v>0</v>
      </c>
      <c r="AA1235" s="258">
        <v>0</v>
      </c>
      <c r="AB1235" s="258">
        <v>0</v>
      </c>
      <c r="AC1235" s="258">
        <v>0</v>
      </c>
      <c r="AD1235" s="258">
        <v>0</v>
      </c>
      <c r="AE1235" s="258">
        <v>771.1</v>
      </c>
      <c r="AF1235" s="257">
        <f>6238.91*AE1235/I1235</f>
        <v>3385.0432739938083</v>
      </c>
      <c r="AG1235" s="258">
        <v>0</v>
      </c>
      <c r="AH1235" s="257">
        <v>0</v>
      </c>
      <c r="AI1235" s="258">
        <v>0</v>
      </c>
      <c r="AJ1235" s="257">
        <v>0</v>
      </c>
      <c r="AK1235" s="258">
        <v>0</v>
      </c>
      <c r="AL1235" s="258">
        <v>0</v>
      </c>
      <c r="AM1235" s="258">
        <v>0</v>
      </c>
      <c r="AN1235" s="258"/>
      <c r="AO1235" s="258">
        <v>0</v>
      </c>
      <c r="AP1235" s="259"/>
      <c r="DQ1235" s="263"/>
      <c r="DR1235" s="263"/>
      <c r="DS1235" s="263"/>
      <c r="EP1235" s="264"/>
      <c r="FS1235" s="265"/>
      <c r="GI1235" s="266"/>
    </row>
    <row r="1236" spans="1:191" s="259" customFormat="1" ht="36" customHeight="1" x14ac:dyDescent="0.25">
      <c r="B1236" s="94" t="s">
        <v>857</v>
      </c>
      <c r="C1236" s="94"/>
      <c r="D1236" s="124" t="s">
        <v>896</v>
      </c>
      <c r="E1236" s="124" t="s">
        <v>896</v>
      </c>
      <c r="F1236" s="124" t="s">
        <v>896</v>
      </c>
      <c r="G1236" s="124" t="s">
        <v>896</v>
      </c>
      <c r="H1236" s="124" t="s">
        <v>896</v>
      </c>
      <c r="I1236" s="125">
        <f>SUM(I1237:I1239)</f>
        <v>3872.1</v>
      </c>
      <c r="J1236" s="125">
        <f>SUM(J1237:J1239)</f>
        <v>3872.1</v>
      </c>
      <c r="K1236" s="125">
        <f>SUM(K1237:K1239)</f>
        <v>3735</v>
      </c>
      <c r="L1236" s="126">
        <f>SUM(L1237:L1239)</f>
        <v>163</v>
      </c>
      <c r="M1236" s="124" t="s">
        <v>896</v>
      </c>
      <c r="N1236" s="124" t="s">
        <v>896</v>
      </c>
      <c r="O1236" s="127" t="s">
        <v>896</v>
      </c>
      <c r="P1236" s="128">
        <v>6079528.0199999996</v>
      </c>
      <c r="Q1236" s="128">
        <f>Q1237+Q1238+Q1239</f>
        <v>0</v>
      </c>
      <c r="R1236" s="128">
        <f>R1237+R1238+R1239</f>
        <v>0</v>
      </c>
      <c r="S1236" s="128">
        <f>S1237+S1238+S1239</f>
        <v>6079528.0199999996</v>
      </c>
      <c r="T1236" s="128">
        <f t="shared" si="374"/>
        <v>1570.0854884946152</v>
      </c>
      <c r="U1236" s="128">
        <f>MAX(U1237:U1239)</f>
        <v>6442.1936729044965</v>
      </c>
      <c r="V1236" s="257">
        <f t="shared" si="368"/>
        <v>4872.1081844098808</v>
      </c>
      <c r="W1236" s="257"/>
      <c r="X1236" s="257"/>
      <c r="Y1236" s="258"/>
      <c r="Z1236" s="258"/>
      <c r="AA1236" s="258"/>
      <c r="AB1236" s="258"/>
      <c r="AC1236" s="258"/>
      <c r="AD1236" s="258"/>
      <c r="AE1236" s="258"/>
      <c r="AF1236" s="258"/>
      <c r="AG1236" s="258"/>
      <c r="AH1236" s="258"/>
      <c r="AI1236" s="258"/>
      <c r="AJ1236" s="258"/>
      <c r="AK1236" s="258"/>
      <c r="AL1236" s="258"/>
      <c r="AM1236" s="258"/>
      <c r="AN1236" s="258"/>
      <c r="AO1236" s="258"/>
    </row>
    <row r="1237" spans="1:191" s="196" customFormat="1" ht="36" customHeight="1" x14ac:dyDescent="0.25">
      <c r="A1237" s="259">
        <v>1</v>
      </c>
      <c r="B1237" s="135">
        <f>SUBTOTAL(103,$A$1000:A1237)</f>
        <v>193</v>
      </c>
      <c r="C1237" s="132" t="s">
        <v>1969</v>
      </c>
      <c r="D1237" s="124">
        <v>1986</v>
      </c>
      <c r="E1237" s="124"/>
      <c r="F1237" s="134" t="s">
        <v>269</v>
      </c>
      <c r="G1237" s="124">
        <v>5</v>
      </c>
      <c r="H1237" s="124" t="s">
        <v>310</v>
      </c>
      <c r="I1237" s="125">
        <v>2959.8</v>
      </c>
      <c r="J1237" s="125">
        <v>2959.8</v>
      </c>
      <c r="K1237" s="125">
        <f>J1237-113.1</f>
        <v>2846.7000000000003</v>
      </c>
      <c r="L1237" s="133">
        <v>127</v>
      </c>
      <c r="M1237" s="124" t="s">
        <v>267</v>
      </c>
      <c r="N1237" s="124" t="s">
        <v>271</v>
      </c>
      <c r="O1237" s="124" t="s">
        <v>291</v>
      </c>
      <c r="P1237" s="125">
        <v>3274967.59</v>
      </c>
      <c r="Q1237" s="125">
        <v>0</v>
      </c>
      <c r="R1237" s="125">
        <v>0</v>
      </c>
      <c r="S1237" s="125">
        <f>P1237-Q1237-R1237</f>
        <v>3274967.59</v>
      </c>
      <c r="T1237" s="128">
        <f t="shared" si="374"/>
        <v>1106.4827319413473</v>
      </c>
      <c r="U1237" s="128">
        <v>1623.1062254206363</v>
      </c>
      <c r="V1237" s="257">
        <f t="shared" si="368"/>
        <v>516.62349347928898</v>
      </c>
      <c r="W1237" s="257">
        <f t="shared" ref="W1237:W1239" si="376">X1237+Y1237+Z1237+AA1237+AB1237+AD1237+AF1237+AH1237+AJ1237+AL1237+AN1237+AO1237</f>
        <v>1851.5638029596591</v>
      </c>
      <c r="X1237" s="257">
        <v>0</v>
      </c>
      <c r="Y1237" s="258">
        <v>0</v>
      </c>
      <c r="Z1237" s="258">
        <v>0</v>
      </c>
      <c r="AA1237" s="258">
        <v>0</v>
      </c>
      <c r="AB1237" s="258">
        <v>0</v>
      </c>
      <c r="AC1237" s="258">
        <v>0</v>
      </c>
      <c r="AD1237" s="258">
        <v>0</v>
      </c>
      <c r="AE1237" s="258">
        <v>878.4</v>
      </c>
      <c r="AF1237" s="257">
        <f>6238.91*AE1237/I1237</f>
        <v>1851.5638029596591</v>
      </c>
      <c r="AG1237" s="258">
        <v>0</v>
      </c>
      <c r="AH1237" s="257">
        <v>0</v>
      </c>
      <c r="AI1237" s="258">
        <v>0</v>
      </c>
      <c r="AJ1237" s="257">
        <v>0</v>
      </c>
      <c r="AK1237" s="258">
        <v>0</v>
      </c>
      <c r="AL1237" s="258">
        <v>0</v>
      </c>
      <c r="AM1237" s="258">
        <v>0</v>
      </c>
      <c r="AN1237" s="258"/>
      <c r="AO1237" s="258">
        <v>0</v>
      </c>
      <c r="AP1237" s="259"/>
      <c r="DQ1237" s="263"/>
      <c r="DR1237" s="263"/>
      <c r="DS1237" s="263"/>
      <c r="EP1237" s="264"/>
      <c r="FS1237" s="265"/>
      <c r="GI1237" s="266"/>
    </row>
    <row r="1238" spans="1:191" s="196" customFormat="1" ht="36" customHeight="1" x14ac:dyDescent="0.25">
      <c r="A1238" s="259">
        <v>1</v>
      </c>
      <c r="B1238" s="135">
        <f>SUBTOTAL(103,$A$1000:A1238)</f>
        <v>194</v>
      </c>
      <c r="C1238" s="132" t="s">
        <v>1978</v>
      </c>
      <c r="D1238" s="124">
        <v>1970</v>
      </c>
      <c r="E1238" s="124"/>
      <c r="F1238" s="134" t="s">
        <v>1585</v>
      </c>
      <c r="G1238" s="124" t="s">
        <v>310</v>
      </c>
      <c r="H1238" s="124" t="s">
        <v>306</v>
      </c>
      <c r="I1238" s="125">
        <v>607.6</v>
      </c>
      <c r="J1238" s="125">
        <v>607.6</v>
      </c>
      <c r="K1238" s="125">
        <v>607.6</v>
      </c>
      <c r="L1238" s="133">
        <v>25</v>
      </c>
      <c r="M1238" s="124" t="s">
        <v>267</v>
      </c>
      <c r="N1238" s="124" t="s">
        <v>271</v>
      </c>
      <c r="O1238" s="124" t="s">
        <v>291</v>
      </c>
      <c r="P1238" s="125">
        <v>1167219.1299999999</v>
      </c>
      <c r="Q1238" s="125">
        <v>0</v>
      </c>
      <c r="R1238" s="125">
        <v>0</v>
      </c>
      <c r="S1238" s="125">
        <f>P1238-Q1238-R1238</f>
        <v>1167219.1299999999</v>
      </c>
      <c r="T1238" s="128">
        <f t="shared" si="374"/>
        <v>1921.0321428571426</v>
      </c>
      <c r="U1238" s="128">
        <v>1993.658270243581</v>
      </c>
      <c r="V1238" s="257">
        <f t="shared" ref="V1238" si="377">U1238-T1238</f>
        <v>72.626127386438384</v>
      </c>
      <c r="W1238" s="257">
        <f t="shared" ref="W1238" si="378">X1238+Y1238+Z1238+AA1238+AB1238+AD1238+AF1238+AH1238+AJ1238+AL1238+AN1238+AO1238</f>
        <v>3219.657480457538</v>
      </c>
      <c r="X1238" s="257">
        <v>0</v>
      </c>
      <c r="Y1238" s="258">
        <v>0</v>
      </c>
      <c r="Z1238" s="258">
        <v>0</v>
      </c>
      <c r="AA1238" s="258">
        <v>0</v>
      </c>
      <c r="AB1238" s="258">
        <v>0</v>
      </c>
      <c r="AC1238" s="258">
        <v>0</v>
      </c>
      <c r="AD1238" s="258">
        <v>0</v>
      </c>
      <c r="AE1238" s="258">
        <v>313.55860000000001</v>
      </c>
      <c r="AF1238" s="257">
        <f>6238.91*AE1238/I1238</f>
        <v>3219.657480457538</v>
      </c>
      <c r="AG1238" s="258">
        <v>0</v>
      </c>
      <c r="AH1238" s="257">
        <v>0</v>
      </c>
      <c r="AI1238" s="258">
        <v>0</v>
      </c>
      <c r="AJ1238" s="257">
        <v>0</v>
      </c>
      <c r="AK1238" s="258">
        <v>0</v>
      </c>
      <c r="AL1238" s="258">
        <v>0</v>
      </c>
      <c r="AM1238" s="258">
        <v>0</v>
      </c>
      <c r="AN1238" s="258"/>
      <c r="AO1238" s="258">
        <v>0</v>
      </c>
      <c r="AP1238" s="259"/>
      <c r="DQ1238" s="263"/>
      <c r="DR1238" s="263"/>
      <c r="DS1238" s="263"/>
      <c r="EP1238" s="264"/>
      <c r="FS1238" s="265"/>
      <c r="GI1238" s="266"/>
    </row>
    <row r="1239" spans="1:191" s="196" customFormat="1" ht="36" customHeight="1" x14ac:dyDescent="0.25">
      <c r="A1239" s="259">
        <v>1</v>
      </c>
      <c r="B1239" s="135">
        <f>SUBTOTAL(103,$A$1000:A1239)</f>
        <v>195</v>
      </c>
      <c r="C1239" s="132" t="s">
        <v>164</v>
      </c>
      <c r="D1239" s="124">
        <v>1973</v>
      </c>
      <c r="E1239" s="124"/>
      <c r="F1239" s="134" t="s">
        <v>269</v>
      </c>
      <c r="G1239" s="124">
        <v>2</v>
      </c>
      <c r="H1239" s="124" t="s">
        <v>306</v>
      </c>
      <c r="I1239" s="125">
        <v>304.7</v>
      </c>
      <c r="J1239" s="125">
        <v>304.7</v>
      </c>
      <c r="K1239" s="125">
        <v>280.7</v>
      </c>
      <c r="L1239" s="133">
        <v>11</v>
      </c>
      <c r="M1239" s="124" t="s">
        <v>267</v>
      </c>
      <c r="N1239" s="124" t="s">
        <v>271</v>
      </c>
      <c r="O1239" s="124" t="s">
        <v>291</v>
      </c>
      <c r="P1239" s="125">
        <v>1637341.3</v>
      </c>
      <c r="Q1239" s="125">
        <v>0</v>
      </c>
      <c r="R1239" s="125">
        <v>0</v>
      </c>
      <c r="S1239" s="125">
        <f>P1239-Q1239-R1239</f>
        <v>1637341.3</v>
      </c>
      <c r="T1239" s="128">
        <f t="shared" si="374"/>
        <v>5373.6176567115199</v>
      </c>
      <c r="U1239" s="128">
        <v>6442.1936729044965</v>
      </c>
      <c r="V1239" s="257">
        <f t="shared" si="368"/>
        <v>1068.5760161929766</v>
      </c>
      <c r="W1239" s="257">
        <f t="shared" si="376"/>
        <v>6420.2949954906471</v>
      </c>
      <c r="X1239" s="257">
        <v>0</v>
      </c>
      <c r="Y1239" s="258">
        <v>0</v>
      </c>
      <c r="Z1239" s="258">
        <v>0</v>
      </c>
      <c r="AA1239" s="258">
        <v>0</v>
      </c>
      <c r="AB1239" s="258">
        <v>0</v>
      </c>
      <c r="AC1239" s="258">
        <v>0</v>
      </c>
      <c r="AD1239" s="258">
        <v>0</v>
      </c>
      <c r="AE1239" s="258">
        <v>313.55860000000001</v>
      </c>
      <c r="AF1239" s="257">
        <f>6238.91*AE1239/I1239</f>
        <v>6420.2949954906471</v>
      </c>
      <c r="AG1239" s="258">
        <v>0</v>
      </c>
      <c r="AH1239" s="257">
        <v>0</v>
      </c>
      <c r="AI1239" s="258">
        <v>0</v>
      </c>
      <c r="AJ1239" s="257">
        <v>0</v>
      </c>
      <c r="AK1239" s="258">
        <v>0</v>
      </c>
      <c r="AL1239" s="258">
        <v>0</v>
      </c>
      <c r="AM1239" s="258">
        <v>0</v>
      </c>
      <c r="AN1239" s="258"/>
      <c r="AO1239" s="258">
        <v>0</v>
      </c>
      <c r="AP1239" s="259"/>
      <c r="DQ1239" s="263"/>
      <c r="DR1239" s="263"/>
      <c r="DS1239" s="263"/>
      <c r="EP1239" s="264"/>
      <c r="FS1239" s="265"/>
      <c r="GI1239" s="266"/>
    </row>
    <row r="1240" spans="1:191" s="259" customFormat="1" ht="36" customHeight="1" x14ac:dyDescent="0.25">
      <c r="B1240" s="94" t="s">
        <v>858</v>
      </c>
      <c r="C1240" s="94"/>
      <c r="D1240" s="124" t="s">
        <v>896</v>
      </c>
      <c r="E1240" s="124" t="s">
        <v>896</v>
      </c>
      <c r="F1240" s="124" t="s">
        <v>896</v>
      </c>
      <c r="G1240" s="124" t="s">
        <v>896</v>
      </c>
      <c r="H1240" s="124" t="s">
        <v>896</v>
      </c>
      <c r="I1240" s="125">
        <f>I1241+I1242+I1243</f>
        <v>13642.179999999998</v>
      </c>
      <c r="J1240" s="125">
        <f>J1241+J1242+J1243</f>
        <v>8514.9</v>
      </c>
      <c r="K1240" s="125">
        <f>K1241+K1242+K1243</f>
        <v>504.30000000000007</v>
      </c>
      <c r="L1240" s="126">
        <f>L1241+L1242+L1243</f>
        <v>462</v>
      </c>
      <c r="M1240" s="124" t="s">
        <v>896</v>
      </c>
      <c r="N1240" s="124" t="s">
        <v>896</v>
      </c>
      <c r="O1240" s="127" t="s">
        <v>896</v>
      </c>
      <c r="P1240" s="128">
        <v>12459674.15</v>
      </c>
      <c r="Q1240" s="128">
        <f>Q1241+Q1242+Q1243</f>
        <v>0</v>
      </c>
      <c r="R1240" s="128">
        <f>R1241+R1242+R1243</f>
        <v>0</v>
      </c>
      <c r="S1240" s="128">
        <f>S1241+S1242+S1243</f>
        <v>12459674.15</v>
      </c>
      <c r="T1240" s="128">
        <f t="shared" si="374"/>
        <v>913.31987629543096</v>
      </c>
      <c r="U1240" s="128">
        <f>MAX(U1241:U1243)</f>
        <v>1748.1056049861909</v>
      </c>
      <c r="V1240" s="257">
        <f t="shared" si="368"/>
        <v>834.78572869075992</v>
      </c>
      <c r="W1240" s="257"/>
      <c r="X1240" s="257"/>
      <c r="Y1240" s="258"/>
      <c r="Z1240" s="258"/>
      <c r="AA1240" s="258"/>
      <c r="AB1240" s="258"/>
      <c r="AC1240" s="258"/>
      <c r="AD1240" s="258"/>
      <c r="AE1240" s="258"/>
      <c r="AF1240" s="258"/>
      <c r="AG1240" s="258"/>
      <c r="AH1240" s="258"/>
      <c r="AI1240" s="258"/>
      <c r="AJ1240" s="258"/>
      <c r="AK1240" s="258"/>
      <c r="AL1240" s="258"/>
      <c r="AM1240" s="258"/>
      <c r="AN1240" s="258"/>
      <c r="AO1240" s="258"/>
    </row>
    <row r="1241" spans="1:191" s="196" customFormat="1" ht="36" customHeight="1" x14ac:dyDescent="0.25">
      <c r="A1241" s="259">
        <v>1</v>
      </c>
      <c r="B1241" s="135">
        <f>SUBTOTAL(103,$A$1000:A1241)</f>
        <v>196</v>
      </c>
      <c r="C1241" s="132" t="s">
        <v>161</v>
      </c>
      <c r="D1241" s="124">
        <v>1988</v>
      </c>
      <c r="E1241" s="124"/>
      <c r="F1241" s="134" t="s">
        <v>269</v>
      </c>
      <c r="G1241" s="124">
        <v>5</v>
      </c>
      <c r="H1241" s="124" t="s">
        <v>373</v>
      </c>
      <c r="I1241" s="125">
        <v>6118.54</v>
      </c>
      <c r="J1241" s="125">
        <v>4395.5</v>
      </c>
      <c r="K1241" s="125">
        <v>202.8</v>
      </c>
      <c r="L1241" s="133">
        <v>234</v>
      </c>
      <c r="M1241" s="124" t="s">
        <v>267</v>
      </c>
      <c r="N1241" s="124" t="s">
        <v>271</v>
      </c>
      <c r="O1241" s="124" t="s">
        <v>292</v>
      </c>
      <c r="P1241" s="125">
        <v>5095413.53</v>
      </c>
      <c r="Q1241" s="125">
        <v>0</v>
      </c>
      <c r="R1241" s="125">
        <v>0</v>
      </c>
      <c r="S1241" s="125">
        <f>P1241-Q1241-R1241</f>
        <v>5095413.53</v>
      </c>
      <c r="T1241" s="128">
        <f t="shared" si="374"/>
        <v>832.78258048488692</v>
      </c>
      <c r="U1241" s="128">
        <v>1306.3488986097989</v>
      </c>
      <c r="V1241" s="257">
        <f t="shared" si="368"/>
        <v>473.56631812491196</v>
      </c>
      <c r="W1241" s="257">
        <f t="shared" ref="W1241:W1243" si="379">X1241+Y1241+Z1241+AA1241+AB1241+AD1241+AF1241+AH1241+AJ1241+AL1241+AN1241+AO1241</f>
        <v>1301.908281861359</v>
      </c>
      <c r="X1241" s="257">
        <v>0</v>
      </c>
      <c r="Y1241" s="258">
        <v>0</v>
      </c>
      <c r="Z1241" s="258">
        <v>0</v>
      </c>
      <c r="AA1241" s="258">
        <v>0</v>
      </c>
      <c r="AB1241" s="258">
        <v>0</v>
      </c>
      <c r="AC1241" s="258">
        <v>0</v>
      </c>
      <c r="AD1241" s="258">
        <v>0</v>
      </c>
      <c r="AE1241" s="258">
        <v>1276.79</v>
      </c>
      <c r="AF1241" s="257">
        <f>6238.91*AE1241/I1241</f>
        <v>1301.908281861359</v>
      </c>
      <c r="AG1241" s="258">
        <v>0</v>
      </c>
      <c r="AH1241" s="257">
        <v>0</v>
      </c>
      <c r="AI1241" s="258">
        <v>0</v>
      </c>
      <c r="AJ1241" s="257">
        <v>0</v>
      </c>
      <c r="AK1241" s="258">
        <v>0</v>
      </c>
      <c r="AL1241" s="258">
        <v>0</v>
      </c>
      <c r="AM1241" s="258">
        <v>0</v>
      </c>
      <c r="AN1241" s="258"/>
      <c r="AO1241" s="258">
        <v>0</v>
      </c>
      <c r="AP1241" s="259"/>
      <c r="DQ1241" s="263"/>
      <c r="DR1241" s="263"/>
      <c r="DS1241" s="263"/>
      <c r="EP1241" s="264"/>
      <c r="FS1241" s="265"/>
      <c r="GI1241" s="266"/>
    </row>
    <row r="1242" spans="1:191" s="196" customFormat="1" ht="36" customHeight="1" x14ac:dyDescent="0.25">
      <c r="A1242" s="259">
        <v>1</v>
      </c>
      <c r="B1242" s="135">
        <f>SUBTOTAL(103,$A$1000:A1242)</f>
        <v>197</v>
      </c>
      <c r="C1242" s="132" t="s">
        <v>162</v>
      </c>
      <c r="D1242" s="124">
        <v>1985</v>
      </c>
      <c r="E1242" s="124"/>
      <c r="F1242" s="134" t="s">
        <v>269</v>
      </c>
      <c r="G1242" s="124">
        <v>5</v>
      </c>
      <c r="H1242" s="124" t="s">
        <v>353</v>
      </c>
      <c r="I1242" s="125">
        <v>4844.24</v>
      </c>
      <c r="J1242" s="125">
        <v>2814.6</v>
      </c>
      <c r="K1242" s="125">
        <v>192.4</v>
      </c>
      <c r="L1242" s="133">
        <v>152</v>
      </c>
      <c r="M1242" s="124" t="s">
        <v>267</v>
      </c>
      <c r="N1242" s="124" t="s">
        <v>271</v>
      </c>
      <c r="O1242" s="124" t="s">
        <v>292</v>
      </c>
      <c r="P1242" s="125">
        <v>3457309.86</v>
      </c>
      <c r="Q1242" s="125">
        <v>0</v>
      </c>
      <c r="R1242" s="125">
        <v>0</v>
      </c>
      <c r="S1242" s="125">
        <f>P1242-Q1242-R1242</f>
        <v>3457309.86</v>
      </c>
      <c r="T1242" s="128">
        <f t="shared" si="374"/>
        <v>713.69499859627103</v>
      </c>
      <c r="U1242" s="128">
        <v>1119.5415175135834</v>
      </c>
      <c r="V1242" s="257">
        <f t="shared" si="368"/>
        <v>405.84651891731232</v>
      </c>
      <c r="W1242" s="257">
        <f t="shared" si="379"/>
        <v>1115.7359072217728</v>
      </c>
      <c r="X1242" s="257">
        <v>0</v>
      </c>
      <c r="Y1242" s="258">
        <v>0</v>
      </c>
      <c r="Z1242" s="258">
        <v>0</v>
      </c>
      <c r="AA1242" s="258">
        <v>0</v>
      </c>
      <c r="AB1242" s="258">
        <v>0</v>
      </c>
      <c r="AC1242" s="258">
        <v>0</v>
      </c>
      <c r="AD1242" s="258">
        <v>0</v>
      </c>
      <c r="AE1242" s="258">
        <v>866.32</v>
      </c>
      <c r="AF1242" s="257">
        <f>6238.91*AE1242/I1242</f>
        <v>1115.7359072217728</v>
      </c>
      <c r="AG1242" s="258">
        <v>0</v>
      </c>
      <c r="AH1242" s="257">
        <v>0</v>
      </c>
      <c r="AI1242" s="258">
        <v>0</v>
      </c>
      <c r="AJ1242" s="257">
        <v>0</v>
      </c>
      <c r="AK1242" s="258">
        <v>0</v>
      </c>
      <c r="AL1242" s="258">
        <v>0</v>
      </c>
      <c r="AM1242" s="258">
        <v>0</v>
      </c>
      <c r="AN1242" s="258"/>
      <c r="AO1242" s="258">
        <v>0</v>
      </c>
      <c r="AP1242" s="259"/>
      <c r="DQ1242" s="263"/>
      <c r="DR1242" s="263"/>
      <c r="DS1242" s="263"/>
      <c r="EP1242" s="264"/>
      <c r="FS1242" s="265"/>
      <c r="GI1242" s="266"/>
    </row>
    <row r="1243" spans="1:191" s="196" customFormat="1" ht="36" customHeight="1" x14ac:dyDescent="0.25">
      <c r="A1243" s="259">
        <v>1</v>
      </c>
      <c r="B1243" s="135">
        <f>SUBTOTAL(103,$A$1000:A1243)</f>
        <v>198</v>
      </c>
      <c r="C1243" s="132" t="s">
        <v>163</v>
      </c>
      <c r="D1243" s="124">
        <v>1979</v>
      </c>
      <c r="E1243" s="124"/>
      <c r="F1243" s="134" t="s">
        <v>269</v>
      </c>
      <c r="G1243" s="124">
        <v>3</v>
      </c>
      <c r="H1243" s="124" t="s">
        <v>314</v>
      </c>
      <c r="I1243" s="125">
        <v>2679.4</v>
      </c>
      <c r="J1243" s="125">
        <v>1304.8</v>
      </c>
      <c r="K1243" s="125">
        <v>109.1</v>
      </c>
      <c r="L1243" s="133">
        <v>76</v>
      </c>
      <c r="M1243" s="124" t="s">
        <v>267</v>
      </c>
      <c r="N1243" s="124" t="s">
        <v>271</v>
      </c>
      <c r="O1243" s="124" t="s">
        <v>296</v>
      </c>
      <c r="P1243" s="125">
        <v>3906950.76</v>
      </c>
      <c r="Q1243" s="125">
        <v>0</v>
      </c>
      <c r="R1243" s="125">
        <v>0</v>
      </c>
      <c r="S1243" s="125">
        <f>P1243-Q1243-R1243</f>
        <v>3906950.76</v>
      </c>
      <c r="T1243" s="128">
        <f t="shared" si="374"/>
        <v>1458.1438978875867</v>
      </c>
      <c r="U1243" s="128">
        <v>1748.1056049861909</v>
      </c>
      <c r="V1243" s="257">
        <f t="shared" si="368"/>
        <v>289.96170709860417</v>
      </c>
      <c r="W1243" s="257">
        <f t="shared" si="379"/>
        <v>1742.1633432858102</v>
      </c>
      <c r="X1243" s="257">
        <v>0</v>
      </c>
      <c r="Y1243" s="258">
        <v>0</v>
      </c>
      <c r="Z1243" s="258">
        <v>0</v>
      </c>
      <c r="AA1243" s="258">
        <v>0</v>
      </c>
      <c r="AB1243" s="258">
        <v>0</v>
      </c>
      <c r="AC1243" s="258">
        <v>0</v>
      </c>
      <c r="AD1243" s="258">
        <v>0</v>
      </c>
      <c r="AE1243" s="258">
        <v>748.2</v>
      </c>
      <c r="AF1243" s="257">
        <f>6238.91*AE1243/I1243</f>
        <v>1742.1633432858102</v>
      </c>
      <c r="AG1243" s="258">
        <v>0</v>
      </c>
      <c r="AH1243" s="257">
        <v>0</v>
      </c>
      <c r="AI1243" s="258">
        <v>0</v>
      </c>
      <c r="AJ1243" s="257">
        <v>0</v>
      </c>
      <c r="AK1243" s="258">
        <v>0</v>
      </c>
      <c r="AL1243" s="258">
        <v>0</v>
      </c>
      <c r="AM1243" s="258">
        <v>0</v>
      </c>
      <c r="AN1243" s="258"/>
      <c r="AO1243" s="258">
        <v>0</v>
      </c>
      <c r="AP1243" s="259"/>
      <c r="DQ1243" s="263"/>
      <c r="DR1243" s="263"/>
      <c r="DS1243" s="263"/>
      <c r="EP1243" s="264"/>
      <c r="FS1243" s="265"/>
      <c r="GI1243" s="266"/>
    </row>
    <row r="1244" spans="1:191" s="259" customFormat="1" ht="36" customHeight="1" x14ac:dyDescent="0.25">
      <c r="B1244" s="94" t="s">
        <v>859</v>
      </c>
      <c r="C1244" s="94"/>
      <c r="D1244" s="124" t="s">
        <v>896</v>
      </c>
      <c r="E1244" s="124" t="s">
        <v>896</v>
      </c>
      <c r="F1244" s="124" t="s">
        <v>896</v>
      </c>
      <c r="G1244" s="124" t="s">
        <v>896</v>
      </c>
      <c r="H1244" s="124" t="s">
        <v>896</v>
      </c>
      <c r="I1244" s="125">
        <f>SUM(I1245:I1247)</f>
        <v>10207.129999999999</v>
      </c>
      <c r="J1244" s="125">
        <f>SUM(J1245:J1247)</f>
        <v>6996.4</v>
      </c>
      <c r="K1244" s="125">
        <f>SUM(K1245:K1247)</f>
        <v>6184.34</v>
      </c>
      <c r="L1244" s="126">
        <f>SUM(L1245:L1247)</f>
        <v>448</v>
      </c>
      <c r="M1244" s="124" t="s">
        <v>896</v>
      </c>
      <c r="N1244" s="124" t="s">
        <v>896</v>
      </c>
      <c r="O1244" s="127" t="s">
        <v>896</v>
      </c>
      <c r="P1244" s="128">
        <v>12269019.870000001</v>
      </c>
      <c r="Q1244" s="128">
        <f>SUM(Q1245:Q1247)</f>
        <v>0</v>
      </c>
      <c r="R1244" s="128">
        <f>SUM(R1245:R1247)</f>
        <v>0</v>
      </c>
      <c r="S1244" s="128">
        <f>SUM(S1245:S1247)</f>
        <v>12269019.870000001</v>
      </c>
      <c r="T1244" s="128">
        <f t="shared" si="374"/>
        <v>1202.0048603280259</v>
      </c>
      <c r="U1244" s="128">
        <f>MAX(U1245:U1247)</f>
        <v>6123.1343665070153</v>
      </c>
      <c r="V1244" s="257">
        <f t="shared" si="368"/>
        <v>4921.1295061789897</v>
      </c>
      <c r="W1244" s="257"/>
      <c r="X1244" s="257"/>
      <c r="Y1244" s="258"/>
      <c r="Z1244" s="258"/>
      <c r="AA1244" s="258"/>
      <c r="AB1244" s="258"/>
      <c r="AC1244" s="258"/>
      <c r="AD1244" s="258"/>
      <c r="AE1244" s="258"/>
      <c r="AF1244" s="258"/>
      <c r="AG1244" s="258"/>
      <c r="AH1244" s="258"/>
      <c r="AI1244" s="258"/>
      <c r="AJ1244" s="258"/>
      <c r="AK1244" s="258"/>
      <c r="AL1244" s="258"/>
      <c r="AM1244" s="258"/>
      <c r="AN1244" s="258"/>
      <c r="AO1244" s="258"/>
    </row>
    <row r="1245" spans="1:191" s="196" customFormat="1" ht="36" customHeight="1" x14ac:dyDescent="0.25">
      <c r="A1245" s="259">
        <v>1</v>
      </c>
      <c r="B1245" s="135">
        <f>SUBTOTAL(103,$A$1000:A1245)</f>
        <v>199</v>
      </c>
      <c r="C1245" s="132" t="s">
        <v>157</v>
      </c>
      <c r="D1245" s="124">
        <v>1971</v>
      </c>
      <c r="E1245" s="124"/>
      <c r="F1245" s="134" t="s">
        <v>269</v>
      </c>
      <c r="G1245" s="124">
        <v>5</v>
      </c>
      <c r="H1245" s="124" t="s">
        <v>314</v>
      </c>
      <c r="I1245" s="125">
        <v>3186.9</v>
      </c>
      <c r="J1245" s="125">
        <v>1676</v>
      </c>
      <c r="K1245" s="125">
        <v>1676</v>
      </c>
      <c r="L1245" s="133">
        <v>174</v>
      </c>
      <c r="M1245" s="124" t="s">
        <v>267</v>
      </c>
      <c r="N1245" s="124" t="s">
        <v>300</v>
      </c>
      <c r="O1245" s="124" t="s">
        <v>301</v>
      </c>
      <c r="P1245" s="125">
        <v>694428.7</v>
      </c>
      <c r="Q1245" s="125">
        <v>0</v>
      </c>
      <c r="R1245" s="125">
        <v>0</v>
      </c>
      <c r="S1245" s="125">
        <f>P1245-Q1245-R1245</f>
        <v>694428.7</v>
      </c>
      <c r="T1245" s="128">
        <f t="shared" si="374"/>
        <v>217.90100097273211</v>
      </c>
      <c r="U1245" s="128">
        <v>406.3737676111582</v>
      </c>
      <c r="V1245" s="257">
        <f t="shared" si="368"/>
        <v>188.47276663842609</v>
      </c>
      <c r="W1245" s="257">
        <f t="shared" ref="W1245:W1247" si="380">X1245+Y1245+Z1245+AA1245+AB1245+AD1245+AF1245+AH1245+AJ1245+AL1245+AN1245+AO1245</f>
        <v>406.3737676111582</v>
      </c>
      <c r="X1245" s="257">
        <v>0</v>
      </c>
      <c r="Y1245" s="258">
        <v>0</v>
      </c>
      <c r="Z1245" s="258">
        <v>0</v>
      </c>
      <c r="AA1245" s="258">
        <v>0</v>
      </c>
      <c r="AB1245" s="258">
        <v>0</v>
      </c>
      <c r="AC1245" s="258">
        <v>0</v>
      </c>
      <c r="AD1245" s="258">
        <v>0</v>
      </c>
      <c r="AE1245" s="258">
        <v>0</v>
      </c>
      <c r="AF1245" s="257">
        <v>0</v>
      </c>
      <c r="AG1245" s="258">
        <v>146</v>
      </c>
      <c r="AH1245" s="257">
        <f>8870.36*AG1245/I1245</f>
        <v>406.3737676111582</v>
      </c>
      <c r="AI1245" s="258">
        <v>0</v>
      </c>
      <c r="AJ1245" s="257">
        <v>0</v>
      </c>
      <c r="AK1245" s="258">
        <v>0</v>
      </c>
      <c r="AL1245" s="258">
        <v>0</v>
      </c>
      <c r="AM1245" s="258">
        <v>0</v>
      </c>
      <c r="AN1245" s="258"/>
      <c r="AO1245" s="258">
        <v>0</v>
      </c>
      <c r="AP1245" s="259"/>
      <c r="DQ1245" s="263"/>
      <c r="DR1245" s="263"/>
      <c r="DS1245" s="263"/>
      <c r="EP1245" s="264"/>
      <c r="FS1245" s="265"/>
      <c r="GI1245" s="266"/>
    </row>
    <row r="1246" spans="1:191" s="259" customFormat="1" ht="36" customHeight="1" x14ac:dyDescent="0.25">
      <c r="A1246" s="259">
        <v>1</v>
      </c>
      <c r="B1246" s="135">
        <f>SUBTOTAL(103,$A$1000:A1246)</f>
        <v>200</v>
      </c>
      <c r="C1246" s="94" t="s">
        <v>149</v>
      </c>
      <c r="D1246" s="124">
        <v>1928</v>
      </c>
      <c r="E1246" s="124"/>
      <c r="F1246" s="129" t="s">
        <v>269</v>
      </c>
      <c r="G1246" s="124">
        <v>3</v>
      </c>
      <c r="H1246" s="124" t="s">
        <v>310</v>
      </c>
      <c r="I1246" s="125">
        <v>1718.33</v>
      </c>
      <c r="J1246" s="125">
        <v>1631.7</v>
      </c>
      <c r="K1246" s="125">
        <v>1224.44</v>
      </c>
      <c r="L1246" s="126">
        <v>85</v>
      </c>
      <c r="M1246" s="124" t="s">
        <v>267</v>
      </c>
      <c r="N1246" s="124" t="s">
        <v>271</v>
      </c>
      <c r="O1246" s="127" t="s">
        <v>298</v>
      </c>
      <c r="P1246" s="128">
        <v>5246630.67</v>
      </c>
      <c r="Q1246" s="128">
        <v>0</v>
      </c>
      <c r="R1246" s="128">
        <v>0</v>
      </c>
      <c r="S1246" s="128">
        <f>P1246-Q1246-R1246</f>
        <v>5246630.67</v>
      </c>
      <c r="T1246" s="128">
        <f t="shared" si="374"/>
        <v>3053.3312402157908</v>
      </c>
      <c r="U1246" s="128">
        <v>6123.1343665070153</v>
      </c>
      <c r="V1246" s="257">
        <f t="shared" si="368"/>
        <v>3069.8031262912245</v>
      </c>
      <c r="W1246" s="257">
        <f t="shared" si="380"/>
        <v>6123.1343665070153</v>
      </c>
      <c r="X1246" s="257">
        <v>0</v>
      </c>
      <c r="Y1246" s="258">
        <v>0</v>
      </c>
      <c r="Z1246" s="258">
        <v>0</v>
      </c>
      <c r="AA1246" s="258">
        <v>0</v>
      </c>
      <c r="AB1246" s="258">
        <v>0</v>
      </c>
      <c r="AC1246" s="258">
        <v>0</v>
      </c>
      <c r="AD1246" s="258">
        <v>0</v>
      </c>
      <c r="AE1246" s="258">
        <v>0</v>
      </c>
      <c r="AF1246" s="257">
        <v>0</v>
      </c>
      <c r="AG1246" s="258">
        <v>0</v>
      </c>
      <c r="AH1246" s="257">
        <v>0</v>
      </c>
      <c r="AI1246" s="258">
        <v>1414.36</v>
      </c>
      <c r="AJ1246" s="257">
        <f>7439.1*AI1246/I1246</f>
        <v>6123.1343665070153</v>
      </c>
      <c r="AK1246" s="258">
        <v>0</v>
      </c>
      <c r="AL1246" s="258">
        <v>0</v>
      </c>
      <c r="AM1246" s="258">
        <v>0</v>
      </c>
      <c r="AN1246" s="258"/>
      <c r="AO1246" s="258">
        <v>0</v>
      </c>
    </row>
    <row r="1247" spans="1:191" s="196" customFormat="1" ht="36" customHeight="1" x14ac:dyDescent="0.25">
      <c r="A1247" s="259">
        <v>1</v>
      </c>
      <c r="B1247" s="135">
        <f>SUBTOTAL(103,$A$1000:A1247)</f>
        <v>201</v>
      </c>
      <c r="C1247" s="132" t="s">
        <v>138</v>
      </c>
      <c r="D1247" s="124">
        <v>1989</v>
      </c>
      <c r="E1247" s="124"/>
      <c r="F1247" s="134" t="s">
        <v>269</v>
      </c>
      <c r="G1247" s="124">
        <v>5</v>
      </c>
      <c r="H1247" s="124" t="s">
        <v>353</v>
      </c>
      <c r="I1247" s="125">
        <v>5301.9</v>
      </c>
      <c r="J1247" s="125">
        <v>3688.7</v>
      </c>
      <c r="K1247" s="125">
        <v>3283.9</v>
      </c>
      <c r="L1247" s="133">
        <v>189</v>
      </c>
      <c r="M1247" s="124" t="s">
        <v>267</v>
      </c>
      <c r="N1247" s="124" t="s">
        <v>271</v>
      </c>
      <c r="O1247" s="124" t="s">
        <v>296</v>
      </c>
      <c r="P1247" s="125">
        <v>6327960.5</v>
      </c>
      <c r="Q1247" s="125">
        <v>0</v>
      </c>
      <c r="R1247" s="125">
        <v>0</v>
      </c>
      <c r="S1247" s="125">
        <f>P1247-Q1247-R1247</f>
        <v>6327960.5</v>
      </c>
      <c r="T1247" s="128">
        <f t="shared" si="374"/>
        <v>1193.5269431713161</v>
      </c>
      <c r="U1247" s="128">
        <v>1193.5269431713161</v>
      </c>
      <c r="V1247" s="257">
        <f t="shared" si="368"/>
        <v>0</v>
      </c>
      <c r="W1247" s="257">
        <f t="shared" si="380"/>
        <v>1207.9343914445765</v>
      </c>
      <c r="X1247" s="257">
        <v>0</v>
      </c>
      <c r="Y1247" s="258">
        <v>0</v>
      </c>
      <c r="Z1247" s="258">
        <v>0</v>
      </c>
      <c r="AA1247" s="258">
        <v>0</v>
      </c>
      <c r="AB1247" s="258">
        <v>0</v>
      </c>
      <c r="AC1247" s="258">
        <v>0</v>
      </c>
      <c r="AD1247" s="258">
        <v>0</v>
      </c>
      <c r="AE1247" s="258">
        <v>995</v>
      </c>
      <c r="AF1247" s="257">
        <f>6436.53*AE1247/I1247</f>
        <v>1207.9343914445765</v>
      </c>
      <c r="AG1247" s="258">
        <v>0</v>
      </c>
      <c r="AH1247" s="257">
        <v>0</v>
      </c>
      <c r="AI1247" s="258">
        <v>0</v>
      </c>
      <c r="AJ1247" s="257">
        <v>0</v>
      </c>
      <c r="AK1247" s="258">
        <v>0</v>
      </c>
      <c r="AL1247" s="258">
        <v>0</v>
      </c>
      <c r="AM1247" s="258">
        <v>0</v>
      </c>
      <c r="AN1247" s="258"/>
      <c r="AO1247" s="258">
        <v>0</v>
      </c>
      <c r="AP1247" s="259"/>
      <c r="DQ1247" s="263"/>
      <c r="DR1247" s="263"/>
      <c r="DS1247" s="263"/>
      <c r="EP1247" s="264"/>
      <c r="FS1247" s="265"/>
      <c r="GI1247" s="266"/>
    </row>
    <row r="1248" spans="1:191" s="259" customFormat="1" ht="36" customHeight="1" x14ac:dyDescent="0.25">
      <c r="B1248" s="94" t="s">
        <v>860</v>
      </c>
      <c r="C1248" s="261"/>
      <c r="D1248" s="124" t="s">
        <v>896</v>
      </c>
      <c r="E1248" s="124" t="s">
        <v>896</v>
      </c>
      <c r="F1248" s="124" t="s">
        <v>896</v>
      </c>
      <c r="G1248" s="124" t="s">
        <v>896</v>
      </c>
      <c r="H1248" s="124" t="s">
        <v>896</v>
      </c>
      <c r="I1248" s="125">
        <f>SUM(I1249:I1250)</f>
        <v>5101.2</v>
      </c>
      <c r="J1248" s="125">
        <f>SUM(J1249:J1250)</f>
        <v>4028.2</v>
      </c>
      <c r="K1248" s="125">
        <f>SUM(K1249:K1250)</f>
        <v>3874</v>
      </c>
      <c r="L1248" s="126">
        <f>SUM(L1249:L1250)</f>
        <v>130</v>
      </c>
      <c r="M1248" s="124" t="s">
        <v>896</v>
      </c>
      <c r="N1248" s="124" t="s">
        <v>896</v>
      </c>
      <c r="O1248" s="127" t="s">
        <v>896</v>
      </c>
      <c r="P1248" s="128">
        <v>9221698.8000000007</v>
      </c>
      <c r="Q1248" s="128">
        <f>Q1249+Q1250</f>
        <v>0</v>
      </c>
      <c r="R1248" s="128">
        <f>R1249+R1250</f>
        <v>0</v>
      </c>
      <c r="S1248" s="128">
        <f>S1249+S1250</f>
        <v>9221698.8000000007</v>
      </c>
      <c r="T1248" s="128">
        <f t="shared" si="374"/>
        <v>1807.7508821453778</v>
      </c>
      <c r="U1248" s="128">
        <f>MAX(U1249:U1250)</f>
        <v>3031.0185801609878</v>
      </c>
      <c r="V1248" s="257">
        <f t="shared" si="368"/>
        <v>1223.26769801561</v>
      </c>
      <c r="W1248" s="257"/>
      <c r="X1248" s="257"/>
      <c r="Y1248" s="258"/>
      <c r="Z1248" s="258"/>
      <c r="AA1248" s="258"/>
      <c r="AB1248" s="258"/>
      <c r="AC1248" s="258"/>
      <c r="AD1248" s="258"/>
      <c r="AE1248" s="258"/>
      <c r="AF1248" s="258"/>
      <c r="AG1248" s="258"/>
      <c r="AH1248" s="258"/>
      <c r="AI1248" s="258"/>
      <c r="AJ1248" s="258"/>
      <c r="AK1248" s="258"/>
      <c r="AL1248" s="258"/>
      <c r="AM1248" s="258"/>
      <c r="AN1248" s="258"/>
      <c r="AO1248" s="258"/>
    </row>
    <row r="1249" spans="1:191" s="196" customFormat="1" ht="36" customHeight="1" x14ac:dyDescent="0.25">
      <c r="A1249" s="259">
        <v>1</v>
      </c>
      <c r="B1249" s="135">
        <f>SUBTOTAL(103,$A$1000:A1249)</f>
        <v>202</v>
      </c>
      <c r="C1249" s="132" t="s">
        <v>100</v>
      </c>
      <c r="D1249" s="124">
        <v>1985</v>
      </c>
      <c r="E1249" s="124"/>
      <c r="F1249" s="134" t="s">
        <v>269</v>
      </c>
      <c r="G1249" s="124">
        <v>3</v>
      </c>
      <c r="H1249" s="124" t="s">
        <v>314</v>
      </c>
      <c r="I1249" s="125">
        <v>1652.3</v>
      </c>
      <c r="J1249" s="125">
        <v>1505</v>
      </c>
      <c r="K1249" s="125">
        <v>1350.8</v>
      </c>
      <c r="L1249" s="133">
        <v>25</v>
      </c>
      <c r="M1249" s="124" t="s">
        <v>267</v>
      </c>
      <c r="N1249" s="124" t="s">
        <v>271</v>
      </c>
      <c r="O1249" s="124" t="s">
        <v>284</v>
      </c>
      <c r="P1249" s="125">
        <v>4177440</v>
      </c>
      <c r="Q1249" s="125">
        <v>0</v>
      </c>
      <c r="R1249" s="125">
        <v>0</v>
      </c>
      <c r="S1249" s="125">
        <f>P1249-Q1249-R1249</f>
        <v>4177440</v>
      </c>
      <c r="T1249" s="128">
        <f t="shared" si="374"/>
        <v>2528.257580342553</v>
      </c>
      <c r="U1249" s="128">
        <v>3031.0185801609878</v>
      </c>
      <c r="V1249" s="257">
        <f t="shared" si="368"/>
        <v>502.76099981843481</v>
      </c>
      <c r="W1249" s="257">
        <f t="shared" ref="W1249:W1250" si="381">X1249+Y1249+Z1249+AA1249+AB1249+AD1249+AF1249+AH1249+AJ1249+AL1249+AN1249+AO1249</f>
        <v>3020.7153664588755</v>
      </c>
      <c r="X1249" s="257">
        <v>0</v>
      </c>
      <c r="Y1249" s="258">
        <v>0</v>
      </c>
      <c r="Z1249" s="258">
        <v>0</v>
      </c>
      <c r="AA1249" s="258">
        <v>0</v>
      </c>
      <c r="AB1249" s="258">
        <v>0</v>
      </c>
      <c r="AC1249" s="258">
        <v>0</v>
      </c>
      <c r="AD1249" s="258">
        <v>0</v>
      </c>
      <c r="AE1249" s="258">
        <v>800</v>
      </c>
      <c r="AF1249" s="257">
        <f>6238.91*AE1249/I1249</f>
        <v>3020.7153664588755</v>
      </c>
      <c r="AG1249" s="258">
        <v>0</v>
      </c>
      <c r="AH1249" s="257">
        <v>0</v>
      </c>
      <c r="AI1249" s="258">
        <v>0</v>
      </c>
      <c r="AJ1249" s="257">
        <v>0</v>
      </c>
      <c r="AK1249" s="258">
        <v>0</v>
      </c>
      <c r="AL1249" s="258">
        <v>0</v>
      </c>
      <c r="AM1249" s="258">
        <v>0</v>
      </c>
      <c r="AN1249" s="258"/>
      <c r="AO1249" s="258">
        <v>0</v>
      </c>
      <c r="AP1249" s="259"/>
      <c r="DQ1249" s="263"/>
      <c r="DR1249" s="263"/>
      <c r="DS1249" s="263"/>
      <c r="EP1249" s="264"/>
      <c r="FS1249" s="265"/>
      <c r="GI1249" s="266"/>
    </row>
    <row r="1250" spans="1:191" s="196" customFormat="1" ht="36" customHeight="1" x14ac:dyDescent="0.25">
      <c r="A1250" s="259">
        <v>1</v>
      </c>
      <c r="B1250" s="135">
        <f>SUBTOTAL(103,$A$1000:A1250)</f>
        <v>203</v>
      </c>
      <c r="C1250" s="132" t="s">
        <v>101</v>
      </c>
      <c r="D1250" s="124">
        <v>1972</v>
      </c>
      <c r="E1250" s="124"/>
      <c r="F1250" s="134" t="s">
        <v>269</v>
      </c>
      <c r="G1250" s="124">
        <v>5</v>
      </c>
      <c r="H1250" s="124" t="s">
        <v>310</v>
      </c>
      <c r="I1250" s="125">
        <v>3448.9</v>
      </c>
      <c r="J1250" s="125">
        <v>2523.1999999999998</v>
      </c>
      <c r="K1250" s="125">
        <v>2523.1999999999998</v>
      </c>
      <c r="L1250" s="133">
        <v>105</v>
      </c>
      <c r="M1250" s="124" t="s">
        <v>267</v>
      </c>
      <c r="N1250" s="124" t="s">
        <v>271</v>
      </c>
      <c r="O1250" s="124" t="s">
        <v>282</v>
      </c>
      <c r="P1250" s="125">
        <v>5044258.8</v>
      </c>
      <c r="Q1250" s="125">
        <v>0</v>
      </c>
      <c r="R1250" s="125">
        <v>0</v>
      </c>
      <c r="S1250" s="125">
        <f>P1250-Q1250-R1250</f>
        <v>5044258.8</v>
      </c>
      <c r="T1250" s="128">
        <f t="shared" si="374"/>
        <v>1462.5703267708543</v>
      </c>
      <c r="U1250" s="128">
        <v>1753.4122589811243</v>
      </c>
      <c r="V1250" s="257">
        <f t="shared" si="368"/>
        <v>290.84193221026999</v>
      </c>
      <c r="W1250" s="257">
        <f t="shared" si="381"/>
        <v>1747.451958595494</v>
      </c>
      <c r="X1250" s="257">
        <v>0</v>
      </c>
      <c r="Y1250" s="258">
        <v>0</v>
      </c>
      <c r="Z1250" s="258">
        <v>0</v>
      </c>
      <c r="AA1250" s="258">
        <v>0</v>
      </c>
      <c r="AB1250" s="258">
        <v>0</v>
      </c>
      <c r="AC1250" s="258">
        <v>0</v>
      </c>
      <c r="AD1250" s="258">
        <v>0</v>
      </c>
      <c r="AE1250" s="258">
        <v>966</v>
      </c>
      <c r="AF1250" s="257">
        <f>6238.91*AE1250/I1250</f>
        <v>1747.451958595494</v>
      </c>
      <c r="AG1250" s="258">
        <v>0</v>
      </c>
      <c r="AH1250" s="257">
        <v>0</v>
      </c>
      <c r="AI1250" s="258">
        <v>0</v>
      </c>
      <c r="AJ1250" s="257">
        <v>0</v>
      </c>
      <c r="AK1250" s="258">
        <v>0</v>
      </c>
      <c r="AL1250" s="258">
        <v>0</v>
      </c>
      <c r="AM1250" s="258">
        <v>0</v>
      </c>
      <c r="AN1250" s="258"/>
      <c r="AO1250" s="258">
        <v>0</v>
      </c>
      <c r="AP1250" s="259"/>
      <c r="DQ1250" s="263"/>
      <c r="DR1250" s="263"/>
      <c r="DS1250" s="263"/>
      <c r="EP1250" s="264"/>
      <c r="FS1250" s="265"/>
      <c r="GI1250" s="266"/>
    </row>
    <row r="1251" spans="1:191" s="259" customFormat="1" ht="36" customHeight="1" x14ac:dyDescent="0.25">
      <c r="B1251" s="94" t="s">
        <v>887</v>
      </c>
      <c r="C1251" s="94"/>
      <c r="D1251" s="124" t="s">
        <v>896</v>
      </c>
      <c r="E1251" s="124" t="s">
        <v>896</v>
      </c>
      <c r="F1251" s="124" t="s">
        <v>896</v>
      </c>
      <c r="G1251" s="124" t="s">
        <v>896</v>
      </c>
      <c r="H1251" s="124" t="s">
        <v>896</v>
      </c>
      <c r="I1251" s="125">
        <f>I1252</f>
        <v>783.81</v>
      </c>
      <c r="J1251" s="125">
        <f>J1252</f>
        <v>726</v>
      </c>
      <c r="K1251" s="125">
        <f>K1252</f>
        <v>668.19</v>
      </c>
      <c r="L1251" s="126">
        <f>L1252</f>
        <v>16</v>
      </c>
      <c r="M1251" s="124" t="s">
        <v>896</v>
      </c>
      <c r="N1251" s="124" t="s">
        <v>896</v>
      </c>
      <c r="O1251" s="127" t="s">
        <v>896</v>
      </c>
      <c r="P1251" s="128">
        <v>3623929.1999999997</v>
      </c>
      <c r="Q1251" s="128">
        <f>Q1252</f>
        <v>0</v>
      </c>
      <c r="R1251" s="128">
        <f>R1252</f>
        <v>0</v>
      </c>
      <c r="S1251" s="128">
        <f>S1252</f>
        <v>3623929.1999999997</v>
      </c>
      <c r="T1251" s="128">
        <f t="shared" si="374"/>
        <v>4623.4791594901826</v>
      </c>
      <c r="U1251" s="128">
        <f>U1252</f>
        <v>5542.8890419872159</v>
      </c>
      <c r="V1251" s="257">
        <f t="shared" ref="V1251:V1272" si="382">U1251-T1251</f>
        <v>919.40988249703332</v>
      </c>
      <c r="W1251" s="257"/>
      <c r="X1251" s="257"/>
      <c r="Y1251" s="258"/>
      <c r="Z1251" s="258"/>
      <c r="AA1251" s="258"/>
      <c r="AB1251" s="258"/>
      <c r="AC1251" s="258"/>
      <c r="AD1251" s="258"/>
      <c r="AE1251" s="258"/>
      <c r="AF1251" s="258"/>
      <c r="AG1251" s="258"/>
      <c r="AH1251" s="258"/>
      <c r="AI1251" s="258"/>
      <c r="AJ1251" s="258"/>
      <c r="AK1251" s="258"/>
      <c r="AL1251" s="258"/>
      <c r="AM1251" s="258"/>
      <c r="AN1251" s="258"/>
      <c r="AO1251" s="258"/>
    </row>
    <row r="1252" spans="1:191" s="196" customFormat="1" ht="36" customHeight="1" x14ac:dyDescent="0.25">
      <c r="A1252" s="259">
        <v>1</v>
      </c>
      <c r="B1252" s="135">
        <f>SUBTOTAL(103,$A$1000:A1252)</f>
        <v>204</v>
      </c>
      <c r="C1252" s="132" t="s">
        <v>105</v>
      </c>
      <c r="D1252" s="124">
        <v>1968</v>
      </c>
      <c r="E1252" s="124"/>
      <c r="F1252" s="134" t="s">
        <v>269</v>
      </c>
      <c r="G1252" s="124">
        <v>2</v>
      </c>
      <c r="H1252" s="124" t="s">
        <v>305</v>
      </c>
      <c r="I1252" s="125">
        <v>783.81</v>
      </c>
      <c r="J1252" s="125">
        <v>726</v>
      </c>
      <c r="K1252" s="125">
        <v>668.19</v>
      </c>
      <c r="L1252" s="133">
        <v>16</v>
      </c>
      <c r="M1252" s="124" t="s">
        <v>267</v>
      </c>
      <c r="N1252" s="124" t="s">
        <v>271</v>
      </c>
      <c r="O1252" s="124" t="s">
        <v>284</v>
      </c>
      <c r="P1252" s="125">
        <v>3623929.1999999997</v>
      </c>
      <c r="Q1252" s="125">
        <v>0</v>
      </c>
      <c r="R1252" s="125">
        <v>0</v>
      </c>
      <c r="S1252" s="125">
        <f>P1252-Q1252-R1252</f>
        <v>3623929.1999999997</v>
      </c>
      <c r="T1252" s="128">
        <f t="shared" si="374"/>
        <v>4623.4791594901826</v>
      </c>
      <c r="U1252" s="128">
        <v>5542.8890419872159</v>
      </c>
      <c r="V1252" s="257">
        <f>U1252-T1252</f>
        <v>919.40988249703332</v>
      </c>
      <c r="W1252" s="257">
        <f>X1252+Y1252+Z1252+AA1252+AB1252+AD1252+AF1252+AH1252+AJ1252+AL1252+AN1252+AO1252</f>
        <v>5524.0473328995549</v>
      </c>
      <c r="X1252" s="257">
        <v>0</v>
      </c>
      <c r="Y1252" s="258">
        <v>0</v>
      </c>
      <c r="Z1252" s="258">
        <v>0</v>
      </c>
      <c r="AA1252" s="258">
        <v>0</v>
      </c>
      <c r="AB1252" s="258">
        <v>0</v>
      </c>
      <c r="AC1252" s="258">
        <v>0</v>
      </c>
      <c r="AD1252" s="258">
        <v>0</v>
      </c>
      <c r="AE1252" s="258">
        <v>694</v>
      </c>
      <c r="AF1252" s="257">
        <f>6238.91*AE1252/I1252</f>
        <v>5524.0473328995549</v>
      </c>
      <c r="AG1252" s="258">
        <v>0</v>
      </c>
      <c r="AH1252" s="257">
        <v>0</v>
      </c>
      <c r="AI1252" s="258">
        <v>0</v>
      </c>
      <c r="AJ1252" s="257">
        <v>0</v>
      </c>
      <c r="AK1252" s="258">
        <v>0</v>
      </c>
      <c r="AL1252" s="258">
        <v>0</v>
      </c>
      <c r="AM1252" s="258">
        <v>0</v>
      </c>
      <c r="AN1252" s="258"/>
      <c r="AO1252" s="258">
        <v>0</v>
      </c>
      <c r="AP1252" s="259"/>
      <c r="DQ1252" s="263"/>
      <c r="DR1252" s="263"/>
      <c r="DS1252" s="263"/>
      <c r="EP1252" s="264"/>
      <c r="FS1252" s="265"/>
      <c r="GI1252" s="266"/>
    </row>
    <row r="1253" spans="1:191" s="259" customFormat="1" ht="36" customHeight="1" x14ac:dyDescent="0.25">
      <c r="B1253" s="94" t="s">
        <v>861</v>
      </c>
      <c r="C1253" s="94"/>
      <c r="D1253" s="124" t="s">
        <v>896</v>
      </c>
      <c r="E1253" s="124" t="s">
        <v>896</v>
      </c>
      <c r="F1253" s="124" t="s">
        <v>896</v>
      </c>
      <c r="G1253" s="124" t="s">
        <v>896</v>
      </c>
      <c r="H1253" s="124" t="s">
        <v>896</v>
      </c>
      <c r="I1253" s="125">
        <f>I1254</f>
        <v>680.2</v>
      </c>
      <c r="J1253" s="125">
        <f>J1254</f>
        <v>680.2</v>
      </c>
      <c r="K1253" s="125">
        <f>K1254</f>
        <v>617.70000000000005</v>
      </c>
      <c r="L1253" s="126">
        <f>L1254</f>
        <v>33</v>
      </c>
      <c r="M1253" s="124" t="s">
        <v>896</v>
      </c>
      <c r="N1253" s="124" t="s">
        <v>896</v>
      </c>
      <c r="O1253" s="127" t="s">
        <v>896</v>
      </c>
      <c r="P1253" s="128">
        <v>3080862</v>
      </c>
      <c r="Q1253" s="128">
        <f>Q1254</f>
        <v>0</v>
      </c>
      <c r="R1253" s="128">
        <f>R1254</f>
        <v>0</v>
      </c>
      <c r="S1253" s="128">
        <f>S1254</f>
        <v>3080862</v>
      </c>
      <c r="T1253" s="128">
        <f t="shared" si="374"/>
        <v>4529.3472508085852</v>
      </c>
      <c r="U1253" s="128">
        <f>U1254</f>
        <v>5430.0383710673323</v>
      </c>
      <c r="V1253" s="257">
        <f t="shared" si="382"/>
        <v>900.69112025874711</v>
      </c>
      <c r="W1253" s="257"/>
      <c r="X1253" s="257"/>
      <c r="Y1253" s="258"/>
      <c r="Z1253" s="258"/>
      <c r="AA1253" s="258"/>
      <c r="AB1253" s="258"/>
      <c r="AC1253" s="258"/>
      <c r="AD1253" s="258"/>
      <c r="AE1253" s="258"/>
      <c r="AF1253" s="258"/>
      <c r="AG1253" s="258"/>
      <c r="AH1253" s="258"/>
      <c r="AI1253" s="258"/>
      <c r="AJ1253" s="258"/>
      <c r="AK1253" s="258"/>
      <c r="AL1253" s="258"/>
      <c r="AM1253" s="258"/>
      <c r="AN1253" s="258"/>
      <c r="AO1253" s="258"/>
    </row>
    <row r="1254" spans="1:191" s="196" customFormat="1" ht="36" customHeight="1" x14ac:dyDescent="0.25">
      <c r="A1254" s="259">
        <v>1</v>
      </c>
      <c r="B1254" s="135">
        <f>SUBTOTAL(103,$A$1000:A1254)</f>
        <v>205</v>
      </c>
      <c r="C1254" s="132" t="s">
        <v>102</v>
      </c>
      <c r="D1254" s="124">
        <v>1969</v>
      </c>
      <c r="E1254" s="124"/>
      <c r="F1254" s="134" t="s">
        <v>269</v>
      </c>
      <c r="G1254" s="124">
        <v>2</v>
      </c>
      <c r="H1254" s="124" t="s">
        <v>305</v>
      </c>
      <c r="I1254" s="125">
        <v>680.2</v>
      </c>
      <c r="J1254" s="125">
        <v>680.2</v>
      </c>
      <c r="K1254" s="125">
        <v>617.70000000000005</v>
      </c>
      <c r="L1254" s="133">
        <v>33</v>
      </c>
      <c r="M1254" s="124" t="s">
        <v>267</v>
      </c>
      <c r="N1254" s="124" t="s">
        <v>271</v>
      </c>
      <c r="O1254" s="124" t="s">
        <v>1000</v>
      </c>
      <c r="P1254" s="125">
        <v>3080862</v>
      </c>
      <c r="Q1254" s="125">
        <v>0</v>
      </c>
      <c r="R1254" s="125">
        <v>0</v>
      </c>
      <c r="S1254" s="125">
        <f>P1254-Q1254-R1254</f>
        <v>3080862</v>
      </c>
      <c r="T1254" s="128">
        <f t="shared" si="374"/>
        <v>4529.3472508085852</v>
      </c>
      <c r="U1254" s="128">
        <v>5430.0383710673323</v>
      </c>
      <c r="V1254" s="257">
        <f>U1254-T1254</f>
        <v>900.69112025874711</v>
      </c>
      <c r="W1254" s="257">
        <f>X1254+Y1254+Z1254+AA1254+AB1254+AD1254+AF1254+AH1254+AJ1254+AL1254+AN1254+AO1254</f>
        <v>5411.5802705086735</v>
      </c>
      <c r="X1254" s="257">
        <v>0</v>
      </c>
      <c r="Y1254" s="258">
        <v>0</v>
      </c>
      <c r="Z1254" s="258">
        <v>0</v>
      </c>
      <c r="AA1254" s="258">
        <v>0</v>
      </c>
      <c r="AB1254" s="258">
        <v>0</v>
      </c>
      <c r="AC1254" s="258">
        <v>0</v>
      </c>
      <c r="AD1254" s="258">
        <v>0</v>
      </c>
      <c r="AE1254" s="258">
        <v>590</v>
      </c>
      <c r="AF1254" s="257">
        <f>6238.91*AE1254/I1254</f>
        <v>5411.5802705086735</v>
      </c>
      <c r="AG1254" s="258">
        <v>0</v>
      </c>
      <c r="AH1254" s="257">
        <v>0</v>
      </c>
      <c r="AI1254" s="258">
        <v>0</v>
      </c>
      <c r="AJ1254" s="257">
        <v>0</v>
      </c>
      <c r="AK1254" s="258">
        <v>0</v>
      </c>
      <c r="AL1254" s="258">
        <v>0</v>
      </c>
      <c r="AM1254" s="258">
        <v>0</v>
      </c>
      <c r="AN1254" s="258"/>
      <c r="AO1254" s="258">
        <v>0</v>
      </c>
      <c r="AP1254" s="259"/>
      <c r="DQ1254" s="263"/>
      <c r="DR1254" s="263"/>
      <c r="DS1254" s="263"/>
      <c r="EP1254" s="264"/>
      <c r="FS1254" s="265"/>
      <c r="GI1254" s="266"/>
    </row>
    <row r="1255" spans="1:191" s="259" customFormat="1" ht="36" customHeight="1" x14ac:dyDescent="0.25">
      <c r="B1255" s="94" t="s">
        <v>862</v>
      </c>
      <c r="C1255" s="94"/>
      <c r="D1255" s="124" t="s">
        <v>896</v>
      </c>
      <c r="E1255" s="124" t="s">
        <v>896</v>
      </c>
      <c r="F1255" s="124" t="s">
        <v>896</v>
      </c>
      <c r="G1255" s="124" t="s">
        <v>896</v>
      </c>
      <c r="H1255" s="124" t="s">
        <v>896</v>
      </c>
      <c r="I1255" s="125">
        <f>SUM(I1256:I1257)</f>
        <v>646.4</v>
      </c>
      <c r="J1255" s="125">
        <f>SUM(J1256:J1257)</f>
        <v>612.5</v>
      </c>
      <c r="K1255" s="125">
        <f>SUM(K1256:K1257)</f>
        <v>546.1</v>
      </c>
      <c r="L1255" s="126">
        <f>SUM(L1256:L1257)</f>
        <v>15</v>
      </c>
      <c r="M1255" s="124" t="s">
        <v>896</v>
      </c>
      <c r="N1255" s="124" t="s">
        <v>896</v>
      </c>
      <c r="O1255" s="127" t="s">
        <v>896</v>
      </c>
      <c r="P1255" s="128">
        <v>2610892.59</v>
      </c>
      <c r="Q1255" s="128">
        <f>Q1256+Q1257</f>
        <v>0</v>
      </c>
      <c r="R1255" s="128">
        <f>R1256+R1257</f>
        <v>0</v>
      </c>
      <c r="S1255" s="128">
        <f>S1256+S1257</f>
        <v>2610892.59</v>
      </c>
      <c r="T1255" s="128">
        <f t="shared" si="374"/>
        <v>4039.1283879950493</v>
      </c>
      <c r="U1255" s="128">
        <f>MAX(U1256:U1257)</f>
        <v>5088.0780848963477</v>
      </c>
      <c r="V1255" s="257">
        <f t="shared" si="382"/>
        <v>1048.9496969012985</v>
      </c>
      <c r="W1255" s="257"/>
      <c r="X1255" s="257"/>
      <c r="Y1255" s="258"/>
      <c r="Z1255" s="258"/>
      <c r="AA1255" s="258"/>
      <c r="AB1255" s="258"/>
      <c r="AC1255" s="258"/>
      <c r="AD1255" s="258"/>
      <c r="AE1255" s="258"/>
      <c r="AF1255" s="258"/>
      <c r="AG1255" s="258"/>
      <c r="AH1255" s="258"/>
      <c r="AI1255" s="258"/>
      <c r="AJ1255" s="258"/>
      <c r="AK1255" s="258"/>
      <c r="AL1255" s="258"/>
      <c r="AM1255" s="258"/>
      <c r="AN1255" s="258"/>
      <c r="AO1255" s="258"/>
    </row>
    <row r="1256" spans="1:191" s="196" customFormat="1" ht="36" customHeight="1" x14ac:dyDescent="0.25">
      <c r="A1256" s="259">
        <v>1</v>
      </c>
      <c r="B1256" s="135">
        <f>SUBTOTAL(103,$A$1000:A1256)</f>
        <v>206</v>
      </c>
      <c r="C1256" s="132" t="s">
        <v>103</v>
      </c>
      <c r="D1256" s="124">
        <v>1966</v>
      </c>
      <c r="E1256" s="124"/>
      <c r="F1256" s="134" t="s">
        <v>269</v>
      </c>
      <c r="G1256" s="124">
        <v>2</v>
      </c>
      <c r="H1256" s="124" t="s">
        <v>306</v>
      </c>
      <c r="I1256" s="125">
        <v>342.5</v>
      </c>
      <c r="J1256" s="125">
        <v>308.7</v>
      </c>
      <c r="K1256" s="125">
        <v>273.8</v>
      </c>
      <c r="L1256" s="133">
        <v>7</v>
      </c>
      <c r="M1256" s="124" t="s">
        <v>267</v>
      </c>
      <c r="N1256" s="124" t="s">
        <v>271</v>
      </c>
      <c r="O1256" s="124" t="s">
        <v>284</v>
      </c>
      <c r="P1256" s="125">
        <v>1321115.3999999999</v>
      </c>
      <c r="Q1256" s="125">
        <v>0</v>
      </c>
      <c r="R1256" s="125">
        <v>0</v>
      </c>
      <c r="S1256" s="125">
        <f>P1256-Q1256-R1256</f>
        <v>1321115.3999999999</v>
      </c>
      <c r="T1256" s="128">
        <f t="shared" si="374"/>
        <v>3857.2712408759121</v>
      </c>
      <c r="U1256" s="128">
        <v>4624.3155328467146</v>
      </c>
      <c r="V1256" s="257">
        <f t="shared" si="382"/>
        <v>767.04429197080253</v>
      </c>
      <c r="W1256" s="257">
        <f t="shared" ref="W1256:W1257" si="383">X1256+Y1256+Z1256+AA1256+AB1256+AD1256+AF1256+AH1256+AJ1256+AL1256+AN1256+AO1256</f>
        <v>4608.5962919708027</v>
      </c>
      <c r="X1256" s="257">
        <v>0</v>
      </c>
      <c r="Y1256" s="258">
        <v>0</v>
      </c>
      <c r="Z1256" s="258">
        <v>0</v>
      </c>
      <c r="AA1256" s="258">
        <v>0</v>
      </c>
      <c r="AB1256" s="258">
        <v>0</v>
      </c>
      <c r="AC1256" s="258">
        <v>0</v>
      </c>
      <c r="AD1256" s="258">
        <v>0</v>
      </c>
      <c r="AE1256" s="258">
        <v>253</v>
      </c>
      <c r="AF1256" s="257">
        <f>6238.91*AE1256/I1256</f>
        <v>4608.5962919708027</v>
      </c>
      <c r="AG1256" s="258">
        <v>0</v>
      </c>
      <c r="AH1256" s="257">
        <v>0</v>
      </c>
      <c r="AI1256" s="258">
        <v>0</v>
      </c>
      <c r="AJ1256" s="257">
        <v>0</v>
      </c>
      <c r="AK1256" s="258">
        <v>0</v>
      </c>
      <c r="AL1256" s="258">
        <v>0</v>
      </c>
      <c r="AM1256" s="258">
        <v>0</v>
      </c>
      <c r="AN1256" s="258"/>
      <c r="AO1256" s="258">
        <v>0</v>
      </c>
      <c r="AP1256" s="259"/>
      <c r="DQ1256" s="263"/>
      <c r="DR1256" s="263"/>
      <c r="DS1256" s="263"/>
      <c r="EP1256" s="264"/>
      <c r="FS1256" s="265"/>
      <c r="GI1256" s="266"/>
    </row>
    <row r="1257" spans="1:191" s="196" customFormat="1" ht="36" customHeight="1" x14ac:dyDescent="0.25">
      <c r="A1257" s="259">
        <v>1</v>
      </c>
      <c r="B1257" s="135">
        <f>SUBTOTAL(103,$A$1000:A1257)</f>
        <v>207</v>
      </c>
      <c r="C1257" s="132" t="s">
        <v>104</v>
      </c>
      <c r="D1257" s="124">
        <v>1970</v>
      </c>
      <c r="E1257" s="124"/>
      <c r="F1257" s="134" t="s">
        <v>269</v>
      </c>
      <c r="G1257" s="124">
        <v>2</v>
      </c>
      <c r="H1257" s="124" t="s">
        <v>305</v>
      </c>
      <c r="I1257" s="125">
        <v>303.89999999999998</v>
      </c>
      <c r="J1257" s="125">
        <v>303.8</v>
      </c>
      <c r="K1257" s="125">
        <v>272.3</v>
      </c>
      <c r="L1257" s="133">
        <v>8</v>
      </c>
      <c r="M1257" s="124" t="s">
        <v>267</v>
      </c>
      <c r="N1257" s="124" t="s">
        <v>271</v>
      </c>
      <c r="O1257" s="124" t="s">
        <v>284</v>
      </c>
      <c r="P1257" s="125">
        <v>1289777.1900000002</v>
      </c>
      <c r="Q1257" s="125">
        <v>0</v>
      </c>
      <c r="R1257" s="125">
        <v>0</v>
      </c>
      <c r="S1257" s="125">
        <f>P1257-Q1257-R1257</f>
        <v>1289777.1900000002</v>
      </c>
      <c r="T1257" s="128">
        <f t="shared" si="374"/>
        <v>4244.0842053307015</v>
      </c>
      <c r="U1257" s="128">
        <v>5088.0780848963477</v>
      </c>
      <c r="V1257" s="257">
        <f t="shared" si="382"/>
        <v>843.99387956564624</v>
      </c>
      <c r="W1257" s="257">
        <f t="shared" si="383"/>
        <v>5070.7823955248441</v>
      </c>
      <c r="X1257" s="257">
        <v>0</v>
      </c>
      <c r="Y1257" s="258">
        <v>0</v>
      </c>
      <c r="Z1257" s="258">
        <v>0</v>
      </c>
      <c r="AA1257" s="258">
        <v>0</v>
      </c>
      <c r="AB1257" s="258">
        <v>0</v>
      </c>
      <c r="AC1257" s="258">
        <v>0</v>
      </c>
      <c r="AD1257" s="258">
        <v>0</v>
      </c>
      <c r="AE1257" s="258">
        <v>247</v>
      </c>
      <c r="AF1257" s="257">
        <f>6238.91*AE1257/I1257</f>
        <v>5070.7823955248441</v>
      </c>
      <c r="AG1257" s="258">
        <v>0</v>
      </c>
      <c r="AH1257" s="257">
        <v>0</v>
      </c>
      <c r="AI1257" s="258">
        <v>0</v>
      </c>
      <c r="AJ1257" s="257">
        <v>0</v>
      </c>
      <c r="AK1257" s="258">
        <v>0</v>
      </c>
      <c r="AL1257" s="258">
        <v>0</v>
      </c>
      <c r="AM1257" s="258">
        <v>0</v>
      </c>
      <c r="AN1257" s="258"/>
      <c r="AO1257" s="258">
        <v>0</v>
      </c>
      <c r="AP1257" s="259"/>
      <c r="DQ1257" s="263"/>
      <c r="DR1257" s="263"/>
      <c r="DS1257" s="263"/>
      <c r="EP1257" s="264"/>
      <c r="FS1257" s="265"/>
      <c r="GI1257" s="266"/>
    </row>
    <row r="1258" spans="1:191" s="259" customFormat="1" ht="36" customHeight="1" x14ac:dyDescent="0.25">
      <c r="B1258" s="94" t="s">
        <v>864</v>
      </c>
      <c r="C1258" s="261"/>
      <c r="D1258" s="124" t="s">
        <v>896</v>
      </c>
      <c r="E1258" s="124" t="s">
        <v>896</v>
      </c>
      <c r="F1258" s="124" t="s">
        <v>896</v>
      </c>
      <c r="G1258" s="124" t="s">
        <v>896</v>
      </c>
      <c r="H1258" s="124" t="s">
        <v>896</v>
      </c>
      <c r="I1258" s="125">
        <f>SUM(I1259:I1261)</f>
        <v>2009.6000000000001</v>
      </c>
      <c r="J1258" s="125">
        <f>SUM(J1259:J1261)</f>
        <v>1554.1000000000001</v>
      </c>
      <c r="K1258" s="125">
        <f>SUM(K1259:K1261)</f>
        <v>1492</v>
      </c>
      <c r="L1258" s="126">
        <f>SUM(L1259:L1261)</f>
        <v>65</v>
      </c>
      <c r="M1258" s="124" t="s">
        <v>896</v>
      </c>
      <c r="N1258" s="124" t="s">
        <v>896</v>
      </c>
      <c r="O1258" s="127" t="s">
        <v>896</v>
      </c>
      <c r="P1258" s="128">
        <v>6332416.4000000004</v>
      </c>
      <c r="Q1258" s="128">
        <f>Q1259+Q1260+Q1261</f>
        <v>0</v>
      </c>
      <c r="R1258" s="128">
        <f>R1259+R1260+R1261</f>
        <v>0</v>
      </c>
      <c r="S1258" s="128">
        <f>S1259+S1260+S1261</f>
        <v>6332416.4000000004</v>
      </c>
      <c r="T1258" s="128">
        <f t="shared" si="374"/>
        <v>3151.0830015923566</v>
      </c>
      <c r="U1258" s="128">
        <f>MAX(U1259:U1261)</f>
        <v>6382.7842730529892</v>
      </c>
      <c r="V1258" s="257">
        <f t="shared" si="382"/>
        <v>3231.7012714606326</v>
      </c>
      <c r="W1258" s="257"/>
      <c r="X1258" s="257"/>
      <c r="Y1258" s="258"/>
      <c r="Z1258" s="258"/>
      <c r="AA1258" s="258"/>
      <c r="AB1258" s="258"/>
      <c r="AC1258" s="258"/>
      <c r="AD1258" s="258"/>
      <c r="AE1258" s="258"/>
      <c r="AF1258" s="258"/>
      <c r="AG1258" s="258"/>
      <c r="AH1258" s="258"/>
      <c r="AI1258" s="258"/>
      <c r="AJ1258" s="258"/>
      <c r="AK1258" s="258"/>
      <c r="AL1258" s="258"/>
      <c r="AM1258" s="258"/>
      <c r="AN1258" s="258"/>
      <c r="AO1258" s="258"/>
    </row>
    <row r="1259" spans="1:191" s="196" customFormat="1" ht="36" customHeight="1" x14ac:dyDescent="0.25">
      <c r="A1259" s="259">
        <v>1</v>
      </c>
      <c r="B1259" s="135">
        <f>SUBTOTAL(103,$A$1000:A1259)</f>
        <v>208</v>
      </c>
      <c r="C1259" s="132" t="s">
        <v>194</v>
      </c>
      <c r="D1259" s="124" t="s">
        <v>315</v>
      </c>
      <c r="E1259" s="124"/>
      <c r="F1259" s="134" t="s">
        <v>269</v>
      </c>
      <c r="G1259" s="124" t="s">
        <v>305</v>
      </c>
      <c r="H1259" s="124" t="s">
        <v>305</v>
      </c>
      <c r="I1259" s="125">
        <v>945.6</v>
      </c>
      <c r="J1259" s="125">
        <v>572.29999999999995</v>
      </c>
      <c r="K1259" s="125">
        <v>513.5</v>
      </c>
      <c r="L1259" s="133">
        <v>21</v>
      </c>
      <c r="M1259" s="124" t="s">
        <v>267</v>
      </c>
      <c r="N1259" s="124" t="s">
        <v>268</v>
      </c>
      <c r="O1259" s="124" t="s">
        <v>270</v>
      </c>
      <c r="P1259" s="125">
        <v>3549600</v>
      </c>
      <c r="Q1259" s="125">
        <v>0</v>
      </c>
      <c r="R1259" s="125">
        <v>0</v>
      </c>
      <c r="S1259" s="125">
        <f>P1259-Q1259-R1259</f>
        <v>3549600</v>
      </c>
      <c r="T1259" s="128">
        <f t="shared" si="374"/>
        <v>3753.8071065989848</v>
      </c>
      <c r="U1259" s="128">
        <v>4607.754060913705</v>
      </c>
      <c r="V1259" s="257">
        <f t="shared" si="382"/>
        <v>853.94695431472019</v>
      </c>
      <c r="W1259" s="257">
        <f t="shared" ref="W1259:W1261" si="384">X1259+Y1259+Z1259+AA1259+AB1259+AD1259+AF1259+AH1259+AJ1259+AL1259+AN1259+AO1259</f>
        <v>4592.0911167512695</v>
      </c>
      <c r="X1259" s="257">
        <v>0</v>
      </c>
      <c r="Y1259" s="258">
        <v>0</v>
      </c>
      <c r="Z1259" s="258">
        <v>0</v>
      </c>
      <c r="AA1259" s="258">
        <v>0</v>
      </c>
      <c r="AB1259" s="258">
        <v>0</v>
      </c>
      <c r="AC1259" s="258">
        <v>0</v>
      </c>
      <c r="AD1259" s="258">
        <v>0</v>
      </c>
      <c r="AE1259" s="258">
        <v>696</v>
      </c>
      <c r="AF1259" s="257">
        <f>6238.91*AE1259/I1259</f>
        <v>4592.0911167512695</v>
      </c>
      <c r="AG1259" s="258">
        <v>0</v>
      </c>
      <c r="AH1259" s="257">
        <v>0</v>
      </c>
      <c r="AI1259" s="258">
        <v>0</v>
      </c>
      <c r="AJ1259" s="257">
        <v>0</v>
      </c>
      <c r="AK1259" s="258">
        <v>0</v>
      </c>
      <c r="AL1259" s="258">
        <v>0</v>
      </c>
      <c r="AM1259" s="258">
        <v>0</v>
      </c>
      <c r="AN1259" s="258"/>
      <c r="AO1259" s="258">
        <v>0</v>
      </c>
      <c r="AP1259" s="259"/>
      <c r="DQ1259" s="263"/>
      <c r="DR1259" s="263"/>
      <c r="DS1259" s="263"/>
      <c r="EP1259" s="264"/>
      <c r="FS1259" s="265"/>
      <c r="GI1259" s="266"/>
    </row>
    <row r="1260" spans="1:191" s="196" customFormat="1" ht="36" customHeight="1" x14ac:dyDescent="0.25">
      <c r="A1260" s="259">
        <v>1</v>
      </c>
      <c r="B1260" s="135">
        <f>SUBTOTAL(103,$A$1000:A1260)</f>
        <v>209</v>
      </c>
      <c r="C1260" s="132" t="s">
        <v>195</v>
      </c>
      <c r="D1260" s="124" t="s">
        <v>316</v>
      </c>
      <c r="E1260" s="124"/>
      <c r="F1260" s="134" t="s">
        <v>320</v>
      </c>
      <c r="G1260" s="124" t="s">
        <v>314</v>
      </c>
      <c r="H1260" s="124" t="s">
        <v>306</v>
      </c>
      <c r="I1260" s="125">
        <v>533.70000000000005</v>
      </c>
      <c r="J1260" s="125">
        <v>492.1</v>
      </c>
      <c r="K1260" s="125">
        <v>488.8</v>
      </c>
      <c r="L1260" s="133">
        <v>13</v>
      </c>
      <c r="M1260" s="124" t="s">
        <v>267</v>
      </c>
      <c r="N1260" s="124" t="s">
        <v>268</v>
      </c>
      <c r="O1260" s="124" t="s">
        <v>270</v>
      </c>
      <c r="P1260" s="125">
        <v>1391408.2</v>
      </c>
      <c r="Q1260" s="125">
        <v>0</v>
      </c>
      <c r="R1260" s="125">
        <v>0</v>
      </c>
      <c r="S1260" s="125">
        <f>P1260-Q1260-R1260</f>
        <v>1391408.2</v>
      </c>
      <c r="T1260" s="128">
        <f t="shared" si="374"/>
        <v>2607.0979951283489</v>
      </c>
      <c r="U1260" s="128">
        <v>6342.121978639685</v>
      </c>
      <c r="V1260" s="257">
        <f t="shared" si="382"/>
        <v>3735.0239835113362</v>
      </c>
      <c r="W1260" s="257">
        <f t="shared" si="384"/>
        <v>6652.0283867341195</v>
      </c>
      <c r="X1260" s="257">
        <v>0</v>
      </c>
      <c r="Y1260" s="258">
        <v>0</v>
      </c>
      <c r="Z1260" s="258">
        <v>0</v>
      </c>
      <c r="AA1260" s="258">
        <v>0</v>
      </c>
      <c r="AB1260" s="258">
        <v>0</v>
      </c>
      <c r="AC1260" s="258">
        <v>0</v>
      </c>
      <c r="AD1260" s="258">
        <v>0</v>
      </c>
      <c r="AE1260" s="258">
        <v>0</v>
      </c>
      <c r="AF1260" s="257">
        <v>0</v>
      </c>
      <c r="AG1260" s="258">
        <v>0</v>
      </c>
      <c r="AH1260" s="257">
        <v>0</v>
      </c>
      <c r="AI1260" s="258">
        <v>455</v>
      </c>
      <c r="AJ1260" s="257">
        <f>7802.61*AI1260/I1260</f>
        <v>6652.0283867341195</v>
      </c>
      <c r="AK1260" s="258">
        <v>0</v>
      </c>
      <c r="AL1260" s="258">
        <v>0</v>
      </c>
      <c r="AM1260" s="258">
        <v>0</v>
      </c>
      <c r="AN1260" s="258"/>
      <c r="AO1260" s="258">
        <v>0</v>
      </c>
      <c r="AP1260" s="259"/>
      <c r="DQ1260" s="263"/>
      <c r="DR1260" s="263"/>
      <c r="DS1260" s="263"/>
      <c r="EP1260" s="264"/>
      <c r="FS1260" s="265"/>
      <c r="GI1260" s="266"/>
    </row>
    <row r="1261" spans="1:191" s="196" customFormat="1" ht="36" customHeight="1" x14ac:dyDescent="0.25">
      <c r="A1261" s="259">
        <v>1</v>
      </c>
      <c r="B1261" s="135">
        <f>SUBTOTAL(103,$A$1000:A1261)</f>
        <v>210</v>
      </c>
      <c r="C1261" s="132" t="s">
        <v>196</v>
      </c>
      <c r="D1261" s="124">
        <v>1971</v>
      </c>
      <c r="E1261" s="124"/>
      <c r="F1261" s="134" t="s">
        <v>320</v>
      </c>
      <c r="G1261" s="124" t="s">
        <v>314</v>
      </c>
      <c r="H1261" s="124" t="s">
        <v>306</v>
      </c>
      <c r="I1261" s="125">
        <v>530.29999999999995</v>
      </c>
      <c r="J1261" s="125">
        <v>489.7</v>
      </c>
      <c r="K1261" s="125">
        <v>489.7</v>
      </c>
      <c r="L1261" s="133">
        <v>31</v>
      </c>
      <c r="M1261" s="124" t="s">
        <v>267</v>
      </c>
      <c r="N1261" s="124" t="s">
        <v>268</v>
      </c>
      <c r="O1261" s="124" t="s">
        <v>270</v>
      </c>
      <c r="P1261" s="125">
        <v>1391408.2</v>
      </c>
      <c r="Q1261" s="125">
        <v>0</v>
      </c>
      <c r="R1261" s="125">
        <v>0</v>
      </c>
      <c r="S1261" s="125">
        <f>P1261-Q1261-R1261</f>
        <v>1391408.2</v>
      </c>
      <c r="T1261" s="128">
        <f t="shared" si="374"/>
        <v>2623.8133132189328</v>
      </c>
      <c r="U1261" s="128">
        <v>6382.7842730529892</v>
      </c>
      <c r="V1261" s="257">
        <f t="shared" si="382"/>
        <v>3758.9709598340564</v>
      </c>
      <c r="W1261" s="257">
        <f t="shared" si="384"/>
        <v>6694.6776353007735</v>
      </c>
      <c r="X1261" s="257">
        <v>0</v>
      </c>
      <c r="Y1261" s="258">
        <v>0</v>
      </c>
      <c r="Z1261" s="258">
        <v>0</v>
      </c>
      <c r="AA1261" s="258">
        <v>0</v>
      </c>
      <c r="AB1261" s="258">
        <v>0</v>
      </c>
      <c r="AC1261" s="258">
        <v>0</v>
      </c>
      <c r="AD1261" s="258">
        <v>0</v>
      </c>
      <c r="AE1261" s="258">
        <v>0</v>
      </c>
      <c r="AF1261" s="257">
        <v>0</v>
      </c>
      <c r="AG1261" s="258">
        <v>0</v>
      </c>
      <c r="AH1261" s="257">
        <v>0</v>
      </c>
      <c r="AI1261" s="258">
        <v>455</v>
      </c>
      <c r="AJ1261" s="257">
        <f>7802.61*AI1261/I1261</f>
        <v>6694.6776353007735</v>
      </c>
      <c r="AK1261" s="258">
        <v>0</v>
      </c>
      <c r="AL1261" s="258">
        <v>0</v>
      </c>
      <c r="AM1261" s="258">
        <v>0</v>
      </c>
      <c r="AN1261" s="258"/>
      <c r="AO1261" s="258">
        <v>0</v>
      </c>
      <c r="AP1261" s="259"/>
      <c r="DQ1261" s="263"/>
      <c r="DR1261" s="263"/>
      <c r="DS1261" s="263"/>
      <c r="EP1261" s="264"/>
      <c r="FS1261" s="265"/>
      <c r="GI1261" s="266"/>
    </row>
    <row r="1262" spans="1:191" s="259" customFormat="1" ht="36" customHeight="1" x14ac:dyDescent="0.25">
      <c r="B1262" s="94" t="s">
        <v>865</v>
      </c>
      <c r="C1262" s="94"/>
      <c r="D1262" s="124" t="s">
        <v>896</v>
      </c>
      <c r="E1262" s="124" t="s">
        <v>896</v>
      </c>
      <c r="F1262" s="124" t="s">
        <v>896</v>
      </c>
      <c r="G1262" s="124" t="s">
        <v>896</v>
      </c>
      <c r="H1262" s="124" t="s">
        <v>896</v>
      </c>
      <c r="I1262" s="125">
        <f>I1263</f>
        <v>814.6</v>
      </c>
      <c r="J1262" s="125">
        <f>J1263</f>
        <v>814.6</v>
      </c>
      <c r="K1262" s="125">
        <f>K1263</f>
        <v>336.9</v>
      </c>
      <c r="L1262" s="126">
        <f>L1263</f>
        <v>26</v>
      </c>
      <c r="M1262" s="124" t="s">
        <v>896</v>
      </c>
      <c r="N1262" s="124" t="s">
        <v>896</v>
      </c>
      <c r="O1262" s="127" t="s">
        <v>896</v>
      </c>
      <c r="P1262" s="128">
        <v>5584659.7400000002</v>
      </c>
      <c r="Q1262" s="128">
        <f>Q1263</f>
        <v>0</v>
      </c>
      <c r="R1262" s="128">
        <f>R1263</f>
        <v>0</v>
      </c>
      <c r="S1262" s="128">
        <f>S1263</f>
        <v>5584659.7400000002</v>
      </c>
      <c r="T1262" s="128">
        <f t="shared" si="374"/>
        <v>6855.7080039283082</v>
      </c>
      <c r="U1262" s="128">
        <f>U1263</f>
        <v>5752.8162042720351</v>
      </c>
      <c r="V1262" s="257">
        <f t="shared" si="382"/>
        <v>-1102.8917996562732</v>
      </c>
      <c r="W1262" s="257"/>
      <c r="X1262" s="257"/>
      <c r="Y1262" s="258"/>
      <c r="Z1262" s="258"/>
      <c r="AA1262" s="258"/>
      <c r="AB1262" s="258"/>
      <c r="AC1262" s="258"/>
      <c r="AD1262" s="258"/>
      <c r="AE1262" s="258"/>
      <c r="AF1262" s="258"/>
      <c r="AG1262" s="258"/>
      <c r="AH1262" s="258"/>
      <c r="AI1262" s="258"/>
      <c r="AJ1262" s="258"/>
      <c r="AK1262" s="258"/>
      <c r="AL1262" s="258"/>
      <c r="AM1262" s="258"/>
      <c r="AN1262" s="258"/>
      <c r="AO1262" s="258"/>
    </row>
    <row r="1263" spans="1:191" s="196" customFormat="1" ht="36" customHeight="1" x14ac:dyDescent="0.25">
      <c r="A1263" s="259">
        <v>1</v>
      </c>
      <c r="B1263" s="135">
        <f>SUBTOTAL(103,$A$1000:A1263)</f>
        <v>211</v>
      </c>
      <c r="C1263" s="132" t="s">
        <v>1374</v>
      </c>
      <c r="D1263" s="124">
        <v>1950</v>
      </c>
      <c r="E1263" s="124"/>
      <c r="F1263" s="134" t="s">
        <v>269</v>
      </c>
      <c r="G1263" s="124">
        <v>2</v>
      </c>
      <c r="H1263" s="124" t="s">
        <v>305</v>
      </c>
      <c r="I1263" s="125">
        <v>814.6</v>
      </c>
      <c r="J1263" s="125">
        <v>814.6</v>
      </c>
      <c r="K1263" s="125">
        <v>336.9</v>
      </c>
      <c r="L1263" s="133">
        <v>26</v>
      </c>
      <c r="M1263" s="124" t="s">
        <v>267</v>
      </c>
      <c r="N1263" s="124" t="s">
        <v>271</v>
      </c>
      <c r="O1263" s="124" t="s">
        <v>1303</v>
      </c>
      <c r="P1263" s="125">
        <v>5584659.7400000002</v>
      </c>
      <c r="Q1263" s="125">
        <v>0</v>
      </c>
      <c r="R1263" s="125">
        <v>0</v>
      </c>
      <c r="S1263" s="125">
        <f>P1263-Q1263-R1263</f>
        <v>5584659.7400000002</v>
      </c>
      <c r="T1263" s="128">
        <f t="shared" si="374"/>
        <v>6855.7080039283082</v>
      </c>
      <c r="U1263" s="128">
        <v>5752.8162042720351</v>
      </c>
      <c r="V1263" s="257">
        <f>U1263-T1263</f>
        <v>-1102.8917996562732</v>
      </c>
      <c r="W1263" s="257">
        <f>T1263</f>
        <v>6855.7080039283082</v>
      </c>
      <c r="X1263" s="257">
        <v>0</v>
      </c>
      <c r="Y1263" s="258">
        <v>0</v>
      </c>
      <c r="Z1263" s="258">
        <v>0</v>
      </c>
      <c r="AA1263" s="258">
        <v>0</v>
      </c>
      <c r="AB1263" s="258">
        <v>0</v>
      </c>
      <c r="AC1263" s="258">
        <v>0</v>
      </c>
      <c r="AD1263" s="258">
        <v>0</v>
      </c>
      <c r="AE1263" s="258">
        <v>720</v>
      </c>
      <c r="AF1263" s="257">
        <f>6436.53*AE1263/I1263</f>
        <v>5689.0518045666577</v>
      </c>
      <c r="AG1263" s="258">
        <v>0</v>
      </c>
      <c r="AH1263" s="257">
        <v>0</v>
      </c>
      <c r="AI1263" s="258">
        <v>0</v>
      </c>
      <c r="AJ1263" s="257">
        <v>0</v>
      </c>
      <c r="AK1263" s="258">
        <v>0</v>
      </c>
      <c r="AL1263" s="258">
        <v>0</v>
      </c>
      <c r="AM1263" s="258">
        <v>0</v>
      </c>
      <c r="AN1263" s="258"/>
      <c r="AO1263" s="258">
        <v>0</v>
      </c>
      <c r="AP1263" s="259"/>
      <c r="DQ1263" s="263"/>
      <c r="DR1263" s="263"/>
      <c r="DS1263" s="263"/>
      <c r="EP1263" s="264"/>
      <c r="FS1263" s="265"/>
      <c r="GI1263" s="266"/>
    </row>
    <row r="1264" spans="1:191" s="259" customFormat="1" ht="36" customHeight="1" x14ac:dyDescent="0.25">
      <c r="B1264" s="94" t="s">
        <v>867</v>
      </c>
      <c r="C1264" s="94"/>
      <c r="D1264" s="124" t="s">
        <v>896</v>
      </c>
      <c r="E1264" s="124" t="s">
        <v>896</v>
      </c>
      <c r="F1264" s="124" t="s">
        <v>896</v>
      </c>
      <c r="G1264" s="124" t="s">
        <v>896</v>
      </c>
      <c r="H1264" s="124" t="s">
        <v>896</v>
      </c>
      <c r="I1264" s="125">
        <f>I1265</f>
        <v>350.9</v>
      </c>
      <c r="J1264" s="125">
        <f>J1265</f>
        <v>350.9</v>
      </c>
      <c r="K1264" s="125">
        <f>K1265</f>
        <v>266.79999999999995</v>
      </c>
      <c r="L1264" s="126">
        <f>L1265</f>
        <v>18</v>
      </c>
      <c r="M1264" s="124" t="s">
        <v>896</v>
      </c>
      <c r="N1264" s="124" t="s">
        <v>896</v>
      </c>
      <c r="O1264" s="127" t="s">
        <v>896</v>
      </c>
      <c r="P1264" s="128">
        <v>3600600</v>
      </c>
      <c r="Q1264" s="128">
        <f>Q1265</f>
        <v>0</v>
      </c>
      <c r="R1264" s="128">
        <f>R1265</f>
        <v>0</v>
      </c>
      <c r="S1264" s="128">
        <f>S1265</f>
        <v>3600600</v>
      </c>
      <c r="T1264" s="128">
        <f t="shared" si="374"/>
        <v>10261.043032202908</v>
      </c>
      <c r="U1264" s="128">
        <f>U1265</f>
        <v>10261.043032202908</v>
      </c>
      <c r="V1264" s="257">
        <f t="shared" si="382"/>
        <v>0</v>
      </c>
      <c r="W1264" s="257"/>
      <c r="X1264" s="257"/>
      <c r="Y1264" s="258"/>
      <c r="Z1264" s="258"/>
      <c r="AA1264" s="258"/>
      <c r="AB1264" s="258"/>
      <c r="AC1264" s="258"/>
      <c r="AD1264" s="258"/>
      <c r="AE1264" s="258"/>
      <c r="AF1264" s="258"/>
      <c r="AG1264" s="258"/>
      <c r="AH1264" s="258"/>
      <c r="AI1264" s="258"/>
      <c r="AJ1264" s="258"/>
      <c r="AK1264" s="258"/>
      <c r="AL1264" s="258"/>
      <c r="AM1264" s="258"/>
      <c r="AN1264" s="258"/>
      <c r="AO1264" s="258"/>
    </row>
    <row r="1265" spans="1:191" s="196" customFormat="1" ht="36" customHeight="1" x14ac:dyDescent="0.25">
      <c r="A1265" s="259">
        <v>1</v>
      </c>
      <c r="B1265" s="135">
        <f>SUBTOTAL(103,$A$1000:A1265)</f>
        <v>212</v>
      </c>
      <c r="C1265" s="132" t="s">
        <v>800</v>
      </c>
      <c r="D1265" s="124">
        <v>1930</v>
      </c>
      <c r="E1265" s="124"/>
      <c r="F1265" s="134" t="s">
        <v>269</v>
      </c>
      <c r="G1265" s="124">
        <v>2</v>
      </c>
      <c r="H1265" s="124" t="s">
        <v>306</v>
      </c>
      <c r="I1265" s="125">
        <v>350.9</v>
      </c>
      <c r="J1265" s="125">
        <v>350.9</v>
      </c>
      <c r="K1265" s="125">
        <v>266.79999999999995</v>
      </c>
      <c r="L1265" s="133">
        <v>18</v>
      </c>
      <c r="M1265" s="124" t="s">
        <v>267</v>
      </c>
      <c r="N1265" s="124" t="s">
        <v>268</v>
      </c>
      <c r="O1265" s="124" t="s">
        <v>270</v>
      </c>
      <c r="P1265" s="125">
        <v>3600600</v>
      </c>
      <c r="Q1265" s="125">
        <v>0</v>
      </c>
      <c r="R1265" s="125">
        <v>0</v>
      </c>
      <c r="S1265" s="125">
        <f>P1265-Q1265-R1265</f>
        <v>3600600</v>
      </c>
      <c r="T1265" s="128">
        <f t="shared" si="374"/>
        <v>10261.043032202908</v>
      </c>
      <c r="U1265" s="128">
        <v>10261.043032202908</v>
      </c>
      <c r="V1265" s="257">
        <f>U1265-T1265</f>
        <v>0</v>
      </c>
      <c r="W1265" s="257">
        <f>X1265+Y1265+Z1265+AA1265+AB1265+AD1265+AF1265+AH1265+AJ1265+AL1265+AN1265+AO1265</f>
        <v>13308.786976346539</v>
      </c>
      <c r="X1265" s="257">
        <v>0</v>
      </c>
      <c r="Y1265" s="258">
        <v>0</v>
      </c>
      <c r="Z1265" s="258">
        <v>0</v>
      </c>
      <c r="AA1265" s="258">
        <v>0</v>
      </c>
      <c r="AB1265" s="258">
        <v>0</v>
      </c>
      <c r="AC1265" s="258">
        <v>0</v>
      </c>
      <c r="AD1265" s="258">
        <v>0</v>
      </c>
      <c r="AE1265" s="258">
        <v>351</v>
      </c>
      <c r="AF1265" s="257">
        <f>6238.91*AE1265/I1265</f>
        <v>6240.6879737817053</v>
      </c>
      <c r="AG1265" s="258">
        <v>0</v>
      </c>
      <c r="AH1265" s="257">
        <v>0</v>
      </c>
      <c r="AI1265" s="258">
        <v>333.4</v>
      </c>
      <c r="AJ1265" s="257">
        <f>7439.1*AI1265/I1265</f>
        <v>7068.0990025648334</v>
      </c>
      <c r="AK1265" s="258">
        <v>0</v>
      </c>
      <c r="AL1265" s="258">
        <v>0</v>
      </c>
      <c r="AM1265" s="258">
        <v>0</v>
      </c>
      <c r="AN1265" s="258"/>
      <c r="AO1265" s="258">
        <v>0</v>
      </c>
      <c r="AP1265" s="259"/>
      <c r="DQ1265" s="263"/>
      <c r="DR1265" s="263"/>
      <c r="DS1265" s="263"/>
      <c r="EP1265" s="264"/>
      <c r="FS1265" s="265"/>
      <c r="GI1265" s="266"/>
    </row>
    <row r="1266" spans="1:191" s="259" customFormat="1" ht="36" customHeight="1" x14ac:dyDescent="0.25">
      <c r="B1266" s="94" t="s">
        <v>886</v>
      </c>
      <c r="C1266" s="94"/>
      <c r="D1266" s="124" t="s">
        <v>896</v>
      </c>
      <c r="E1266" s="124" t="s">
        <v>896</v>
      </c>
      <c r="F1266" s="124" t="s">
        <v>896</v>
      </c>
      <c r="G1266" s="124" t="s">
        <v>896</v>
      </c>
      <c r="H1266" s="124" t="s">
        <v>896</v>
      </c>
      <c r="I1266" s="125">
        <f>I1267</f>
        <v>626</v>
      </c>
      <c r="J1266" s="125">
        <f>J1267</f>
        <v>626</v>
      </c>
      <c r="K1266" s="125">
        <f>K1267</f>
        <v>423.7</v>
      </c>
      <c r="L1266" s="126">
        <f>L1267</f>
        <v>31</v>
      </c>
      <c r="M1266" s="124" t="s">
        <v>896</v>
      </c>
      <c r="N1266" s="124" t="s">
        <v>896</v>
      </c>
      <c r="O1266" s="127" t="s">
        <v>896</v>
      </c>
      <c r="P1266" s="128">
        <v>2233993.96</v>
      </c>
      <c r="Q1266" s="128">
        <f>Q1267</f>
        <v>0</v>
      </c>
      <c r="R1266" s="128">
        <f>R1267</f>
        <v>0</v>
      </c>
      <c r="S1266" s="128">
        <f>S1267</f>
        <v>2233993.96</v>
      </c>
      <c r="T1266" s="128">
        <f t="shared" si="374"/>
        <v>3568.6804472843451</v>
      </c>
      <c r="U1266" s="128">
        <f>U1267</f>
        <v>3760.1141214057507</v>
      </c>
      <c r="V1266" s="257">
        <f t="shared" si="382"/>
        <v>191.4336741214056</v>
      </c>
      <c r="W1266" s="257"/>
      <c r="X1266" s="257"/>
      <c r="Y1266" s="258"/>
      <c r="Z1266" s="258"/>
      <c r="AA1266" s="258"/>
      <c r="AB1266" s="258"/>
      <c r="AC1266" s="258"/>
      <c r="AD1266" s="258"/>
      <c r="AE1266" s="258"/>
      <c r="AF1266" s="258"/>
      <c r="AG1266" s="258"/>
      <c r="AH1266" s="258"/>
      <c r="AI1266" s="258"/>
      <c r="AJ1266" s="258"/>
      <c r="AK1266" s="258"/>
      <c r="AL1266" s="258"/>
      <c r="AM1266" s="258"/>
      <c r="AN1266" s="258"/>
      <c r="AO1266" s="258"/>
    </row>
    <row r="1267" spans="1:191" s="196" customFormat="1" ht="36" customHeight="1" x14ac:dyDescent="0.25">
      <c r="A1267" s="259">
        <v>1</v>
      </c>
      <c r="B1267" s="135">
        <f>SUBTOTAL(103,$A$1000:A1267)</f>
        <v>213</v>
      </c>
      <c r="C1267" s="132" t="s">
        <v>197</v>
      </c>
      <c r="D1267" s="124" t="s">
        <v>318</v>
      </c>
      <c r="E1267" s="124"/>
      <c r="F1267" s="134" t="s">
        <v>269</v>
      </c>
      <c r="G1267" s="124" t="s">
        <v>305</v>
      </c>
      <c r="H1267" s="124" t="s">
        <v>305</v>
      </c>
      <c r="I1267" s="125">
        <v>626</v>
      </c>
      <c r="J1267" s="125">
        <v>626</v>
      </c>
      <c r="K1267" s="125">
        <v>423.7</v>
      </c>
      <c r="L1267" s="133">
        <v>31</v>
      </c>
      <c r="M1267" s="124" t="s">
        <v>267</v>
      </c>
      <c r="N1267" s="124" t="s">
        <v>271</v>
      </c>
      <c r="O1267" s="124" t="s">
        <v>994</v>
      </c>
      <c r="P1267" s="125">
        <v>2233993.96</v>
      </c>
      <c r="Q1267" s="125">
        <v>0</v>
      </c>
      <c r="R1267" s="125">
        <v>0</v>
      </c>
      <c r="S1267" s="125">
        <f>P1267-Q1267-R1267</f>
        <v>2233993.96</v>
      </c>
      <c r="T1267" s="128">
        <f t="shared" si="374"/>
        <v>3568.6804472843451</v>
      </c>
      <c r="U1267" s="128">
        <v>3760.1141214057507</v>
      </c>
      <c r="V1267" s="257">
        <f>U1267-T1267</f>
        <v>191.4336741214056</v>
      </c>
      <c r="W1267" s="257">
        <f>X1267+Y1267+Z1267+AA1267+AB1267+AD1267+AF1267+AH1267+AJ1267+AL1267+AN1267+AO1267</f>
        <v>3747.3325239616615</v>
      </c>
      <c r="X1267" s="257">
        <v>0</v>
      </c>
      <c r="Y1267" s="258">
        <v>0</v>
      </c>
      <c r="Z1267" s="258">
        <v>0</v>
      </c>
      <c r="AA1267" s="258">
        <v>0</v>
      </c>
      <c r="AB1267" s="258">
        <v>0</v>
      </c>
      <c r="AC1267" s="258">
        <v>0</v>
      </c>
      <c r="AD1267" s="258">
        <v>0</v>
      </c>
      <c r="AE1267" s="258">
        <v>376</v>
      </c>
      <c r="AF1267" s="257">
        <f>6238.91*AE1267/I1267</f>
        <v>3747.3325239616615</v>
      </c>
      <c r="AG1267" s="258">
        <v>0</v>
      </c>
      <c r="AH1267" s="257">
        <v>0</v>
      </c>
      <c r="AI1267" s="258">
        <v>0</v>
      </c>
      <c r="AJ1267" s="257">
        <v>0</v>
      </c>
      <c r="AK1267" s="258">
        <v>0</v>
      </c>
      <c r="AL1267" s="258">
        <v>0</v>
      </c>
      <c r="AM1267" s="258">
        <v>0</v>
      </c>
      <c r="AN1267" s="258"/>
      <c r="AO1267" s="258">
        <v>0</v>
      </c>
      <c r="AP1267" s="259"/>
      <c r="DQ1267" s="263"/>
      <c r="DR1267" s="263"/>
      <c r="DS1267" s="263"/>
      <c r="EP1267" s="264"/>
      <c r="FS1267" s="265"/>
      <c r="GI1267" s="266"/>
    </row>
    <row r="1268" spans="1:191" s="259" customFormat="1" ht="36" customHeight="1" x14ac:dyDescent="0.25">
      <c r="B1268" s="94" t="s">
        <v>868</v>
      </c>
      <c r="C1268" s="261"/>
      <c r="D1268" s="124" t="s">
        <v>896</v>
      </c>
      <c r="E1268" s="124" t="s">
        <v>896</v>
      </c>
      <c r="F1268" s="124" t="s">
        <v>896</v>
      </c>
      <c r="G1268" s="124" t="s">
        <v>896</v>
      </c>
      <c r="H1268" s="124" t="s">
        <v>896</v>
      </c>
      <c r="I1268" s="125">
        <f>SUM(I1269:I1271)</f>
        <v>4977.3999999999996</v>
      </c>
      <c r="J1268" s="125">
        <f>SUM(J1269:J1271)</f>
        <v>4613.7</v>
      </c>
      <c r="K1268" s="125">
        <f>SUM(K1269:K1271)</f>
        <v>4612.5</v>
      </c>
      <c r="L1268" s="126">
        <f>SUM(L1269:L1271)</f>
        <v>180</v>
      </c>
      <c r="M1268" s="124" t="s">
        <v>896</v>
      </c>
      <c r="N1268" s="124" t="s">
        <v>896</v>
      </c>
      <c r="O1268" s="127" t="s">
        <v>896</v>
      </c>
      <c r="P1268" s="128">
        <v>14392200</v>
      </c>
      <c r="Q1268" s="128">
        <f>Q1269+Q1270+Q1271</f>
        <v>0</v>
      </c>
      <c r="R1268" s="128">
        <f>R1269+R1270+R1271</f>
        <v>0</v>
      </c>
      <c r="S1268" s="128">
        <f>S1269+S1270+S1271</f>
        <v>14392200</v>
      </c>
      <c r="T1268" s="128">
        <f t="shared" si="374"/>
        <v>2891.509623498212</v>
      </c>
      <c r="U1268" s="128">
        <f>MAX(U1269:U1271)</f>
        <v>3745.1680542848426</v>
      </c>
      <c r="V1268" s="257">
        <f t="shared" si="382"/>
        <v>853.65843078663056</v>
      </c>
      <c r="W1268" s="257"/>
      <c r="X1268" s="257"/>
      <c r="Y1268" s="258"/>
      <c r="Z1268" s="258"/>
      <c r="AA1268" s="258"/>
      <c r="AB1268" s="258"/>
      <c r="AC1268" s="258"/>
      <c r="AD1268" s="258"/>
      <c r="AE1268" s="258"/>
      <c r="AF1268" s="258"/>
      <c r="AG1268" s="258"/>
      <c r="AH1268" s="258"/>
      <c r="AI1268" s="258"/>
      <c r="AJ1268" s="258"/>
      <c r="AK1268" s="258"/>
      <c r="AL1268" s="258"/>
      <c r="AM1268" s="258"/>
      <c r="AN1268" s="258"/>
      <c r="AO1268" s="258"/>
    </row>
    <row r="1269" spans="1:191" s="196" customFormat="1" ht="36" customHeight="1" x14ac:dyDescent="0.25">
      <c r="A1269" s="259">
        <v>1</v>
      </c>
      <c r="B1269" s="135">
        <f>SUBTOTAL(103,$A$1000:A1269)</f>
        <v>214</v>
      </c>
      <c r="C1269" s="132" t="s">
        <v>214</v>
      </c>
      <c r="D1269" s="124">
        <v>1977</v>
      </c>
      <c r="E1269" s="124"/>
      <c r="F1269" s="134" t="s">
        <v>269</v>
      </c>
      <c r="G1269" s="124">
        <v>3</v>
      </c>
      <c r="H1269" s="124" t="s">
        <v>314</v>
      </c>
      <c r="I1269" s="125">
        <v>1967.4</v>
      </c>
      <c r="J1269" s="125">
        <v>1817.2</v>
      </c>
      <c r="K1269" s="125">
        <v>1817.2</v>
      </c>
      <c r="L1269" s="133">
        <v>61</v>
      </c>
      <c r="M1269" s="124" t="s">
        <v>267</v>
      </c>
      <c r="N1269" s="124" t="s">
        <v>271</v>
      </c>
      <c r="O1269" s="124" t="s">
        <v>334</v>
      </c>
      <c r="P1269" s="125">
        <v>6002700</v>
      </c>
      <c r="Q1269" s="125">
        <v>0</v>
      </c>
      <c r="R1269" s="125">
        <v>0</v>
      </c>
      <c r="S1269" s="125">
        <f>P1269-Q1269-R1269</f>
        <v>6002700</v>
      </c>
      <c r="T1269" s="128">
        <f t="shared" si="374"/>
        <v>3051.0826471485207</v>
      </c>
      <c r="U1269" s="128">
        <v>3745.1680542848426</v>
      </c>
      <c r="V1269" s="257">
        <f t="shared" si="382"/>
        <v>694.08540713632192</v>
      </c>
      <c r="W1269" s="257">
        <f t="shared" ref="W1269:W1271" si="385">X1269+Y1269+Z1269+AA1269+AB1269+AD1269+AF1269+AH1269+AJ1269+AL1269+AN1269+AO1269</f>
        <v>3732.4372623767404</v>
      </c>
      <c r="X1269" s="257">
        <v>0</v>
      </c>
      <c r="Y1269" s="258">
        <v>0</v>
      </c>
      <c r="Z1269" s="258">
        <v>0</v>
      </c>
      <c r="AA1269" s="258">
        <v>0</v>
      </c>
      <c r="AB1269" s="258">
        <v>0</v>
      </c>
      <c r="AC1269" s="258">
        <v>0</v>
      </c>
      <c r="AD1269" s="258">
        <v>0</v>
      </c>
      <c r="AE1269" s="258">
        <v>1177</v>
      </c>
      <c r="AF1269" s="257">
        <f>6238.91*AE1269/I1269</f>
        <v>3732.4372623767404</v>
      </c>
      <c r="AG1269" s="258">
        <v>0</v>
      </c>
      <c r="AH1269" s="257">
        <v>0</v>
      </c>
      <c r="AI1269" s="258">
        <v>0</v>
      </c>
      <c r="AJ1269" s="257">
        <v>0</v>
      </c>
      <c r="AK1269" s="258">
        <v>0</v>
      </c>
      <c r="AL1269" s="258">
        <v>0</v>
      </c>
      <c r="AM1269" s="258">
        <v>0</v>
      </c>
      <c r="AN1269" s="258"/>
      <c r="AO1269" s="258">
        <v>0</v>
      </c>
      <c r="AP1269" s="259"/>
      <c r="DQ1269" s="263"/>
      <c r="DR1269" s="263"/>
      <c r="DS1269" s="263"/>
      <c r="EP1269" s="264"/>
      <c r="FS1269" s="265"/>
      <c r="GI1269" s="266"/>
    </row>
    <row r="1270" spans="1:191" s="196" customFormat="1" ht="36" customHeight="1" x14ac:dyDescent="0.25">
      <c r="A1270" s="259">
        <v>1</v>
      </c>
      <c r="B1270" s="135">
        <f>SUBTOTAL(103,$A$1000:A1270)</f>
        <v>215</v>
      </c>
      <c r="C1270" s="132" t="s">
        <v>215</v>
      </c>
      <c r="D1270" s="124">
        <v>1989</v>
      </c>
      <c r="E1270" s="124"/>
      <c r="F1270" s="134" t="s">
        <v>269</v>
      </c>
      <c r="G1270" s="124">
        <v>3</v>
      </c>
      <c r="H1270" s="124" t="s">
        <v>305</v>
      </c>
      <c r="I1270" s="125">
        <v>1426.9</v>
      </c>
      <c r="J1270" s="125">
        <v>1319.7</v>
      </c>
      <c r="K1270" s="125">
        <v>1318.5</v>
      </c>
      <c r="L1270" s="133">
        <v>59</v>
      </c>
      <c r="M1270" s="124" t="s">
        <v>267</v>
      </c>
      <c r="N1270" s="124" t="s">
        <v>271</v>
      </c>
      <c r="O1270" s="124" t="s">
        <v>334</v>
      </c>
      <c r="P1270" s="125">
        <v>4059600</v>
      </c>
      <c r="Q1270" s="125">
        <v>0</v>
      </c>
      <c r="R1270" s="125">
        <v>0</v>
      </c>
      <c r="S1270" s="125">
        <f>P1270-Q1270-R1270</f>
        <v>4059600</v>
      </c>
      <c r="T1270" s="128">
        <f t="shared" si="374"/>
        <v>2845.0487069871747</v>
      </c>
      <c r="U1270" s="128">
        <v>3492.2638166654979</v>
      </c>
      <c r="V1270" s="257">
        <f t="shared" si="382"/>
        <v>647.21510967832319</v>
      </c>
      <c r="W1270" s="257">
        <f t="shared" si="385"/>
        <v>3480.3927114724229</v>
      </c>
      <c r="X1270" s="257">
        <v>0</v>
      </c>
      <c r="Y1270" s="258">
        <v>0</v>
      </c>
      <c r="Z1270" s="258">
        <v>0</v>
      </c>
      <c r="AA1270" s="258">
        <v>0</v>
      </c>
      <c r="AB1270" s="258">
        <v>0</v>
      </c>
      <c r="AC1270" s="258">
        <v>0</v>
      </c>
      <c r="AD1270" s="258">
        <v>0</v>
      </c>
      <c r="AE1270" s="258">
        <v>796</v>
      </c>
      <c r="AF1270" s="257">
        <f>6238.91*AE1270/I1270</f>
        <v>3480.3927114724229</v>
      </c>
      <c r="AG1270" s="258">
        <v>0</v>
      </c>
      <c r="AH1270" s="257">
        <v>0</v>
      </c>
      <c r="AI1270" s="258">
        <v>0</v>
      </c>
      <c r="AJ1270" s="257">
        <v>0</v>
      </c>
      <c r="AK1270" s="258">
        <v>0</v>
      </c>
      <c r="AL1270" s="258">
        <v>0</v>
      </c>
      <c r="AM1270" s="258">
        <v>0</v>
      </c>
      <c r="AN1270" s="258"/>
      <c r="AO1270" s="258">
        <v>0</v>
      </c>
      <c r="AP1270" s="259"/>
      <c r="DQ1270" s="263"/>
      <c r="DR1270" s="263"/>
      <c r="DS1270" s="263"/>
      <c r="EP1270" s="264"/>
      <c r="FS1270" s="265"/>
      <c r="GI1270" s="266"/>
    </row>
    <row r="1271" spans="1:191" s="196" customFormat="1" ht="36" customHeight="1" x14ac:dyDescent="0.25">
      <c r="A1271" s="259">
        <v>1</v>
      </c>
      <c r="B1271" s="135">
        <f>SUBTOTAL(103,$A$1000:A1271)</f>
        <v>216</v>
      </c>
      <c r="C1271" s="132" t="s">
        <v>216</v>
      </c>
      <c r="D1271" s="124">
        <v>1972</v>
      </c>
      <c r="E1271" s="124"/>
      <c r="F1271" s="134" t="s">
        <v>269</v>
      </c>
      <c r="G1271" s="124">
        <v>3</v>
      </c>
      <c r="H1271" s="124" t="s">
        <v>314</v>
      </c>
      <c r="I1271" s="125">
        <v>1583.1</v>
      </c>
      <c r="J1271" s="125">
        <v>1476.8</v>
      </c>
      <c r="K1271" s="125">
        <v>1476.8</v>
      </c>
      <c r="L1271" s="133">
        <v>60</v>
      </c>
      <c r="M1271" s="124" t="s">
        <v>267</v>
      </c>
      <c r="N1271" s="124" t="s">
        <v>271</v>
      </c>
      <c r="O1271" s="124" t="s">
        <v>334</v>
      </c>
      <c r="P1271" s="125">
        <v>4329900</v>
      </c>
      <c r="Q1271" s="125">
        <v>0</v>
      </c>
      <c r="R1271" s="125">
        <v>0</v>
      </c>
      <c r="S1271" s="125">
        <f>P1271-Q1271-R1271</f>
        <v>4329900</v>
      </c>
      <c r="T1271" s="128">
        <f t="shared" si="374"/>
        <v>2735.0767481523594</v>
      </c>
      <c r="U1271" s="128">
        <v>3357.2745309835132</v>
      </c>
      <c r="V1271" s="257">
        <f t="shared" si="382"/>
        <v>622.19778283115375</v>
      </c>
      <c r="W1271" s="257">
        <f t="shared" si="385"/>
        <v>3345.862289179458</v>
      </c>
      <c r="X1271" s="257">
        <v>0</v>
      </c>
      <c r="Y1271" s="258">
        <v>0</v>
      </c>
      <c r="Z1271" s="258">
        <v>0</v>
      </c>
      <c r="AA1271" s="258">
        <v>0</v>
      </c>
      <c r="AB1271" s="258">
        <v>0</v>
      </c>
      <c r="AC1271" s="258">
        <v>0</v>
      </c>
      <c r="AD1271" s="258">
        <v>0</v>
      </c>
      <c r="AE1271" s="258">
        <v>849</v>
      </c>
      <c r="AF1271" s="257">
        <f>6238.91*AE1271/I1271</f>
        <v>3345.862289179458</v>
      </c>
      <c r="AG1271" s="258">
        <v>0</v>
      </c>
      <c r="AH1271" s="257">
        <v>0</v>
      </c>
      <c r="AI1271" s="258">
        <v>0</v>
      </c>
      <c r="AJ1271" s="257">
        <v>0</v>
      </c>
      <c r="AK1271" s="258">
        <v>0</v>
      </c>
      <c r="AL1271" s="258">
        <v>0</v>
      </c>
      <c r="AM1271" s="258">
        <v>0</v>
      </c>
      <c r="AN1271" s="258"/>
      <c r="AO1271" s="258">
        <v>0</v>
      </c>
      <c r="AP1271" s="259"/>
      <c r="DQ1271" s="263"/>
      <c r="DR1271" s="263"/>
      <c r="DS1271" s="263"/>
      <c r="EP1271" s="264"/>
      <c r="FS1271" s="265"/>
      <c r="GI1271" s="266"/>
    </row>
    <row r="1272" spans="1:191" s="259" customFormat="1" ht="36" customHeight="1" x14ac:dyDescent="0.25">
      <c r="B1272" s="94" t="s">
        <v>869</v>
      </c>
      <c r="C1272" s="94"/>
      <c r="D1272" s="124" t="s">
        <v>896</v>
      </c>
      <c r="E1272" s="124" t="s">
        <v>896</v>
      </c>
      <c r="F1272" s="124" t="s">
        <v>896</v>
      </c>
      <c r="G1272" s="124" t="s">
        <v>896</v>
      </c>
      <c r="H1272" s="124" t="s">
        <v>896</v>
      </c>
      <c r="I1272" s="125">
        <f>I1273</f>
        <v>775.2</v>
      </c>
      <c r="J1272" s="125">
        <f>J1273</f>
        <v>715.9</v>
      </c>
      <c r="K1272" s="125">
        <f>K1273</f>
        <v>715.9</v>
      </c>
      <c r="L1272" s="126">
        <f>L1273</f>
        <v>35</v>
      </c>
      <c r="M1272" s="124" t="s">
        <v>896</v>
      </c>
      <c r="N1272" s="124" t="s">
        <v>896</v>
      </c>
      <c r="O1272" s="127" t="s">
        <v>896</v>
      </c>
      <c r="P1272" s="128">
        <v>3396600</v>
      </c>
      <c r="Q1272" s="128">
        <f>Q1273</f>
        <v>0</v>
      </c>
      <c r="R1272" s="128">
        <f>R1273</f>
        <v>0</v>
      </c>
      <c r="S1272" s="128">
        <f>S1273</f>
        <v>3396600</v>
      </c>
      <c r="T1272" s="128">
        <f t="shared" si="374"/>
        <v>4381.5789473684208</v>
      </c>
      <c r="U1272" s="128">
        <f>U1273</f>
        <v>5378.33660990712</v>
      </c>
      <c r="V1272" s="257">
        <f t="shared" si="382"/>
        <v>996.75766253869915</v>
      </c>
      <c r="W1272" s="257"/>
      <c r="X1272" s="257"/>
      <c r="Y1272" s="258"/>
      <c r="Z1272" s="258"/>
      <c r="AA1272" s="258"/>
      <c r="AB1272" s="258"/>
      <c r="AC1272" s="258"/>
      <c r="AD1272" s="258"/>
      <c r="AE1272" s="258"/>
      <c r="AF1272" s="258"/>
      <c r="AG1272" s="258"/>
      <c r="AH1272" s="258"/>
      <c r="AI1272" s="258"/>
      <c r="AJ1272" s="258"/>
      <c r="AK1272" s="258"/>
      <c r="AL1272" s="258"/>
      <c r="AM1272" s="258"/>
      <c r="AN1272" s="258"/>
      <c r="AO1272" s="258"/>
    </row>
    <row r="1273" spans="1:191" s="196" customFormat="1" ht="36" customHeight="1" x14ac:dyDescent="0.25">
      <c r="A1273" s="259">
        <v>1</v>
      </c>
      <c r="B1273" s="135">
        <f>SUBTOTAL(103,$A$1000:A1273)</f>
        <v>217</v>
      </c>
      <c r="C1273" s="132" t="s">
        <v>222</v>
      </c>
      <c r="D1273" s="124">
        <v>1974</v>
      </c>
      <c r="E1273" s="124"/>
      <c r="F1273" s="134" t="s">
        <v>269</v>
      </c>
      <c r="G1273" s="124">
        <v>2</v>
      </c>
      <c r="H1273" s="124" t="s">
        <v>305</v>
      </c>
      <c r="I1273" s="125">
        <v>775.2</v>
      </c>
      <c r="J1273" s="125">
        <v>715.9</v>
      </c>
      <c r="K1273" s="125">
        <v>715.9</v>
      </c>
      <c r="L1273" s="133">
        <v>35</v>
      </c>
      <c r="M1273" s="124" t="s">
        <v>267</v>
      </c>
      <c r="N1273" s="124" t="s">
        <v>268</v>
      </c>
      <c r="O1273" s="124" t="s">
        <v>270</v>
      </c>
      <c r="P1273" s="125">
        <v>3396600</v>
      </c>
      <c r="Q1273" s="125">
        <v>0</v>
      </c>
      <c r="R1273" s="125">
        <v>0</v>
      </c>
      <c r="S1273" s="125">
        <f>P1273-Q1273-R1273</f>
        <v>3396600</v>
      </c>
      <c r="T1273" s="128">
        <f>P1273/I1273</f>
        <v>4381.5789473684208</v>
      </c>
      <c r="U1273" s="128">
        <v>5378.33660990712</v>
      </c>
      <c r="V1273" s="257">
        <f>U1273-T1273</f>
        <v>996.75766253869915</v>
      </c>
      <c r="W1273" s="257">
        <f>X1273+Y1273+Z1273+AA1273+AB1273+AD1273+AF1273+AH1273+AJ1273+AL1273+AN1273+AO1273</f>
        <v>5360.0542569659438</v>
      </c>
      <c r="X1273" s="257">
        <v>0</v>
      </c>
      <c r="Y1273" s="258">
        <v>0</v>
      </c>
      <c r="Z1273" s="258">
        <v>0</v>
      </c>
      <c r="AA1273" s="258">
        <v>0</v>
      </c>
      <c r="AB1273" s="258">
        <v>0</v>
      </c>
      <c r="AC1273" s="258">
        <v>0</v>
      </c>
      <c r="AD1273" s="258">
        <v>0</v>
      </c>
      <c r="AE1273" s="258">
        <v>666</v>
      </c>
      <c r="AF1273" s="257">
        <f>6238.91*AE1273/I1273</f>
        <v>5360.0542569659438</v>
      </c>
      <c r="AG1273" s="258">
        <v>0</v>
      </c>
      <c r="AH1273" s="257">
        <v>0</v>
      </c>
      <c r="AI1273" s="258">
        <v>0</v>
      </c>
      <c r="AJ1273" s="257">
        <v>0</v>
      </c>
      <c r="AK1273" s="258">
        <v>0</v>
      </c>
      <c r="AL1273" s="258">
        <v>0</v>
      </c>
      <c r="AM1273" s="258">
        <v>0</v>
      </c>
      <c r="AN1273" s="258"/>
      <c r="AO1273" s="258">
        <v>0</v>
      </c>
      <c r="AP1273" s="259"/>
      <c r="DQ1273" s="263"/>
      <c r="DR1273" s="263"/>
      <c r="DS1273" s="263"/>
      <c r="EP1273" s="264"/>
      <c r="FS1273" s="265"/>
      <c r="GI1273" s="266"/>
    </row>
    <row r="1274" spans="1:191" s="196" customFormat="1" ht="84" customHeight="1" x14ac:dyDescent="0.25">
      <c r="B1274" s="315" t="s">
        <v>1683</v>
      </c>
      <c r="C1274" s="315"/>
      <c r="D1274" s="315"/>
      <c r="E1274" s="315"/>
      <c r="F1274" s="315"/>
      <c r="G1274" s="315"/>
      <c r="H1274" s="315"/>
      <c r="I1274" s="315"/>
      <c r="J1274" s="315"/>
      <c r="K1274" s="315"/>
      <c r="L1274" s="315"/>
      <c r="M1274" s="315"/>
      <c r="N1274" s="315"/>
      <c r="O1274" s="315"/>
      <c r="P1274" s="315"/>
      <c r="Q1274" s="315"/>
      <c r="R1274" s="315"/>
      <c r="S1274" s="315"/>
      <c r="T1274" s="315"/>
      <c r="U1274" s="315"/>
      <c r="X1274" s="258"/>
      <c r="Y1274" s="258"/>
      <c r="Z1274" s="258"/>
      <c r="AA1274" s="258"/>
      <c r="AB1274" s="258"/>
      <c r="AC1274" s="258"/>
      <c r="AD1274" s="258"/>
      <c r="AE1274" s="258"/>
      <c r="AF1274" s="258"/>
      <c r="AG1274" s="258"/>
      <c r="AH1274" s="258"/>
      <c r="AI1274" s="258"/>
      <c r="AJ1274" s="258"/>
      <c r="AK1274" s="258"/>
      <c r="AL1274" s="258"/>
      <c r="AM1274" s="258"/>
      <c r="AN1274" s="258"/>
      <c r="AO1274" s="258"/>
      <c r="EG1274" s="264"/>
    </row>
    <row r="1275" spans="1:191" s="196" customFormat="1" ht="35.25" customHeight="1" x14ac:dyDescent="0.25">
      <c r="B1275" s="316" t="s">
        <v>1677</v>
      </c>
      <c r="C1275" s="317"/>
      <c r="D1275" s="124" t="s">
        <v>896</v>
      </c>
      <c r="E1275" s="124" t="s">
        <v>896</v>
      </c>
      <c r="F1275" s="127" t="s">
        <v>896</v>
      </c>
      <c r="G1275" s="124" t="s">
        <v>896</v>
      </c>
      <c r="H1275" s="124" t="s">
        <v>896</v>
      </c>
      <c r="I1275" s="125">
        <f>I1276+I1280+I1278</f>
        <v>3182.5</v>
      </c>
      <c r="J1275" s="125">
        <f>J1276+J1280+J1278</f>
        <v>2963.5</v>
      </c>
      <c r="K1275" s="125">
        <f>K1276+K1280+K1278</f>
        <v>2844.3</v>
      </c>
      <c r="L1275" s="133">
        <f>L1276+L1280+L1278</f>
        <v>134</v>
      </c>
      <c r="M1275" s="124" t="s">
        <v>896</v>
      </c>
      <c r="N1275" s="124" t="s">
        <v>896</v>
      </c>
      <c r="O1275" s="268" t="s">
        <v>896</v>
      </c>
      <c r="P1275" s="125">
        <f>P1276+P1280+P1278</f>
        <v>7034201.7300000004</v>
      </c>
      <c r="Q1275" s="125">
        <f>Q1276+Q1280+Q1278</f>
        <v>4599545.3899999997</v>
      </c>
      <c r="R1275" s="125">
        <f>R1276+R1280+R1278</f>
        <v>1178018</v>
      </c>
      <c r="S1275" s="125">
        <f>S1276+S1280+S1278</f>
        <v>1256638.3399999999</v>
      </c>
      <c r="T1275" s="128">
        <f t="shared" ref="T1275:T1281" si="386">P1275/I1275</f>
        <v>2210.2754846818539</v>
      </c>
      <c r="U1275" s="128">
        <f>MAX(U1276:U1281)</f>
        <v>6062.6816062859871</v>
      </c>
      <c r="X1275" s="187"/>
      <c r="Y1275" s="187"/>
      <c r="Z1275" s="187"/>
      <c r="AA1275" s="187"/>
      <c r="AB1275" s="187"/>
      <c r="AC1275" s="188"/>
      <c r="AD1275" s="187"/>
      <c r="AE1275" s="187"/>
      <c r="AF1275" s="187"/>
      <c r="AG1275" s="187"/>
      <c r="AH1275" s="187"/>
      <c r="AI1275" s="258"/>
      <c r="AJ1275" s="258"/>
      <c r="AK1275" s="258"/>
      <c r="AL1275" s="258"/>
      <c r="AM1275" s="258"/>
      <c r="AN1275" s="258"/>
      <c r="AO1275" s="258"/>
      <c r="BY1275" s="259"/>
      <c r="EG1275" s="264"/>
    </row>
    <row r="1276" spans="1:191" s="196" customFormat="1" ht="61.5" x14ac:dyDescent="0.25">
      <c r="B1276" s="94" t="s">
        <v>868</v>
      </c>
      <c r="C1276" s="132"/>
      <c r="D1276" s="124" t="s">
        <v>896</v>
      </c>
      <c r="E1276" s="124" t="s">
        <v>896</v>
      </c>
      <c r="F1276" s="127" t="s">
        <v>896</v>
      </c>
      <c r="G1276" s="124" t="s">
        <v>896</v>
      </c>
      <c r="H1276" s="124" t="s">
        <v>896</v>
      </c>
      <c r="I1276" s="125">
        <f>SUM(I1277:I1277)</f>
        <v>522.9</v>
      </c>
      <c r="J1276" s="125">
        <f>SUM(J1277:J1277)</f>
        <v>463.3</v>
      </c>
      <c r="K1276" s="125">
        <f>SUM(K1277:K1277)</f>
        <v>463.3</v>
      </c>
      <c r="L1276" s="133">
        <f>SUM(L1277:L1277)</f>
        <v>31</v>
      </c>
      <c r="M1276" s="124" t="s">
        <v>896</v>
      </c>
      <c r="N1276" s="124" t="s">
        <v>896</v>
      </c>
      <c r="O1276" s="268" t="s">
        <v>896</v>
      </c>
      <c r="P1276" s="125">
        <f>SUM(P1277:P1277)</f>
        <v>1836114.4000000001</v>
      </c>
      <c r="Q1276" s="125">
        <f>SUM(Q1277:Q1277)</f>
        <v>1280871.46</v>
      </c>
      <c r="R1276" s="125">
        <f>SUM(R1277:R1277)</f>
        <v>337986.60000000003</v>
      </c>
      <c r="S1276" s="125">
        <f>SUM(S1277:S1277)</f>
        <v>217256.34</v>
      </c>
      <c r="T1276" s="128">
        <f t="shared" si="386"/>
        <v>3511.4063874545805</v>
      </c>
      <c r="U1276" s="128">
        <f>U1277</f>
        <v>5435.3150889271374</v>
      </c>
      <c r="X1276" s="187"/>
      <c r="Y1276" s="187"/>
      <c r="Z1276" s="187"/>
      <c r="AA1276" s="187"/>
      <c r="AB1276" s="187"/>
      <c r="AC1276" s="188"/>
      <c r="AD1276" s="187"/>
      <c r="AE1276" s="187"/>
      <c r="AF1276" s="187"/>
      <c r="AG1276" s="187"/>
      <c r="AH1276" s="187"/>
      <c r="AI1276" s="258"/>
      <c r="AJ1276" s="258"/>
      <c r="AK1276" s="258"/>
      <c r="AL1276" s="258"/>
      <c r="AM1276" s="258"/>
      <c r="AN1276" s="258"/>
      <c r="AO1276" s="258"/>
      <c r="BY1276" s="259"/>
      <c r="DH1276" s="263"/>
      <c r="DI1276" s="263"/>
      <c r="DJ1276" s="263"/>
      <c r="EG1276" s="264"/>
      <c r="FJ1276" s="265"/>
      <c r="FZ1276" s="266"/>
    </row>
    <row r="1277" spans="1:191" s="196" customFormat="1" ht="35.25" x14ac:dyDescent="0.25">
      <c r="B1277" s="135">
        <v>1</v>
      </c>
      <c r="C1277" s="132" t="s">
        <v>1676</v>
      </c>
      <c r="D1277" s="124">
        <v>1964</v>
      </c>
      <c r="E1277" s="124"/>
      <c r="F1277" s="127" t="s">
        <v>269</v>
      </c>
      <c r="G1277" s="124">
        <v>2</v>
      </c>
      <c r="H1277" s="124">
        <v>2</v>
      </c>
      <c r="I1277" s="125">
        <v>522.9</v>
      </c>
      <c r="J1277" s="125">
        <v>463.3</v>
      </c>
      <c r="K1277" s="125">
        <v>463.3</v>
      </c>
      <c r="L1277" s="133">
        <v>31</v>
      </c>
      <c r="M1277" s="124" t="s">
        <v>267</v>
      </c>
      <c r="N1277" s="124" t="s">
        <v>271</v>
      </c>
      <c r="O1277" s="124" t="s">
        <v>334</v>
      </c>
      <c r="P1277" s="125">
        <v>1836114.4000000001</v>
      </c>
      <c r="Q1277" s="125">
        <v>1280871.46</v>
      </c>
      <c r="R1277" s="125">
        <v>337986.60000000003</v>
      </c>
      <c r="S1277" s="125">
        <v>217256.34</v>
      </c>
      <c r="T1277" s="128">
        <f t="shared" si="386"/>
        <v>3511.4063874545805</v>
      </c>
      <c r="U1277" s="128">
        <v>5435.3150889271374</v>
      </c>
      <c r="V1277" s="257">
        <f>W1277-T1277</f>
        <v>1905.4326639892911</v>
      </c>
      <c r="W1277" s="257">
        <f>X1277+Y1277+Z1277+AA1277+AB1277+AD1277+AF1277+AH1277+AJ1277+AL1277+AN1277+AO1277</f>
        <v>5416.8390514438715</v>
      </c>
      <c r="X1277" s="189">
        <v>0</v>
      </c>
      <c r="Y1277" s="125">
        <v>0</v>
      </c>
      <c r="Z1277" s="125">
        <v>0</v>
      </c>
      <c r="AA1277" s="125">
        <v>0</v>
      </c>
      <c r="AB1277" s="125">
        <v>0</v>
      </c>
      <c r="AC1277" s="188">
        <v>0</v>
      </c>
      <c r="AD1277" s="125">
        <v>0</v>
      </c>
      <c r="AE1277" s="125">
        <v>454</v>
      </c>
      <c r="AF1277" s="257">
        <f>6238.91*AE1277/I1277</f>
        <v>5416.8390514438715</v>
      </c>
      <c r="AG1277" s="125">
        <v>0</v>
      </c>
      <c r="AH1277" s="125">
        <v>0</v>
      </c>
      <c r="AI1277" s="258"/>
      <c r="AJ1277" s="257">
        <f>7439.1*AI1277/I1277</f>
        <v>0</v>
      </c>
      <c r="AK1277" s="258"/>
      <c r="AL1277" s="257">
        <f>76773.02*AK1277/I1277</f>
        <v>0</v>
      </c>
      <c r="AM1277" s="258"/>
      <c r="AN1277" s="258"/>
      <c r="AO1277" s="258"/>
      <c r="DH1277" s="263"/>
      <c r="DI1277" s="263"/>
      <c r="DJ1277" s="263"/>
      <c r="EG1277" s="264"/>
      <c r="FJ1277" s="265"/>
      <c r="FZ1277" s="266"/>
    </row>
    <row r="1278" spans="1:191" s="196" customFormat="1" ht="61.5" x14ac:dyDescent="0.25">
      <c r="B1278" s="94" t="s">
        <v>821</v>
      </c>
      <c r="C1278" s="132"/>
      <c r="D1278" s="124" t="s">
        <v>896</v>
      </c>
      <c r="E1278" s="124" t="s">
        <v>896</v>
      </c>
      <c r="F1278" s="127" t="s">
        <v>896</v>
      </c>
      <c r="G1278" s="124" t="s">
        <v>896</v>
      </c>
      <c r="H1278" s="124" t="s">
        <v>896</v>
      </c>
      <c r="I1278" s="125">
        <f>SUM(I1279:I1279)</f>
        <v>1826</v>
      </c>
      <c r="J1278" s="125">
        <f>SUM(J1279:J1279)</f>
        <v>1718</v>
      </c>
      <c r="K1278" s="125">
        <f>SUM(K1279:K1279)</f>
        <v>1598.8</v>
      </c>
      <c r="L1278" s="133">
        <f>SUM(L1279:L1279)</f>
        <v>73</v>
      </c>
      <c r="M1278" s="124" t="s">
        <v>896</v>
      </c>
      <c r="N1278" s="124" t="s">
        <v>896</v>
      </c>
      <c r="O1278" s="268" t="s">
        <v>896</v>
      </c>
      <c r="P1278" s="125">
        <f>SUM(P1279:P1279)</f>
        <v>2643881</v>
      </c>
      <c r="Q1278" s="125">
        <f>SUM(Q1279:Q1279)</f>
        <v>1592309.05</v>
      </c>
      <c r="R1278" s="125">
        <f>SUM(R1279:R1279)</f>
        <v>407533.88</v>
      </c>
      <c r="S1278" s="125">
        <f>SUM(S1279:S1279)</f>
        <v>644038.06999999995</v>
      </c>
      <c r="T1278" s="128">
        <f t="shared" si="386"/>
        <v>1447.9085432639649</v>
      </c>
      <c r="U1278" s="128">
        <f>U1279</f>
        <v>2468.4210295728367</v>
      </c>
      <c r="X1278" s="187"/>
      <c r="Y1278" s="187"/>
      <c r="Z1278" s="187"/>
      <c r="AA1278" s="187"/>
      <c r="AB1278" s="187"/>
      <c r="AC1278" s="188"/>
      <c r="AD1278" s="187"/>
      <c r="AE1278" s="187"/>
      <c r="AF1278" s="187"/>
      <c r="AG1278" s="187"/>
      <c r="AH1278" s="187"/>
      <c r="AI1278" s="258"/>
      <c r="AJ1278" s="258"/>
      <c r="AK1278" s="258"/>
      <c r="AL1278" s="258"/>
      <c r="AM1278" s="258"/>
      <c r="AN1278" s="258"/>
      <c r="AO1278" s="258"/>
      <c r="BY1278" s="259"/>
      <c r="DH1278" s="263"/>
      <c r="DI1278" s="263"/>
      <c r="DJ1278" s="263"/>
      <c r="EG1278" s="264"/>
      <c r="FJ1278" s="265"/>
      <c r="FZ1278" s="266"/>
    </row>
    <row r="1279" spans="1:191" s="196" customFormat="1" ht="35.25" x14ac:dyDescent="0.25">
      <c r="B1279" s="135">
        <v>2</v>
      </c>
      <c r="C1279" s="132" t="s">
        <v>1701</v>
      </c>
      <c r="D1279" s="124">
        <v>1975</v>
      </c>
      <c r="E1279" s="124"/>
      <c r="F1279" s="127" t="s">
        <v>269</v>
      </c>
      <c r="G1279" s="124">
        <v>4</v>
      </c>
      <c r="H1279" s="124">
        <v>2</v>
      </c>
      <c r="I1279" s="125">
        <v>1826</v>
      </c>
      <c r="J1279" s="125">
        <v>1718</v>
      </c>
      <c r="K1279" s="125">
        <v>1598.8</v>
      </c>
      <c r="L1279" s="133">
        <v>73</v>
      </c>
      <c r="M1279" s="124" t="s">
        <v>267</v>
      </c>
      <c r="N1279" s="124" t="s">
        <v>343</v>
      </c>
      <c r="O1279" s="124" t="s">
        <v>1702</v>
      </c>
      <c r="P1279" s="125">
        <v>2643881</v>
      </c>
      <c r="Q1279" s="125">
        <v>1592309.05</v>
      </c>
      <c r="R1279" s="125">
        <v>407533.88</v>
      </c>
      <c r="S1279" s="125">
        <v>644038.06999999995</v>
      </c>
      <c r="T1279" s="128">
        <f t="shared" si="386"/>
        <v>1447.9085432639649</v>
      </c>
      <c r="U1279" s="128">
        <v>2468.4210295728367</v>
      </c>
      <c r="V1279" s="257">
        <f>W1279-T1279</f>
        <v>1012.121686746988</v>
      </c>
      <c r="W1279" s="257">
        <f>X1279+Y1279+Z1279+AA1279+AB1279+AD1279+AF1279+AH1279+AJ1279+AL1279+AN1279+AO1279</f>
        <v>2460.0302300109529</v>
      </c>
      <c r="X1279" s="189">
        <v>0</v>
      </c>
      <c r="Y1279" s="125">
        <v>0</v>
      </c>
      <c r="Z1279" s="125">
        <v>0</v>
      </c>
      <c r="AA1279" s="125">
        <v>0</v>
      </c>
      <c r="AB1279" s="125">
        <v>0</v>
      </c>
      <c r="AC1279" s="188">
        <v>0</v>
      </c>
      <c r="AD1279" s="125">
        <v>0</v>
      </c>
      <c r="AE1279" s="125">
        <v>720</v>
      </c>
      <c r="AF1279" s="257">
        <f>6238.91*AE1279/I1279</f>
        <v>2460.0302300109529</v>
      </c>
      <c r="AG1279" s="125">
        <v>0</v>
      </c>
      <c r="AH1279" s="125">
        <v>0</v>
      </c>
      <c r="AI1279" s="258"/>
      <c r="AJ1279" s="257">
        <f>7439.1*AI1279/I1279</f>
        <v>0</v>
      </c>
      <c r="AK1279" s="258"/>
      <c r="AL1279" s="257">
        <f>76773.02*AK1279/I1279</f>
        <v>0</v>
      </c>
      <c r="AM1279" s="258"/>
      <c r="AN1279" s="258"/>
      <c r="AO1279" s="258"/>
      <c r="DH1279" s="263"/>
      <c r="DI1279" s="263"/>
      <c r="DJ1279" s="263"/>
      <c r="EG1279" s="264"/>
      <c r="FJ1279" s="265"/>
      <c r="FZ1279" s="266"/>
    </row>
    <row r="1280" spans="1:191" s="196" customFormat="1" ht="61.5" x14ac:dyDescent="0.25">
      <c r="B1280" s="94" t="s">
        <v>892</v>
      </c>
      <c r="C1280" s="132"/>
      <c r="D1280" s="124" t="s">
        <v>896</v>
      </c>
      <c r="E1280" s="124" t="s">
        <v>896</v>
      </c>
      <c r="F1280" s="127" t="s">
        <v>896</v>
      </c>
      <c r="G1280" s="124" t="s">
        <v>896</v>
      </c>
      <c r="H1280" s="124" t="s">
        <v>896</v>
      </c>
      <c r="I1280" s="125">
        <f>SUM(I1281:I1281)</f>
        <v>833.6</v>
      </c>
      <c r="J1280" s="125">
        <f>SUM(J1281:J1281)</f>
        <v>782.2</v>
      </c>
      <c r="K1280" s="125">
        <f>SUM(K1281:K1281)</f>
        <v>782.2</v>
      </c>
      <c r="L1280" s="133">
        <f>SUM(L1281:L1281)</f>
        <v>30</v>
      </c>
      <c r="M1280" s="124" t="s">
        <v>896</v>
      </c>
      <c r="N1280" s="124" t="s">
        <v>896</v>
      </c>
      <c r="O1280" s="268" t="s">
        <v>896</v>
      </c>
      <c r="P1280" s="125">
        <f>SUM(P1281:P1281)</f>
        <v>2554206.33</v>
      </c>
      <c r="Q1280" s="125">
        <f>SUM(Q1281:Q1281)</f>
        <v>1726364.88</v>
      </c>
      <c r="R1280" s="125">
        <f>SUM(R1281:R1281)</f>
        <v>432497.52</v>
      </c>
      <c r="S1280" s="125">
        <f>SUM(S1281:S1281)</f>
        <v>395343.93</v>
      </c>
      <c r="T1280" s="128">
        <f t="shared" si="386"/>
        <v>3064.0670945297506</v>
      </c>
      <c r="U1280" s="128">
        <f>U1281</f>
        <v>6062.6816062859871</v>
      </c>
      <c r="X1280" s="187"/>
      <c r="Y1280" s="187"/>
      <c r="Z1280" s="187"/>
      <c r="AA1280" s="187"/>
      <c r="AB1280" s="187"/>
      <c r="AC1280" s="188"/>
      <c r="AD1280" s="187"/>
      <c r="AE1280" s="187"/>
      <c r="AF1280" s="187"/>
      <c r="AG1280" s="187"/>
      <c r="AH1280" s="187"/>
      <c r="AI1280" s="258"/>
      <c r="AJ1280" s="258"/>
      <c r="AK1280" s="258"/>
      <c r="AL1280" s="258"/>
      <c r="AM1280" s="258"/>
      <c r="AN1280" s="258"/>
      <c r="AO1280" s="258"/>
      <c r="BY1280" s="259"/>
      <c r="DH1280" s="263"/>
      <c r="DI1280" s="263"/>
      <c r="DJ1280" s="263"/>
      <c r="EG1280" s="264"/>
      <c r="FJ1280" s="265"/>
      <c r="FZ1280" s="266"/>
    </row>
    <row r="1281" spans="2:182" s="196" customFormat="1" ht="35.25" x14ac:dyDescent="0.25">
      <c r="B1281" s="135">
        <v>3</v>
      </c>
      <c r="C1281" s="132" t="s">
        <v>3</v>
      </c>
      <c r="D1281" s="124">
        <v>1988</v>
      </c>
      <c r="E1281" s="124"/>
      <c r="F1281" s="127" t="s">
        <v>269</v>
      </c>
      <c r="G1281" s="124">
        <v>2</v>
      </c>
      <c r="H1281" s="124">
        <v>3</v>
      </c>
      <c r="I1281" s="125">
        <v>833.6</v>
      </c>
      <c r="J1281" s="125">
        <v>782.2</v>
      </c>
      <c r="K1281" s="125">
        <v>782.2</v>
      </c>
      <c r="L1281" s="133">
        <v>30</v>
      </c>
      <c r="M1281" s="124" t="s">
        <v>267</v>
      </c>
      <c r="N1281" s="124" t="s">
        <v>268</v>
      </c>
      <c r="O1281" s="124" t="s">
        <v>270</v>
      </c>
      <c r="P1281" s="125">
        <f>Q1281+R1281+S1281</f>
        <v>2554206.33</v>
      </c>
      <c r="Q1281" s="125">
        <v>1726364.88</v>
      </c>
      <c r="R1281" s="125">
        <v>432497.52</v>
      </c>
      <c r="S1281" s="125">
        <v>395343.93</v>
      </c>
      <c r="T1281" s="128">
        <f t="shared" si="386"/>
        <v>3064.0670945297506</v>
      </c>
      <c r="U1281" s="128">
        <v>6062.6816062859871</v>
      </c>
      <c r="V1281" s="257">
        <f>W1281-T1281</f>
        <v>3104.4905134357004</v>
      </c>
      <c r="W1281" s="257">
        <f>X1281+Y1281+Z1281+AA1281+AB1281+AD1281+AF1281+AH1281+AJ1281+AL1281+AN1281+AO1281</f>
        <v>6168.5576079654511</v>
      </c>
      <c r="X1281" s="189">
        <v>0</v>
      </c>
      <c r="Y1281" s="125">
        <v>0</v>
      </c>
      <c r="Z1281" s="125">
        <v>0</v>
      </c>
      <c r="AA1281" s="125">
        <v>0</v>
      </c>
      <c r="AB1281" s="125">
        <v>0</v>
      </c>
      <c r="AC1281" s="188">
        <v>0</v>
      </c>
      <c r="AD1281" s="125">
        <v>0</v>
      </c>
      <c r="AE1281" s="125">
        <v>824.2</v>
      </c>
      <c r="AF1281" s="257">
        <f>6238.91*AE1281/I1281</f>
        <v>6168.5576079654511</v>
      </c>
      <c r="AG1281" s="125">
        <v>0</v>
      </c>
      <c r="AH1281" s="125">
        <v>0</v>
      </c>
      <c r="AI1281" s="258"/>
      <c r="AJ1281" s="257">
        <f>7439.1*AI1281/I1281</f>
        <v>0</v>
      </c>
      <c r="AK1281" s="258"/>
      <c r="AL1281" s="257">
        <f>76773.02*AK1281/I1281</f>
        <v>0</v>
      </c>
      <c r="AM1281" s="258"/>
      <c r="AN1281" s="258"/>
      <c r="AO1281" s="258"/>
      <c r="DH1281" s="263"/>
      <c r="DI1281" s="263"/>
      <c r="DJ1281" s="263"/>
      <c r="EG1281" s="264"/>
      <c r="FJ1281" s="265"/>
      <c r="FZ1281" s="266"/>
    </row>
    <row r="1282" spans="2:182" s="196" customFormat="1" ht="84" customHeight="1" x14ac:dyDescent="0.25">
      <c r="B1282" s="315" t="s">
        <v>1926</v>
      </c>
      <c r="C1282" s="315"/>
      <c r="D1282" s="315"/>
      <c r="E1282" s="315"/>
      <c r="F1282" s="315"/>
      <c r="G1282" s="315"/>
      <c r="H1282" s="315"/>
      <c r="I1282" s="315"/>
      <c r="J1282" s="315"/>
      <c r="K1282" s="315"/>
      <c r="L1282" s="315"/>
      <c r="M1282" s="315"/>
      <c r="N1282" s="315"/>
      <c r="O1282" s="315"/>
      <c r="P1282" s="315"/>
      <c r="Q1282" s="315"/>
      <c r="R1282" s="315"/>
      <c r="S1282" s="315"/>
      <c r="T1282" s="315"/>
      <c r="U1282" s="315"/>
      <c r="X1282" s="258"/>
      <c r="Y1282" s="258"/>
      <c r="Z1282" s="258"/>
      <c r="AA1282" s="258"/>
      <c r="AB1282" s="258"/>
      <c r="AC1282" s="258"/>
      <c r="AD1282" s="258"/>
      <c r="AE1282" s="258"/>
      <c r="AF1282" s="258"/>
      <c r="AG1282" s="258"/>
      <c r="AH1282" s="258"/>
      <c r="AI1282" s="258"/>
      <c r="AJ1282" s="258"/>
      <c r="AK1282" s="258"/>
      <c r="AL1282" s="258"/>
      <c r="AM1282" s="258"/>
      <c r="AN1282" s="258"/>
      <c r="AO1282" s="258"/>
      <c r="EG1282" s="264"/>
    </row>
    <row r="1283" spans="2:182" s="196" customFormat="1" ht="35.25" customHeight="1" x14ac:dyDescent="0.25">
      <c r="B1283" s="316" t="s">
        <v>1677</v>
      </c>
      <c r="C1283" s="317"/>
      <c r="D1283" s="124" t="s">
        <v>896</v>
      </c>
      <c r="E1283" s="124" t="s">
        <v>896</v>
      </c>
      <c r="F1283" s="127" t="s">
        <v>896</v>
      </c>
      <c r="G1283" s="124" t="s">
        <v>896</v>
      </c>
      <c r="H1283" s="124" t="s">
        <v>896</v>
      </c>
      <c r="I1283" s="125">
        <f>I1284+I1290+I1288</f>
        <v>9484.2999999999993</v>
      </c>
      <c r="J1283" s="125">
        <f t="shared" ref="J1283:L1283" si="387">J1284+J1290+J1288</f>
        <v>7647.42</v>
      </c>
      <c r="K1283" s="125">
        <f t="shared" si="387"/>
        <v>7647.42</v>
      </c>
      <c r="L1283" s="133">
        <f t="shared" si="387"/>
        <v>424</v>
      </c>
      <c r="M1283" s="124" t="s">
        <v>896</v>
      </c>
      <c r="N1283" s="124" t="s">
        <v>896</v>
      </c>
      <c r="O1283" s="268" t="s">
        <v>896</v>
      </c>
      <c r="P1283" s="125">
        <f t="shared" ref="P1283:S1283" si="388">P1284+P1290+P1288</f>
        <v>17442384.330000002</v>
      </c>
      <c r="Q1283" s="125">
        <f t="shared" si="388"/>
        <v>0</v>
      </c>
      <c r="R1283" s="125">
        <f t="shared" si="388"/>
        <v>0</v>
      </c>
      <c r="S1283" s="125">
        <f t="shared" si="388"/>
        <v>17442384.330000002</v>
      </c>
      <c r="T1283" s="128">
        <f>P1283/I1283</f>
        <v>1839.0797771053217</v>
      </c>
      <c r="U1283" s="128">
        <f>MAX(U1284:U1291)</f>
        <v>8573.9635785246737</v>
      </c>
      <c r="X1283" s="258"/>
      <c r="Y1283" s="258"/>
      <c r="Z1283" s="258"/>
      <c r="AA1283" s="258"/>
      <c r="AB1283" s="258"/>
      <c r="AC1283" s="258"/>
      <c r="AD1283" s="258"/>
      <c r="AE1283" s="258"/>
      <c r="AF1283" s="258"/>
      <c r="AG1283" s="258"/>
      <c r="AH1283" s="258"/>
      <c r="AI1283" s="258"/>
      <c r="AJ1283" s="258"/>
      <c r="AK1283" s="258"/>
      <c r="AL1283" s="258"/>
      <c r="AM1283" s="258"/>
      <c r="AN1283" s="258"/>
      <c r="AO1283" s="258"/>
      <c r="BY1283" s="259"/>
      <c r="EG1283" s="264"/>
    </row>
    <row r="1284" spans="2:182" s="196" customFormat="1" ht="61.5" x14ac:dyDescent="0.25">
      <c r="B1284" s="94" t="s">
        <v>844</v>
      </c>
      <c r="C1284" s="132"/>
      <c r="D1284" s="124" t="s">
        <v>896</v>
      </c>
      <c r="E1284" s="124" t="s">
        <v>896</v>
      </c>
      <c r="F1284" s="127" t="s">
        <v>896</v>
      </c>
      <c r="G1284" s="124" t="s">
        <v>896</v>
      </c>
      <c r="H1284" s="124" t="s">
        <v>896</v>
      </c>
      <c r="I1284" s="125">
        <f>SUM(I1285:I1287)</f>
        <v>7491.9</v>
      </c>
      <c r="J1284" s="125">
        <f>SUM(J1285:J1287)</f>
        <v>6281</v>
      </c>
      <c r="K1284" s="125">
        <f>SUM(K1285:K1287)</f>
        <v>6281</v>
      </c>
      <c r="L1284" s="133">
        <f>SUM(L1285:L1287)</f>
        <v>356</v>
      </c>
      <c r="M1284" s="124" t="s">
        <v>896</v>
      </c>
      <c r="N1284" s="124" t="s">
        <v>896</v>
      </c>
      <c r="O1284" s="268" t="s">
        <v>896</v>
      </c>
      <c r="P1284" s="125">
        <f>SUM(P1285:P1287)</f>
        <v>13632983.67</v>
      </c>
      <c r="Q1284" s="125">
        <f>SUM(Q1285:Q1287)</f>
        <v>0</v>
      </c>
      <c r="R1284" s="125">
        <f>SUM(R1285:R1287)</f>
        <v>0</v>
      </c>
      <c r="S1284" s="125">
        <f>SUM(S1285:S1287)</f>
        <v>13632983.67</v>
      </c>
      <c r="T1284" s="128">
        <f>P1284/I1284</f>
        <v>1819.6964281423939</v>
      </c>
      <c r="U1284" s="128">
        <f>MAX(U1285:U1287)</f>
        <v>8573.9635785246737</v>
      </c>
      <c r="X1284" s="258"/>
      <c r="Y1284" s="258"/>
      <c r="Z1284" s="258"/>
      <c r="AA1284" s="258"/>
      <c r="AB1284" s="258"/>
      <c r="AC1284" s="258"/>
      <c r="AD1284" s="258"/>
      <c r="AE1284" s="258"/>
      <c r="AF1284" s="258"/>
      <c r="AG1284" s="258"/>
      <c r="AH1284" s="258"/>
      <c r="AI1284" s="258"/>
      <c r="AJ1284" s="258"/>
      <c r="AK1284" s="258"/>
      <c r="AL1284" s="258"/>
      <c r="AM1284" s="258"/>
      <c r="AN1284" s="258"/>
      <c r="AO1284" s="258"/>
      <c r="BY1284" s="259"/>
      <c r="DH1284" s="263"/>
      <c r="DI1284" s="263"/>
      <c r="DJ1284" s="263"/>
      <c r="EG1284" s="264"/>
      <c r="FJ1284" s="265"/>
      <c r="FZ1284" s="266"/>
    </row>
    <row r="1285" spans="2:182" s="196" customFormat="1" ht="35.25" x14ac:dyDescent="0.25">
      <c r="B1285" s="135">
        <v>1</v>
      </c>
      <c r="C1285" s="132" t="s">
        <v>1892</v>
      </c>
      <c r="D1285" s="124">
        <v>2007</v>
      </c>
      <c r="E1285" s="124"/>
      <c r="F1285" s="127" t="s">
        <v>320</v>
      </c>
      <c r="G1285" s="124">
        <v>5</v>
      </c>
      <c r="H1285" s="124">
        <v>4</v>
      </c>
      <c r="I1285" s="125">
        <v>3049.5</v>
      </c>
      <c r="J1285" s="125">
        <v>3049.5</v>
      </c>
      <c r="K1285" s="125">
        <v>3049.5</v>
      </c>
      <c r="L1285" s="133">
        <v>195</v>
      </c>
      <c r="M1285" s="124" t="s">
        <v>267</v>
      </c>
      <c r="N1285" s="124" t="s">
        <v>343</v>
      </c>
      <c r="O1285" s="124" t="s">
        <v>1893</v>
      </c>
      <c r="P1285" s="125">
        <v>4228150.99</v>
      </c>
      <c r="Q1285" s="125">
        <v>0</v>
      </c>
      <c r="R1285" s="125">
        <v>0</v>
      </c>
      <c r="S1285" s="125">
        <f>P1285-Q1285-R1285</f>
        <v>4228150.99</v>
      </c>
      <c r="T1285" s="128">
        <f>P1285/I1285</f>
        <v>1386.5063092310215</v>
      </c>
      <c r="U1285" s="128">
        <v>2304.681917461879</v>
      </c>
      <c r="V1285" s="257">
        <f t="shared" ref="V1285:V1287" si="389">W1285-T1285</f>
        <v>910.34140013116894</v>
      </c>
      <c r="W1285" s="257">
        <f t="shared" ref="W1285:W1287" si="390">X1285+Y1285+Z1285+AA1285+AB1285+AD1285+AF1285+AH1285+AJ1285+AL1285+AN1285+AO1285</f>
        <v>2296.8477093621905</v>
      </c>
      <c r="X1285" s="258">
        <v>0</v>
      </c>
      <c r="Y1285" s="258">
        <v>0</v>
      </c>
      <c r="Z1285" s="258">
        <v>0</v>
      </c>
      <c r="AA1285" s="258">
        <v>0</v>
      </c>
      <c r="AB1285" s="258">
        <v>0</v>
      </c>
      <c r="AC1285" s="258">
        <v>0</v>
      </c>
      <c r="AD1285" s="258">
        <v>0</v>
      </c>
      <c r="AE1285" s="258">
        <v>1122.67</v>
      </c>
      <c r="AF1285" s="257">
        <f t="shared" ref="AF1285:AF1287" si="391">6238.91*AE1285/I1285</f>
        <v>2296.8477093621905</v>
      </c>
      <c r="AG1285" s="258">
        <v>0</v>
      </c>
      <c r="AH1285" s="257">
        <v>0</v>
      </c>
      <c r="AI1285" s="258"/>
      <c r="AJ1285" s="257"/>
      <c r="AK1285" s="258"/>
      <c r="AL1285" s="257">
        <f t="shared" ref="AL1285:AL1287" si="392">76773.02*AK1285/I1285</f>
        <v>0</v>
      </c>
      <c r="AM1285" s="258"/>
      <c r="AN1285" s="258"/>
      <c r="AO1285" s="258"/>
      <c r="DH1285" s="263"/>
      <c r="DI1285" s="263"/>
      <c r="DJ1285" s="263"/>
      <c r="EG1285" s="264"/>
      <c r="FJ1285" s="265"/>
      <c r="FZ1285" s="266"/>
    </row>
    <row r="1286" spans="2:182" s="196" customFormat="1" ht="35.25" x14ac:dyDescent="0.25">
      <c r="B1286" s="135">
        <v>2</v>
      </c>
      <c r="C1286" s="132" t="s">
        <v>1895</v>
      </c>
      <c r="D1286" s="124">
        <v>2008</v>
      </c>
      <c r="E1286" s="124"/>
      <c r="F1286" s="127" t="s">
        <v>320</v>
      </c>
      <c r="G1286" s="124">
        <v>5</v>
      </c>
      <c r="H1286" s="124">
        <v>3</v>
      </c>
      <c r="I1286" s="125">
        <v>2288.3000000000002</v>
      </c>
      <c r="J1286" s="125">
        <v>2288.3000000000002</v>
      </c>
      <c r="K1286" s="125">
        <v>2288.3000000000002</v>
      </c>
      <c r="L1286" s="133">
        <v>143</v>
      </c>
      <c r="M1286" s="124" t="s">
        <v>267</v>
      </c>
      <c r="N1286" s="124" t="s">
        <v>271</v>
      </c>
      <c r="O1286" s="124" t="s">
        <v>1897</v>
      </c>
      <c r="P1286" s="125">
        <v>2791765.62</v>
      </c>
      <c r="Q1286" s="125">
        <v>0</v>
      </c>
      <c r="R1286" s="125">
        <v>0</v>
      </c>
      <c r="S1286" s="125">
        <f>P1286-Q1286-R1286</f>
        <v>2791765.62</v>
      </c>
      <c r="T1286" s="128">
        <f>P1286/I1286</f>
        <v>1220.0173141633527</v>
      </c>
      <c r="U1286" s="128">
        <v>2317.7175055718217</v>
      </c>
      <c r="V1286" s="257">
        <f t="shared" si="389"/>
        <v>824.81181663243433</v>
      </c>
      <c r="W1286" s="257">
        <f t="shared" si="390"/>
        <v>2044.829130795787</v>
      </c>
      <c r="X1286" s="258">
        <v>0</v>
      </c>
      <c r="Y1286" s="258">
        <v>0</v>
      </c>
      <c r="Z1286" s="258">
        <v>0</v>
      </c>
      <c r="AA1286" s="258">
        <v>0</v>
      </c>
      <c r="AB1286" s="258">
        <v>0</v>
      </c>
      <c r="AC1286" s="258">
        <v>0</v>
      </c>
      <c r="AD1286" s="258">
        <v>0</v>
      </c>
      <c r="AE1286" s="258">
        <v>750</v>
      </c>
      <c r="AF1286" s="257">
        <f t="shared" si="391"/>
        <v>2044.829130795787</v>
      </c>
      <c r="AG1286" s="258">
        <v>0</v>
      </c>
      <c r="AH1286" s="257">
        <v>0</v>
      </c>
      <c r="AI1286" s="258"/>
      <c r="AJ1286" s="257"/>
      <c r="AK1286" s="258"/>
      <c r="AL1286" s="257">
        <f t="shared" si="392"/>
        <v>0</v>
      </c>
      <c r="AM1286" s="258"/>
      <c r="AN1286" s="258"/>
      <c r="AO1286" s="258"/>
      <c r="DH1286" s="263"/>
      <c r="DI1286" s="263"/>
      <c r="DJ1286" s="263"/>
      <c r="EG1286" s="264"/>
      <c r="FJ1286" s="265"/>
      <c r="FZ1286" s="266"/>
    </row>
    <row r="1287" spans="2:182" s="196" customFormat="1" ht="35.25" x14ac:dyDescent="0.25">
      <c r="B1287" s="135">
        <v>3</v>
      </c>
      <c r="C1287" s="132" t="s">
        <v>1896</v>
      </c>
      <c r="D1287" s="124">
        <v>1914</v>
      </c>
      <c r="E1287" s="124"/>
      <c r="F1287" s="127" t="s">
        <v>269</v>
      </c>
      <c r="G1287" s="124">
        <v>4</v>
      </c>
      <c r="H1287" s="124">
        <v>2</v>
      </c>
      <c r="I1287" s="125">
        <v>2154.1</v>
      </c>
      <c r="J1287" s="125">
        <v>943.2</v>
      </c>
      <c r="K1287" s="125">
        <v>943.2</v>
      </c>
      <c r="L1287" s="133">
        <v>18</v>
      </c>
      <c r="M1287" s="124" t="s">
        <v>267</v>
      </c>
      <c r="N1287" s="124" t="s">
        <v>271</v>
      </c>
      <c r="O1287" s="124" t="s">
        <v>1898</v>
      </c>
      <c r="P1287" s="125">
        <v>6613067.0599999996</v>
      </c>
      <c r="Q1287" s="125">
        <v>0</v>
      </c>
      <c r="R1287" s="125">
        <v>0</v>
      </c>
      <c r="S1287" s="125">
        <f>P1287-Q1287-R1287</f>
        <v>6613067.0599999996</v>
      </c>
      <c r="T1287" s="128">
        <f>P1287/I1287</f>
        <v>3069.9907432338332</v>
      </c>
      <c r="U1287" s="128">
        <v>8573.9635785246737</v>
      </c>
      <c r="V1287" s="257">
        <f t="shared" si="389"/>
        <v>5473.5131096513614</v>
      </c>
      <c r="W1287" s="257">
        <f t="shared" si="390"/>
        <v>8543.5038528851946</v>
      </c>
      <c r="X1287" s="258">
        <v>0</v>
      </c>
      <c r="Y1287" s="258">
        <v>0</v>
      </c>
      <c r="Z1287" s="258">
        <v>3259.66</v>
      </c>
      <c r="AA1287" s="258">
        <v>0</v>
      </c>
      <c r="AB1287" s="258">
        <v>795.31</v>
      </c>
      <c r="AC1287" s="258">
        <v>0</v>
      </c>
      <c r="AD1287" s="258">
        <v>0</v>
      </c>
      <c r="AE1287" s="258">
        <v>1549.75</v>
      </c>
      <c r="AF1287" s="257">
        <f t="shared" si="391"/>
        <v>4488.5338528851953</v>
      </c>
      <c r="AG1287" s="258">
        <v>0</v>
      </c>
      <c r="AH1287" s="257">
        <v>0</v>
      </c>
      <c r="AI1287" s="258"/>
      <c r="AJ1287" s="257">
        <f>7439.1*AI1287/I1287</f>
        <v>0</v>
      </c>
      <c r="AK1287" s="258"/>
      <c r="AL1287" s="257">
        <f t="shared" si="392"/>
        <v>0</v>
      </c>
      <c r="AM1287" s="258"/>
      <c r="AN1287" s="258"/>
      <c r="AO1287" s="258"/>
      <c r="DH1287" s="263"/>
      <c r="DI1287" s="263"/>
      <c r="DJ1287" s="263"/>
      <c r="EG1287" s="264"/>
      <c r="FJ1287" s="265"/>
      <c r="FZ1287" s="266"/>
    </row>
    <row r="1288" spans="2:182" s="196" customFormat="1" ht="61.5" x14ac:dyDescent="0.25">
      <c r="B1288" s="94" t="s">
        <v>843</v>
      </c>
      <c r="C1288" s="132"/>
      <c r="D1288" s="124" t="s">
        <v>896</v>
      </c>
      <c r="E1288" s="124" t="s">
        <v>896</v>
      </c>
      <c r="F1288" s="127" t="s">
        <v>896</v>
      </c>
      <c r="G1288" s="124" t="s">
        <v>896</v>
      </c>
      <c r="H1288" s="124" t="s">
        <v>896</v>
      </c>
      <c r="I1288" s="125">
        <f>SUM(I1289:I1289)</f>
        <v>1298.5999999999999</v>
      </c>
      <c r="J1288" s="125">
        <f>SUM(J1289:J1289)</f>
        <v>989.4</v>
      </c>
      <c r="K1288" s="125">
        <f>SUM(K1289:K1289)</f>
        <v>989.4</v>
      </c>
      <c r="L1288" s="133">
        <f>SUM(L1289:L1289)</f>
        <v>47</v>
      </c>
      <c r="M1288" s="124" t="s">
        <v>896</v>
      </c>
      <c r="N1288" s="124" t="s">
        <v>896</v>
      </c>
      <c r="O1288" s="268" t="s">
        <v>896</v>
      </c>
      <c r="P1288" s="125">
        <f>SUM(P1289:P1289)</f>
        <v>1833103.6099999999</v>
      </c>
      <c r="Q1288" s="125">
        <f>SUM(Q1289:Q1289)</f>
        <v>0</v>
      </c>
      <c r="R1288" s="125">
        <f>SUM(R1289:R1289)</f>
        <v>0</v>
      </c>
      <c r="S1288" s="125">
        <f>SUM(S1289:S1289)</f>
        <v>1833103.6099999999</v>
      </c>
      <c r="T1288" s="128">
        <f t="shared" ref="T1288:T1289" si="393">P1288/I1288</f>
        <v>1411.5998844909902</v>
      </c>
      <c r="U1288" s="128">
        <f>U1289</f>
        <v>3331.60119282304</v>
      </c>
      <c r="X1288" s="258"/>
      <c r="Y1288" s="258"/>
      <c r="Z1288" s="258"/>
      <c r="AA1288" s="258"/>
      <c r="AB1288" s="258"/>
      <c r="AC1288" s="258"/>
      <c r="AD1288" s="258"/>
      <c r="AE1288" s="258"/>
      <c r="AF1288" s="258"/>
      <c r="AG1288" s="258"/>
      <c r="AH1288" s="258"/>
      <c r="AI1288" s="258"/>
      <c r="AJ1288" s="258"/>
      <c r="AK1288" s="258"/>
      <c r="AL1288" s="258"/>
      <c r="AM1288" s="258"/>
      <c r="AN1288" s="258"/>
      <c r="AO1288" s="258"/>
      <c r="BY1288" s="259"/>
      <c r="DH1288" s="263"/>
      <c r="DI1288" s="263"/>
      <c r="DJ1288" s="263"/>
      <c r="EG1288" s="264"/>
      <c r="FJ1288" s="265"/>
      <c r="FZ1288" s="266"/>
    </row>
    <row r="1289" spans="2:182" s="196" customFormat="1" ht="35.25" x14ac:dyDescent="0.25">
      <c r="B1289" s="135">
        <v>4</v>
      </c>
      <c r="C1289" s="132" t="s">
        <v>1894</v>
      </c>
      <c r="D1289" s="124">
        <v>1984</v>
      </c>
      <c r="E1289" s="124"/>
      <c r="F1289" s="127" t="s">
        <v>269</v>
      </c>
      <c r="G1289" s="124">
        <v>2</v>
      </c>
      <c r="H1289" s="124">
        <v>3</v>
      </c>
      <c r="I1289" s="125">
        <v>1298.5999999999999</v>
      </c>
      <c r="J1289" s="125">
        <v>989.4</v>
      </c>
      <c r="K1289" s="125">
        <v>989.4</v>
      </c>
      <c r="L1289" s="133">
        <v>47</v>
      </c>
      <c r="M1289" s="124" t="s">
        <v>267</v>
      </c>
      <c r="N1289" s="124" t="s">
        <v>268</v>
      </c>
      <c r="O1289" s="124" t="s">
        <v>811</v>
      </c>
      <c r="P1289" s="125">
        <v>1833103.6099999999</v>
      </c>
      <c r="Q1289" s="125">
        <v>0</v>
      </c>
      <c r="R1289" s="125">
        <v>0</v>
      </c>
      <c r="S1289" s="125">
        <f>P1289-Q1289-R1289</f>
        <v>1833103.6099999999</v>
      </c>
      <c r="T1289" s="128">
        <f t="shared" si="393"/>
        <v>1411.5998844909902</v>
      </c>
      <c r="U1289" s="128">
        <v>3331.60119282304</v>
      </c>
      <c r="V1289" s="257">
        <f>W1289-T1289</f>
        <v>1908.676336824273</v>
      </c>
      <c r="W1289" s="257">
        <f>X1289+Y1289+Z1289+AA1289+AB1289+AD1289+AF1289+AH1289+AJ1289+AL1289+AN1289+AO1289</f>
        <v>3320.2762213152632</v>
      </c>
      <c r="X1289" s="258">
        <v>0</v>
      </c>
      <c r="Y1289" s="258">
        <v>0</v>
      </c>
      <c r="Z1289" s="258">
        <v>0</v>
      </c>
      <c r="AA1289" s="258">
        <v>0</v>
      </c>
      <c r="AB1289" s="258">
        <v>0</v>
      </c>
      <c r="AC1289" s="258">
        <v>0</v>
      </c>
      <c r="AD1289" s="258">
        <v>0</v>
      </c>
      <c r="AE1289" s="258">
        <v>691.1</v>
      </c>
      <c r="AF1289" s="257">
        <f>6238.91*AE1289/I1289</f>
        <v>3320.2762213152632</v>
      </c>
      <c r="AG1289" s="258">
        <v>0</v>
      </c>
      <c r="AH1289" s="257">
        <v>0</v>
      </c>
      <c r="AI1289" s="258"/>
      <c r="AJ1289" s="257">
        <f>7439.1*AI1289/I1289</f>
        <v>0</v>
      </c>
      <c r="AK1289" s="258"/>
      <c r="AL1289" s="257">
        <f>76773.02*AK1289/I1289</f>
        <v>0</v>
      </c>
      <c r="AM1289" s="258"/>
      <c r="AN1289" s="258"/>
      <c r="AO1289" s="258"/>
      <c r="DH1289" s="263"/>
      <c r="DI1289" s="263"/>
      <c r="DJ1289" s="263"/>
      <c r="EG1289" s="264"/>
      <c r="FJ1289" s="265"/>
      <c r="FZ1289" s="266"/>
    </row>
    <row r="1290" spans="2:182" s="196" customFormat="1" ht="61.5" x14ac:dyDescent="0.25">
      <c r="B1290" s="94" t="s">
        <v>897</v>
      </c>
      <c r="C1290" s="132"/>
      <c r="D1290" s="124" t="s">
        <v>896</v>
      </c>
      <c r="E1290" s="124" t="s">
        <v>896</v>
      </c>
      <c r="F1290" s="127" t="s">
        <v>896</v>
      </c>
      <c r="G1290" s="124" t="s">
        <v>896</v>
      </c>
      <c r="H1290" s="124" t="s">
        <v>896</v>
      </c>
      <c r="I1290" s="125">
        <f>SUM(I1291:I1291)</f>
        <v>693.8</v>
      </c>
      <c r="J1290" s="125">
        <f>SUM(J1291:J1291)</f>
        <v>377.02</v>
      </c>
      <c r="K1290" s="125">
        <f>SUM(K1291:K1291)</f>
        <v>377.02</v>
      </c>
      <c r="L1290" s="133">
        <f>SUM(L1291:L1291)</f>
        <v>21</v>
      </c>
      <c r="M1290" s="124" t="s">
        <v>896</v>
      </c>
      <c r="N1290" s="124" t="s">
        <v>896</v>
      </c>
      <c r="O1290" s="268" t="s">
        <v>896</v>
      </c>
      <c r="P1290" s="125">
        <f>SUM(P1291:P1291)</f>
        <v>1976297.05</v>
      </c>
      <c r="Q1290" s="125">
        <f>SUM(Q1291:Q1291)</f>
        <v>0</v>
      </c>
      <c r="R1290" s="125">
        <f>SUM(R1291:R1291)</f>
        <v>0</v>
      </c>
      <c r="S1290" s="125">
        <f>SUM(S1291:S1291)</f>
        <v>1976297.05</v>
      </c>
      <c r="T1290" s="128">
        <f>P1290/I1290</f>
        <v>2848.5111703661</v>
      </c>
      <c r="U1290" s="128">
        <f>U1291</f>
        <v>3338.527385413664</v>
      </c>
      <c r="X1290" s="258"/>
      <c r="Y1290" s="258"/>
      <c r="Z1290" s="258"/>
      <c r="AA1290" s="258"/>
      <c r="AB1290" s="258"/>
      <c r="AC1290" s="258"/>
      <c r="AD1290" s="258"/>
      <c r="AE1290" s="258"/>
      <c r="AF1290" s="258"/>
      <c r="AG1290" s="258"/>
      <c r="AH1290" s="258"/>
      <c r="AI1290" s="258"/>
      <c r="AJ1290" s="258"/>
      <c r="AK1290" s="258"/>
      <c r="AL1290" s="258"/>
      <c r="AM1290" s="258"/>
      <c r="AN1290" s="258"/>
      <c r="AO1290" s="258"/>
      <c r="BY1290" s="259"/>
      <c r="DH1290" s="263"/>
      <c r="DI1290" s="263"/>
      <c r="DJ1290" s="263"/>
      <c r="EG1290" s="264"/>
      <c r="FJ1290" s="265"/>
      <c r="FZ1290" s="266"/>
    </row>
    <row r="1291" spans="2:182" s="196" customFormat="1" ht="35.25" x14ac:dyDescent="0.25">
      <c r="B1291" s="135">
        <v>5</v>
      </c>
      <c r="C1291" s="132" t="s">
        <v>1944</v>
      </c>
      <c r="D1291" s="124">
        <v>1987</v>
      </c>
      <c r="E1291" s="124"/>
      <c r="F1291" s="127" t="s">
        <v>269</v>
      </c>
      <c r="G1291" s="124">
        <v>2</v>
      </c>
      <c r="H1291" s="124">
        <v>1</v>
      </c>
      <c r="I1291" s="125">
        <v>693.8</v>
      </c>
      <c r="J1291" s="125">
        <v>377.02</v>
      </c>
      <c r="K1291" s="125">
        <v>377.02</v>
      </c>
      <c r="L1291" s="133">
        <v>21</v>
      </c>
      <c r="M1291" s="124" t="s">
        <v>267</v>
      </c>
      <c r="N1291" s="124" t="s">
        <v>268</v>
      </c>
      <c r="O1291" s="124"/>
      <c r="P1291" s="125">
        <v>1976297.05</v>
      </c>
      <c r="Q1291" s="125">
        <v>0</v>
      </c>
      <c r="R1291" s="125">
        <v>0</v>
      </c>
      <c r="S1291" s="125">
        <f>P1291-Q1291-R1291</f>
        <v>1976297.05</v>
      </c>
      <c r="T1291" s="128">
        <f>P1291/I1291</f>
        <v>2848.5111703661</v>
      </c>
      <c r="U1291" s="128">
        <v>3338.527385413664</v>
      </c>
      <c r="V1291" s="257">
        <f>W1291-T1291</f>
        <v>3366.1194162582883</v>
      </c>
      <c r="W1291" s="257">
        <f>X1291+Y1291+Z1291+AA1291+AB1291+AD1291+AF1291+AH1291+AJ1291+AL1291+AN1291+AO1291</f>
        <v>6214.6305866243883</v>
      </c>
      <c r="X1291" s="258">
        <v>0</v>
      </c>
      <c r="Y1291" s="258">
        <v>0</v>
      </c>
      <c r="Z1291" s="258">
        <v>0</v>
      </c>
      <c r="AA1291" s="258">
        <v>0</v>
      </c>
      <c r="AB1291" s="258">
        <v>0</v>
      </c>
      <c r="AC1291" s="258">
        <v>0</v>
      </c>
      <c r="AD1291" s="258">
        <v>0</v>
      </c>
      <c r="AE1291" s="258">
        <v>691.1</v>
      </c>
      <c r="AF1291" s="257">
        <f>6238.91*AE1291/I1291</f>
        <v>6214.6305866243883</v>
      </c>
      <c r="AG1291" s="258">
        <v>0</v>
      </c>
      <c r="AH1291" s="257">
        <v>0</v>
      </c>
      <c r="AI1291" s="258"/>
      <c r="AJ1291" s="257">
        <f>7439.1*AI1291/I1291</f>
        <v>0</v>
      </c>
      <c r="AK1291" s="258"/>
      <c r="AL1291" s="257">
        <f>76773.02*AK1291/I1291</f>
        <v>0</v>
      </c>
      <c r="AM1291" s="258"/>
      <c r="AN1291" s="258"/>
      <c r="AO1291" s="258"/>
      <c r="DH1291" s="263"/>
      <c r="DI1291" s="263"/>
      <c r="DJ1291" s="263"/>
      <c r="EG1291" s="264"/>
      <c r="FJ1291" s="265"/>
      <c r="FZ1291" s="266"/>
    </row>
    <row r="1292" spans="2:182" ht="61.5" hidden="1" x14ac:dyDescent="0.9">
      <c r="AP1292" s="64"/>
    </row>
    <row r="1293" spans="2:182" ht="61.5" hidden="1" x14ac:dyDescent="0.9">
      <c r="AP1293" s="64"/>
    </row>
    <row r="1294" spans="2:182" ht="61.5" hidden="1" x14ac:dyDescent="0.9">
      <c r="AP1294" s="64"/>
    </row>
    <row r="1295" spans="2:182" ht="61.5" hidden="1" x14ac:dyDescent="0.9">
      <c r="AP1295" s="64"/>
    </row>
    <row r="1296" spans="2:182" ht="61.5" hidden="1" x14ac:dyDescent="0.9">
      <c r="AP1296" s="64"/>
    </row>
    <row r="1297" spans="42:42" ht="61.5" hidden="1" x14ac:dyDescent="0.9">
      <c r="AP1297" s="64"/>
    </row>
    <row r="1298" spans="42:42" ht="61.5" hidden="1" x14ac:dyDescent="0.9">
      <c r="AP1298" s="64"/>
    </row>
    <row r="1299" spans="42:42" ht="61.5" hidden="1" x14ac:dyDescent="0.9">
      <c r="AP1299" s="64"/>
    </row>
    <row r="1300" spans="42:42" ht="61.5" hidden="1" x14ac:dyDescent="0.9">
      <c r="AP1300" s="64"/>
    </row>
    <row r="1301" spans="42:42" ht="61.5" hidden="1" x14ac:dyDescent="0.9">
      <c r="AP1301" s="64"/>
    </row>
    <row r="1302" spans="42:42" ht="61.5" hidden="1" x14ac:dyDescent="0.9">
      <c r="AP1302" s="64"/>
    </row>
    <row r="1303" spans="42:42" ht="61.5" hidden="1" x14ac:dyDescent="0.9">
      <c r="AP1303" s="64"/>
    </row>
    <row r="1304" spans="42:42" ht="61.5" hidden="1" x14ac:dyDescent="0.9">
      <c r="AP1304" s="64"/>
    </row>
    <row r="1305" spans="42:42" ht="61.5" hidden="1" x14ac:dyDescent="0.9">
      <c r="AP1305" s="64"/>
    </row>
    <row r="1306" spans="42:42" ht="61.5" hidden="1" x14ac:dyDescent="0.9">
      <c r="AP1306" s="64"/>
    </row>
    <row r="1307" spans="42:42" ht="61.5" hidden="1" x14ac:dyDescent="0.9">
      <c r="AP1307" s="64"/>
    </row>
    <row r="1308" spans="42:42" ht="61.5" hidden="1" x14ac:dyDescent="0.9">
      <c r="AP1308" s="64"/>
    </row>
    <row r="1309" spans="42:42" ht="61.5" hidden="1" x14ac:dyDescent="0.9">
      <c r="AP1309" s="64"/>
    </row>
    <row r="1310" spans="42:42" ht="61.5" hidden="1" x14ac:dyDescent="0.9">
      <c r="AP1310" s="64"/>
    </row>
    <row r="1311" spans="42:42" ht="61.5" hidden="1" x14ac:dyDescent="0.9">
      <c r="AP1311" s="64"/>
    </row>
    <row r="1312" spans="42:42" ht="61.5" hidden="1" x14ac:dyDescent="0.9">
      <c r="AP1312" s="64"/>
    </row>
    <row r="1313" spans="42:42" ht="61.5" hidden="1" x14ac:dyDescent="0.9">
      <c r="AP1313" s="64"/>
    </row>
    <row r="1314" spans="42:42" ht="61.5" hidden="1" x14ac:dyDescent="0.9">
      <c r="AP1314" s="64"/>
    </row>
    <row r="1315" spans="42:42" ht="61.5" hidden="1" x14ac:dyDescent="0.9">
      <c r="AP1315" s="64"/>
    </row>
    <row r="1316" spans="42:42" ht="61.5" hidden="1" x14ac:dyDescent="0.9">
      <c r="AP1316" s="64"/>
    </row>
    <row r="1317" spans="42:42" ht="61.5" hidden="1" x14ac:dyDescent="0.9">
      <c r="AP1317" s="64"/>
    </row>
    <row r="1318" spans="42:42" ht="61.5" hidden="1" x14ac:dyDescent="0.9">
      <c r="AP1318" s="64"/>
    </row>
    <row r="1319" spans="42:42" ht="61.5" hidden="1" x14ac:dyDescent="0.9">
      <c r="AP1319" s="64"/>
    </row>
    <row r="1320" spans="42:42" ht="61.5" hidden="1" x14ac:dyDescent="0.9">
      <c r="AP1320" s="64"/>
    </row>
    <row r="1321" spans="42:42" ht="61.5" hidden="1" x14ac:dyDescent="0.9">
      <c r="AP1321" s="64"/>
    </row>
    <row r="1322" spans="42:42" ht="61.5" hidden="1" x14ac:dyDescent="0.9">
      <c r="AP1322" s="64"/>
    </row>
    <row r="1323" spans="42:42" ht="61.5" hidden="1" x14ac:dyDescent="0.9">
      <c r="AP1323" s="64"/>
    </row>
    <row r="1324" spans="42:42" ht="61.5" hidden="1" x14ac:dyDescent="0.9">
      <c r="AP1324" s="64"/>
    </row>
    <row r="1325" spans="42:42" ht="61.5" hidden="1" x14ac:dyDescent="0.9">
      <c r="AP1325" s="64"/>
    </row>
    <row r="1326" spans="42:42" ht="61.5" hidden="1" x14ac:dyDescent="0.9">
      <c r="AP1326" s="64"/>
    </row>
    <row r="1327" spans="42:42" ht="61.5" hidden="1" x14ac:dyDescent="0.9">
      <c r="AP1327" s="64"/>
    </row>
    <row r="1328" spans="42:42" ht="61.5" hidden="1" x14ac:dyDescent="0.9">
      <c r="AP1328" s="64"/>
    </row>
    <row r="1329" spans="42:42" ht="61.5" hidden="1" x14ac:dyDescent="0.9">
      <c r="AP1329" s="64"/>
    </row>
    <row r="1330" spans="42:42" ht="61.5" hidden="1" x14ac:dyDescent="0.9">
      <c r="AP1330" s="64"/>
    </row>
    <row r="1331" spans="42:42" ht="61.5" hidden="1" x14ac:dyDescent="0.9">
      <c r="AP1331" s="64"/>
    </row>
    <row r="1332" spans="42:42" ht="61.5" hidden="1" x14ac:dyDescent="0.9">
      <c r="AP1332" s="64"/>
    </row>
    <row r="1333" spans="42:42" ht="61.5" hidden="1" x14ac:dyDescent="0.9">
      <c r="AP1333" s="64"/>
    </row>
    <row r="1334" spans="42:42" ht="61.5" hidden="1" x14ac:dyDescent="0.9">
      <c r="AP1334" s="64"/>
    </row>
    <row r="1335" spans="42:42" ht="61.5" hidden="1" x14ac:dyDescent="0.9">
      <c r="AP1335" s="64"/>
    </row>
    <row r="1336" spans="42:42" ht="61.5" hidden="1" x14ac:dyDescent="0.9">
      <c r="AP1336" s="64"/>
    </row>
    <row r="1337" spans="42:42" ht="61.5" hidden="1" x14ac:dyDescent="0.9">
      <c r="AP1337" s="64"/>
    </row>
    <row r="1338" spans="42:42" ht="61.5" hidden="1" x14ac:dyDescent="0.9">
      <c r="AP1338" s="64"/>
    </row>
    <row r="1339" spans="42:42" ht="61.5" hidden="1" x14ac:dyDescent="0.9">
      <c r="AP1339" s="64"/>
    </row>
    <row r="1340" spans="42:42" ht="61.5" hidden="1" x14ac:dyDescent="0.9">
      <c r="AP1340" s="64"/>
    </row>
    <row r="1341" spans="42:42" ht="61.5" hidden="1" x14ac:dyDescent="0.9">
      <c r="AP1341" s="64"/>
    </row>
    <row r="1342" spans="42:42" ht="61.5" hidden="1" x14ac:dyDescent="0.9">
      <c r="AP1342" s="64"/>
    </row>
    <row r="1343" spans="42:42" ht="61.5" hidden="1" x14ac:dyDescent="0.9">
      <c r="AP1343" s="64"/>
    </row>
    <row r="1344" spans="42:42" ht="61.5" hidden="1" x14ac:dyDescent="0.9">
      <c r="AP1344" s="64"/>
    </row>
    <row r="1345" spans="42:42" ht="61.5" hidden="1" x14ac:dyDescent="0.9">
      <c r="AP1345" s="64"/>
    </row>
    <row r="1346" spans="42:42" ht="61.5" hidden="1" x14ac:dyDescent="0.9">
      <c r="AP1346" s="64"/>
    </row>
    <row r="1347" spans="42:42" ht="61.5" hidden="1" x14ac:dyDescent="0.9">
      <c r="AP1347" s="64"/>
    </row>
    <row r="1348" spans="42:42" ht="61.5" hidden="1" x14ac:dyDescent="0.9">
      <c r="AP1348" s="64"/>
    </row>
    <row r="1349" spans="42:42" ht="61.5" hidden="1" x14ac:dyDescent="0.9">
      <c r="AP1349" s="64"/>
    </row>
    <row r="1350" spans="42:42" ht="61.5" hidden="1" x14ac:dyDescent="0.9">
      <c r="AP1350" s="64"/>
    </row>
    <row r="1351" spans="42:42" ht="61.5" hidden="1" x14ac:dyDescent="0.9">
      <c r="AP1351" s="64"/>
    </row>
    <row r="1352" spans="42:42" ht="61.5" hidden="1" x14ac:dyDescent="0.9">
      <c r="AP1352" s="64"/>
    </row>
    <row r="1353" spans="42:42" ht="61.5" hidden="1" x14ac:dyDescent="0.9">
      <c r="AP1353" s="64"/>
    </row>
    <row r="1354" spans="42:42" ht="61.5" hidden="1" x14ac:dyDescent="0.9">
      <c r="AP1354" s="64"/>
    </row>
    <row r="1355" spans="42:42" ht="61.5" hidden="1" x14ac:dyDescent="0.9">
      <c r="AP1355" s="64"/>
    </row>
    <row r="1356" spans="42:42" ht="61.5" x14ac:dyDescent="0.9">
      <c r="AP1356" s="64"/>
    </row>
    <row r="1357" spans="42:42" ht="61.5" x14ac:dyDescent="0.9">
      <c r="AP1357" s="64"/>
    </row>
    <row r="1358" spans="42:42" ht="61.5" x14ac:dyDescent="0.9">
      <c r="AP1358" s="64"/>
    </row>
    <row r="1359" spans="42:42" ht="61.5" x14ac:dyDescent="0.9">
      <c r="AP1359" s="64"/>
    </row>
    <row r="1360" spans="42:42" ht="61.5" x14ac:dyDescent="0.9">
      <c r="AP1360" s="64"/>
    </row>
    <row r="1361" spans="42:42" ht="61.5" x14ac:dyDescent="0.9">
      <c r="AP1361" s="64"/>
    </row>
    <row r="1362" spans="42:42" ht="61.5" x14ac:dyDescent="0.9">
      <c r="AP1362" s="64"/>
    </row>
    <row r="1363" spans="42:42" ht="61.5" x14ac:dyDescent="0.9">
      <c r="AP1363" s="64"/>
    </row>
    <row r="1364" spans="42:42" ht="61.5" x14ac:dyDescent="0.9">
      <c r="AP1364" s="64"/>
    </row>
    <row r="1365" spans="42:42" ht="61.5" x14ac:dyDescent="0.9">
      <c r="AP1365" s="64"/>
    </row>
    <row r="1366" spans="42:42" ht="61.5" x14ac:dyDescent="0.9">
      <c r="AP1366" s="64"/>
    </row>
    <row r="1367" spans="42:42" ht="61.5" x14ac:dyDescent="0.9">
      <c r="AP1367" s="64"/>
    </row>
    <row r="1368" spans="42:42" ht="61.5" x14ac:dyDescent="0.9">
      <c r="AP1368" s="64"/>
    </row>
    <row r="1369" spans="42:42" ht="61.5" x14ac:dyDescent="0.9">
      <c r="AP1369" s="64"/>
    </row>
    <row r="1370" spans="42:42" ht="61.5" x14ac:dyDescent="0.9">
      <c r="AP1370" s="64"/>
    </row>
    <row r="1371" spans="42:42" ht="61.5" x14ac:dyDescent="0.9">
      <c r="AP1371" s="64"/>
    </row>
    <row r="1372" spans="42:42" ht="61.5" x14ac:dyDescent="0.9">
      <c r="AP1372" s="64"/>
    </row>
    <row r="1373" spans="42:42" ht="61.5" x14ac:dyDescent="0.9">
      <c r="AP1373" s="64"/>
    </row>
    <row r="1374" spans="42:42" ht="61.5" x14ac:dyDescent="0.9">
      <c r="AP1374" s="64"/>
    </row>
    <row r="1375" spans="42:42" ht="61.5" x14ac:dyDescent="0.9">
      <c r="AP1375" s="64"/>
    </row>
    <row r="1376" spans="42:42" ht="61.5" x14ac:dyDescent="0.9">
      <c r="AP1376" s="64"/>
    </row>
    <row r="1377" spans="42:42" ht="61.5" x14ac:dyDescent="0.9">
      <c r="AP1377" s="64"/>
    </row>
    <row r="1378" spans="42:42" ht="61.5" x14ac:dyDescent="0.9">
      <c r="AP1378" s="64"/>
    </row>
    <row r="1379" spans="42:42" ht="61.5" x14ac:dyDescent="0.9">
      <c r="AP1379" s="64"/>
    </row>
    <row r="1380" spans="42:42" ht="61.5" x14ac:dyDescent="0.9">
      <c r="AP1380" s="64"/>
    </row>
    <row r="1381" spans="42:42" ht="61.5" x14ac:dyDescent="0.9">
      <c r="AP1381" s="64"/>
    </row>
    <row r="1382" spans="42:42" ht="61.5" x14ac:dyDescent="0.9">
      <c r="AP1382" s="64"/>
    </row>
    <row r="1383" spans="42:42" ht="61.5" x14ac:dyDescent="0.9">
      <c r="AP1383" s="64"/>
    </row>
    <row r="1384" spans="42:42" ht="61.5" x14ac:dyDescent="0.9">
      <c r="AP1384" s="64"/>
    </row>
    <row r="1385" spans="42:42" ht="61.5" x14ac:dyDescent="0.9">
      <c r="AP1385" s="64"/>
    </row>
    <row r="1386" spans="42:42" ht="61.5" x14ac:dyDescent="0.9">
      <c r="AP1386" s="64"/>
    </row>
    <row r="1387" spans="42:42" ht="61.5" x14ac:dyDescent="0.9">
      <c r="AP1387" s="64"/>
    </row>
    <row r="1388" spans="42:42" ht="61.5" x14ac:dyDescent="0.9">
      <c r="AP1388" s="64"/>
    </row>
    <row r="1389" spans="42:42" ht="61.5" x14ac:dyDescent="0.9">
      <c r="AP1389" s="64"/>
    </row>
    <row r="1390" spans="42:42" ht="61.5" x14ac:dyDescent="0.9">
      <c r="AP1390" s="64"/>
    </row>
    <row r="1391" spans="42:42" ht="61.5" x14ac:dyDescent="0.9">
      <c r="AP1391" s="64"/>
    </row>
    <row r="1392" spans="42:42" ht="61.5" x14ac:dyDescent="0.9">
      <c r="AP1392" s="64"/>
    </row>
    <row r="1393" spans="42:42" ht="61.5" x14ac:dyDescent="0.9">
      <c r="AP1393" s="64"/>
    </row>
    <row r="1394" spans="42:42" ht="61.5" x14ac:dyDescent="0.9">
      <c r="AP1394" s="64"/>
    </row>
    <row r="1395" spans="42:42" ht="61.5" x14ac:dyDescent="0.9">
      <c r="AP1395" s="64"/>
    </row>
    <row r="1396" spans="42:42" ht="61.5" x14ac:dyDescent="0.9">
      <c r="AP1396" s="64"/>
    </row>
    <row r="1397" spans="42:42" ht="61.5" x14ac:dyDescent="0.9">
      <c r="AP1397" s="64"/>
    </row>
    <row r="1398" spans="42:42" ht="61.5" x14ac:dyDescent="0.9">
      <c r="AP1398" s="64"/>
    </row>
    <row r="1399" spans="42:42" ht="61.5" x14ac:dyDescent="0.9">
      <c r="AP1399" s="64"/>
    </row>
    <row r="1400" spans="42:42" ht="61.5" x14ac:dyDescent="0.9">
      <c r="AP1400" s="64"/>
    </row>
    <row r="1401" spans="42:42" ht="61.5" x14ac:dyDescent="0.9">
      <c r="AP1401" s="64"/>
    </row>
    <row r="1402" spans="42:42" ht="61.5" x14ac:dyDescent="0.9">
      <c r="AP1402" s="64"/>
    </row>
    <row r="1403" spans="42:42" ht="61.5" x14ac:dyDescent="0.9">
      <c r="AP1403" s="64"/>
    </row>
    <row r="1404" spans="42:42" ht="61.5" x14ac:dyDescent="0.9">
      <c r="AP1404" s="64"/>
    </row>
    <row r="1405" spans="42:42" ht="61.5" x14ac:dyDescent="0.9">
      <c r="AP1405" s="64"/>
    </row>
    <row r="1406" spans="42:42" ht="61.5" x14ac:dyDescent="0.9">
      <c r="AP1406" s="64"/>
    </row>
    <row r="1407" spans="42:42" ht="61.5" x14ac:dyDescent="0.9">
      <c r="AP1407" s="64"/>
    </row>
    <row r="1408" spans="42:42" ht="61.5" x14ac:dyDescent="0.9">
      <c r="AP1408" s="64"/>
    </row>
    <row r="1409" spans="42:42" ht="61.5" x14ac:dyDescent="0.9">
      <c r="AP1409" s="64"/>
    </row>
    <row r="1410" spans="42:42" ht="61.5" x14ac:dyDescent="0.9">
      <c r="AP1410" s="64"/>
    </row>
    <row r="1411" spans="42:42" ht="61.5" x14ac:dyDescent="0.9">
      <c r="AP1411" s="64"/>
    </row>
    <row r="1412" spans="42:42" ht="61.5" x14ac:dyDescent="0.9">
      <c r="AP1412" s="64"/>
    </row>
    <row r="1413" spans="42:42" ht="61.5" x14ac:dyDescent="0.9">
      <c r="AP1413" s="64"/>
    </row>
    <row r="1414" spans="42:42" ht="61.5" x14ac:dyDescent="0.9">
      <c r="AP1414" s="64"/>
    </row>
    <row r="1415" spans="42:42" ht="61.5" x14ac:dyDescent="0.9">
      <c r="AP1415" s="64"/>
    </row>
    <row r="1416" spans="42:42" ht="61.5" x14ac:dyDescent="0.9">
      <c r="AP1416" s="64"/>
    </row>
    <row r="1417" spans="42:42" ht="61.5" x14ac:dyDescent="0.9">
      <c r="AP1417" s="64"/>
    </row>
    <row r="1418" spans="42:42" ht="61.5" x14ac:dyDescent="0.9">
      <c r="AP1418" s="64"/>
    </row>
    <row r="1419" spans="42:42" ht="61.5" x14ac:dyDescent="0.9">
      <c r="AP1419" s="64"/>
    </row>
    <row r="1420" spans="42:42" ht="61.5" x14ac:dyDescent="0.9">
      <c r="AP1420" s="64"/>
    </row>
    <row r="1421" spans="42:42" ht="61.5" x14ac:dyDescent="0.9">
      <c r="AP1421" s="64"/>
    </row>
    <row r="1422" spans="42:42" ht="61.5" x14ac:dyDescent="0.9">
      <c r="AP1422" s="64"/>
    </row>
    <row r="1423" spans="42:42" ht="61.5" x14ac:dyDescent="0.9">
      <c r="AP1423" s="64"/>
    </row>
    <row r="1424" spans="42:42" ht="61.5" x14ac:dyDescent="0.9">
      <c r="AP1424" s="64"/>
    </row>
    <row r="1425" spans="42:42" ht="61.5" x14ac:dyDescent="0.9">
      <c r="AP1425" s="64"/>
    </row>
    <row r="1426" spans="42:42" ht="61.5" x14ac:dyDescent="0.9">
      <c r="AP1426" s="64"/>
    </row>
    <row r="1427" spans="42:42" ht="61.5" x14ac:dyDescent="0.9">
      <c r="AP1427" s="64"/>
    </row>
    <row r="1428" spans="42:42" ht="61.5" x14ac:dyDescent="0.9">
      <c r="AP1428" s="64"/>
    </row>
    <row r="1429" spans="42:42" ht="61.5" x14ac:dyDescent="0.9">
      <c r="AP1429" s="64"/>
    </row>
    <row r="1430" spans="42:42" ht="61.5" x14ac:dyDescent="0.9">
      <c r="AP1430" s="64"/>
    </row>
    <row r="1431" spans="42:42" ht="61.5" x14ac:dyDescent="0.9">
      <c r="AP1431" s="64"/>
    </row>
    <row r="1432" spans="42:42" ht="61.5" x14ac:dyDescent="0.9">
      <c r="AP1432" s="64"/>
    </row>
    <row r="1433" spans="42:42" ht="61.5" x14ac:dyDescent="0.9">
      <c r="AP1433" s="64"/>
    </row>
    <row r="1434" spans="42:42" ht="61.5" x14ac:dyDescent="0.9">
      <c r="AP1434" s="64"/>
    </row>
    <row r="1435" spans="42:42" ht="61.5" x14ac:dyDescent="0.9">
      <c r="AP1435" s="64"/>
    </row>
    <row r="1436" spans="42:42" ht="61.5" x14ac:dyDescent="0.9">
      <c r="AP1436" s="64"/>
    </row>
    <row r="1437" spans="42:42" ht="61.5" x14ac:dyDescent="0.9">
      <c r="AP1437" s="64"/>
    </row>
    <row r="1438" spans="42:42" ht="61.5" x14ac:dyDescent="0.9">
      <c r="AP1438" s="64"/>
    </row>
    <row r="1439" spans="42:42" ht="61.5" x14ac:dyDescent="0.9">
      <c r="AP1439" s="64"/>
    </row>
    <row r="1440" spans="42:42" ht="61.5" x14ac:dyDescent="0.9">
      <c r="AP1440" s="64"/>
    </row>
    <row r="1441" spans="42:42" ht="61.5" x14ac:dyDescent="0.9">
      <c r="AP1441" s="64"/>
    </row>
    <row r="1442" spans="42:42" ht="61.5" x14ac:dyDescent="0.9">
      <c r="AP1442" s="64"/>
    </row>
    <row r="1443" spans="42:42" ht="61.5" x14ac:dyDescent="0.9">
      <c r="AP1443" s="64"/>
    </row>
    <row r="1444" spans="42:42" ht="61.5" x14ac:dyDescent="0.9">
      <c r="AP1444" s="64"/>
    </row>
    <row r="1445" spans="42:42" ht="61.5" x14ac:dyDescent="0.9">
      <c r="AP1445" s="64"/>
    </row>
    <row r="1446" spans="42:42" ht="61.5" x14ac:dyDescent="0.9">
      <c r="AP1446" s="64"/>
    </row>
    <row r="1447" spans="42:42" ht="61.5" x14ac:dyDescent="0.9">
      <c r="AP1447" s="64"/>
    </row>
    <row r="1448" spans="42:42" ht="61.5" x14ac:dyDescent="0.9">
      <c r="AP1448" s="64"/>
    </row>
    <row r="1449" spans="42:42" ht="61.5" x14ac:dyDescent="0.9">
      <c r="AP1449" s="64"/>
    </row>
    <row r="1450" spans="42:42" ht="61.5" x14ac:dyDescent="0.9">
      <c r="AP1450" s="64"/>
    </row>
    <row r="1451" spans="42:42" ht="61.5" x14ac:dyDescent="0.9">
      <c r="AP1451" s="64"/>
    </row>
    <row r="1452" spans="42:42" ht="61.5" x14ac:dyDescent="0.9">
      <c r="AP1452" s="64"/>
    </row>
    <row r="1453" spans="42:42" ht="61.5" x14ac:dyDescent="0.9">
      <c r="AP1453" s="64"/>
    </row>
    <row r="1454" spans="42:42" ht="61.5" x14ac:dyDescent="0.9">
      <c r="AP1454" s="64"/>
    </row>
    <row r="1455" spans="42:42" ht="61.5" x14ac:dyDescent="0.9">
      <c r="AP1455" s="64"/>
    </row>
    <row r="1456" spans="42:42" ht="61.5" x14ac:dyDescent="0.9">
      <c r="AP1456" s="64"/>
    </row>
    <row r="1457" spans="42:42" ht="61.5" x14ac:dyDescent="0.9">
      <c r="AP1457" s="64"/>
    </row>
    <row r="1458" spans="42:42" ht="61.5" x14ac:dyDescent="0.9">
      <c r="AP1458" s="64"/>
    </row>
    <row r="1459" spans="42:42" ht="61.5" x14ac:dyDescent="0.9">
      <c r="AP1459" s="64"/>
    </row>
    <row r="1460" spans="42:42" ht="61.5" x14ac:dyDescent="0.9">
      <c r="AP1460" s="64"/>
    </row>
    <row r="1461" spans="42:42" ht="61.5" x14ac:dyDescent="0.9">
      <c r="AP1461" s="64"/>
    </row>
    <row r="1462" spans="42:42" ht="61.5" x14ac:dyDescent="0.9">
      <c r="AP1462" s="64"/>
    </row>
    <row r="1463" spans="42:42" ht="61.5" x14ac:dyDescent="0.9">
      <c r="AP1463" s="64"/>
    </row>
    <row r="1464" spans="42:42" ht="61.5" x14ac:dyDescent="0.9">
      <c r="AP1464" s="64"/>
    </row>
    <row r="1465" spans="42:42" ht="61.5" x14ac:dyDescent="0.9">
      <c r="AP1465" s="64"/>
    </row>
    <row r="1466" spans="42:42" ht="61.5" x14ac:dyDescent="0.9">
      <c r="AP1466" s="64"/>
    </row>
    <row r="1467" spans="42:42" ht="61.5" x14ac:dyDescent="0.9">
      <c r="AP1467" s="64"/>
    </row>
    <row r="1468" spans="42:42" ht="61.5" x14ac:dyDescent="0.9">
      <c r="AP1468" s="64"/>
    </row>
    <row r="1469" spans="42:42" ht="61.5" x14ac:dyDescent="0.9">
      <c r="AP1469" s="64"/>
    </row>
    <row r="1470" spans="42:42" ht="61.5" x14ac:dyDescent="0.9">
      <c r="AP1470" s="64"/>
    </row>
    <row r="1471" spans="42:42" ht="61.5" x14ac:dyDescent="0.9">
      <c r="AP1471" s="64"/>
    </row>
    <row r="1472" spans="42:42" ht="61.5" x14ac:dyDescent="0.9">
      <c r="AP1472" s="64"/>
    </row>
    <row r="1473" spans="42:42" ht="61.5" x14ac:dyDescent="0.9">
      <c r="AP1473" s="64"/>
    </row>
    <row r="1474" spans="42:42" ht="61.5" x14ac:dyDescent="0.9">
      <c r="AP1474" s="64"/>
    </row>
    <row r="1475" spans="42:42" ht="61.5" x14ac:dyDescent="0.9">
      <c r="AP1475" s="64"/>
    </row>
    <row r="1476" spans="42:42" ht="61.5" x14ac:dyDescent="0.9">
      <c r="AP1476" s="64"/>
    </row>
    <row r="1477" spans="42:42" ht="61.5" x14ac:dyDescent="0.9">
      <c r="AP1477" s="64"/>
    </row>
    <row r="1478" spans="42:42" ht="61.5" x14ac:dyDescent="0.9">
      <c r="AP1478" s="64"/>
    </row>
    <row r="1479" spans="42:42" ht="61.5" x14ac:dyDescent="0.9">
      <c r="AP1479" s="64"/>
    </row>
    <row r="1480" spans="42:42" ht="61.5" x14ac:dyDescent="0.9">
      <c r="AP1480" s="64"/>
    </row>
    <row r="1481" spans="42:42" ht="61.5" x14ac:dyDescent="0.9">
      <c r="AP1481" s="64"/>
    </row>
    <row r="1482" spans="42:42" ht="61.5" x14ac:dyDescent="0.9">
      <c r="AP1482" s="64"/>
    </row>
    <row r="1483" spans="42:42" ht="61.5" x14ac:dyDescent="0.9">
      <c r="AP1483" s="64"/>
    </row>
    <row r="1484" spans="42:42" ht="61.5" x14ac:dyDescent="0.9">
      <c r="AP1484" s="64"/>
    </row>
    <row r="1485" spans="42:42" ht="61.5" x14ac:dyDescent="0.9">
      <c r="AP1485" s="64"/>
    </row>
    <row r="1486" spans="42:42" ht="61.5" x14ac:dyDescent="0.9">
      <c r="AP1486" s="64"/>
    </row>
    <row r="1487" spans="42:42" ht="61.5" x14ac:dyDescent="0.9">
      <c r="AP1487" s="64"/>
    </row>
    <row r="1488" spans="42:42" ht="61.5" x14ac:dyDescent="0.9">
      <c r="AP1488" s="64"/>
    </row>
  </sheetData>
  <autoFilter ref="A12:GI1291" xr:uid="{00000000-0009-0000-0000-000001000000}"/>
  <mergeCells count="30">
    <mergeCell ref="B4:U6"/>
    <mergeCell ref="S1:U1"/>
    <mergeCell ref="O2:U3"/>
    <mergeCell ref="O8:O11"/>
    <mergeCell ref="B8:B11"/>
    <mergeCell ref="C8:C11"/>
    <mergeCell ref="D8:E8"/>
    <mergeCell ref="F8:F11"/>
    <mergeCell ref="G8:G11"/>
    <mergeCell ref="H8:H11"/>
    <mergeCell ref="S9:S10"/>
    <mergeCell ref="P8:S8"/>
    <mergeCell ref="T8:T10"/>
    <mergeCell ref="I8:I10"/>
    <mergeCell ref="J8:K8"/>
    <mergeCell ref="L8:L10"/>
    <mergeCell ref="B1282:U1282"/>
    <mergeCell ref="B1283:C1283"/>
    <mergeCell ref="B1274:U1274"/>
    <mergeCell ref="B1275:C1275"/>
    <mergeCell ref="U8:U10"/>
    <mergeCell ref="D9:D11"/>
    <mergeCell ref="E9:E11"/>
    <mergeCell ref="P9:P10"/>
    <mergeCell ref="Q9:Q10"/>
    <mergeCell ref="R9:R10"/>
    <mergeCell ref="M8:M11"/>
    <mergeCell ref="N8:N11"/>
    <mergeCell ref="J9:J10"/>
    <mergeCell ref="K9:K10"/>
  </mergeCells>
  <printOptions horizontalCentered="1"/>
  <pageMargins left="0" right="0" top="0.39370078740157483" bottom="0" header="0" footer="0"/>
  <pageSetup paperSize="9" scale="16" fitToHeight="0" orientation="landscape" r:id="rId1"/>
  <headerFooter differentFirst="1">
    <oddHeader>&amp;C&amp;"Times New Roman,обычный"&amp;20&amp;P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5"/>
  <sheetViews>
    <sheetView view="pageBreakPreview" topLeftCell="A19" zoomScale="60" zoomScaleNormal="60" workbookViewId="0">
      <selection activeCell="C38" sqref="C38"/>
    </sheetView>
  </sheetViews>
  <sheetFormatPr defaultRowHeight="15" x14ac:dyDescent="0.25"/>
  <cols>
    <col min="1" max="1" width="28.7109375" customWidth="1"/>
    <col min="2" max="2" width="43.42578125" customWidth="1"/>
    <col min="3" max="3" width="52.7109375" customWidth="1"/>
    <col min="4" max="4" width="0" hidden="1" customWidth="1"/>
    <col min="5" max="5" width="14" hidden="1" customWidth="1"/>
    <col min="7" max="7" width="12" customWidth="1"/>
    <col min="9" max="9" width="21.7109375" customWidth="1"/>
    <col min="11" max="11" width="20.5703125" customWidth="1"/>
    <col min="12" max="12" width="23.42578125" customWidth="1"/>
  </cols>
  <sheetData>
    <row r="1" spans="1:5" ht="18.75" x14ac:dyDescent="0.3">
      <c r="A1" s="1"/>
      <c r="B1" s="1"/>
      <c r="C1" s="2" t="s">
        <v>736</v>
      </c>
    </row>
    <row r="2" spans="1:5" ht="63.75" customHeight="1" x14ac:dyDescent="0.25">
      <c r="A2" s="335" t="s">
        <v>744</v>
      </c>
      <c r="B2" s="335"/>
      <c r="C2" s="335"/>
    </row>
    <row r="3" spans="1:5" ht="41.45" customHeight="1" x14ac:dyDescent="0.25">
      <c r="A3" s="330" t="s">
        <v>737</v>
      </c>
      <c r="B3" s="331"/>
      <c r="C3" s="332"/>
    </row>
    <row r="4" spans="1:5" ht="18.75" customHeight="1" x14ac:dyDescent="0.25">
      <c r="A4" s="330" t="s">
        <v>738</v>
      </c>
      <c r="B4" s="332"/>
      <c r="C4" s="41" t="s">
        <v>745</v>
      </c>
    </row>
    <row r="5" spans="1:5" ht="18.75" x14ac:dyDescent="0.3">
      <c r="A5" s="333" t="s">
        <v>739</v>
      </c>
      <c r="B5" s="334"/>
      <c r="C5" s="42">
        <f>Перечень!P14</f>
        <v>1112243634.7800002</v>
      </c>
    </row>
    <row r="6" spans="1:5" ht="37.5" customHeight="1" x14ac:dyDescent="0.3">
      <c r="A6" s="333" t="s">
        <v>740</v>
      </c>
      <c r="B6" s="334"/>
      <c r="C6" s="42">
        <v>0</v>
      </c>
    </row>
    <row r="7" spans="1:5" ht="18.75" x14ac:dyDescent="0.3">
      <c r="A7" s="333" t="s">
        <v>741</v>
      </c>
      <c r="B7" s="334"/>
      <c r="C7" s="42">
        <f>Перечень!Q14</f>
        <v>0</v>
      </c>
    </row>
    <row r="8" spans="1:5" ht="18.75" x14ac:dyDescent="0.3">
      <c r="A8" s="333" t="s">
        <v>742</v>
      </c>
      <c r="B8" s="334"/>
      <c r="C8" s="42">
        <f>Перечень!R14</f>
        <v>2908349.77</v>
      </c>
      <c r="D8">
        <v>4344514.92</v>
      </c>
      <c r="E8" s="104">
        <v>746895.1400000006</v>
      </c>
    </row>
    <row r="9" spans="1:5" ht="18.75" customHeight="1" x14ac:dyDescent="0.3">
      <c r="A9" s="333" t="s">
        <v>743</v>
      </c>
      <c r="B9" s="334"/>
      <c r="C9" s="42">
        <f>C5-C6-C7-C8</f>
        <v>1109335285.0100002</v>
      </c>
    </row>
    <row r="10" spans="1:5" ht="43.9" customHeight="1" x14ac:dyDescent="0.25">
      <c r="A10" s="330" t="s">
        <v>737</v>
      </c>
      <c r="B10" s="331"/>
      <c r="C10" s="332"/>
    </row>
    <row r="11" spans="1:5" ht="18.75" customHeight="1" x14ac:dyDescent="0.25">
      <c r="A11" s="330" t="s">
        <v>738</v>
      </c>
      <c r="B11" s="332"/>
      <c r="C11" s="41" t="s">
        <v>746</v>
      </c>
    </row>
    <row r="12" spans="1:5" ht="18.75" x14ac:dyDescent="0.3">
      <c r="A12" s="333" t="s">
        <v>739</v>
      </c>
      <c r="B12" s="334"/>
      <c r="C12" s="42">
        <f>Перечень!P550</f>
        <v>1363886777.0699999</v>
      </c>
    </row>
    <row r="13" spans="1:5" ht="33.75" customHeight="1" x14ac:dyDescent="0.3">
      <c r="A13" s="333" t="s">
        <v>740</v>
      </c>
      <c r="B13" s="334"/>
      <c r="C13" s="42">
        <v>0</v>
      </c>
    </row>
    <row r="14" spans="1:5" ht="18.75" x14ac:dyDescent="0.3">
      <c r="A14" s="333" t="s">
        <v>741</v>
      </c>
      <c r="B14" s="334"/>
      <c r="C14" s="42">
        <f>Перечень!Q550</f>
        <v>0</v>
      </c>
    </row>
    <row r="15" spans="1:5" ht="18.75" x14ac:dyDescent="0.3">
      <c r="A15" s="333" t="s">
        <v>742</v>
      </c>
      <c r="B15" s="334"/>
      <c r="C15" s="42">
        <f>Перечень!R550</f>
        <v>3015567.51</v>
      </c>
    </row>
    <row r="16" spans="1:5" ht="18.75" customHeight="1" x14ac:dyDescent="0.3">
      <c r="A16" s="333" t="s">
        <v>743</v>
      </c>
      <c r="B16" s="334"/>
      <c r="C16" s="42">
        <f>C12-C13-C14-C15</f>
        <v>1360871209.5599999</v>
      </c>
    </row>
    <row r="17" spans="1:3" ht="39.75" customHeight="1" x14ac:dyDescent="0.25">
      <c r="A17" s="330" t="s">
        <v>737</v>
      </c>
      <c r="B17" s="331"/>
      <c r="C17" s="332"/>
    </row>
    <row r="18" spans="1:3" ht="18.75" customHeight="1" x14ac:dyDescent="0.25">
      <c r="A18" s="330" t="s">
        <v>738</v>
      </c>
      <c r="B18" s="332"/>
      <c r="C18" s="41" t="s">
        <v>747</v>
      </c>
    </row>
    <row r="19" spans="1:3" ht="18.75" x14ac:dyDescent="0.3">
      <c r="A19" s="333" t="s">
        <v>739</v>
      </c>
      <c r="B19" s="334"/>
      <c r="C19" s="42">
        <f>Перечень!P998</f>
        <v>814479561.79999995</v>
      </c>
    </row>
    <row r="20" spans="1:3" ht="41.25" customHeight="1" x14ac:dyDescent="0.3">
      <c r="A20" s="333" t="s">
        <v>740</v>
      </c>
      <c r="B20" s="334"/>
      <c r="C20" s="42">
        <v>0</v>
      </c>
    </row>
    <row r="21" spans="1:3" ht="18.75" x14ac:dyDescent="0.3">
      <c r="A21" s="333" t="s">
        <v>741</v>
      </c>
      <c r="B21" s="334"/>
      <c r="C21" s="42">
        <f>Перечень!Q998</f>
        <v>0</v>
      </c>
    </row>
    <row r="22" spans="1:3" ht="18.75" x14ac:dyDescent="0.3">
      <c r="A22" s="333" t="s">
        <v>742</v>
      </c>
      <c r="B22" s="334"/>
      <c r="C22" s="42">
        <f>Перечень!R998</f>
        <v>1851570.68</v>
      </c>
    </row>
    <row r="23" spans="1:3" ht="18.75" customHeight="1" x14ac:dyDescent="0.3">
      <c r="A23" s="333" t="s">
        <v>743</v>
      </c>
      <c r="B23" s="334"/>
      <c r="C23" s="42">
        <f>C19-C20-C21-C22</f>
        <v>812627991.12</v>
      </c>
    </row>
    <row r="24" spans="1:3" ht="81.75" customHeight="1" x14ac:dyDescent="0.25">
      <c r="A24" s="330" t="s">
        <v>1618</v>
      </c>
      <c r="B24" s="331"/>
      <c r="C24" s="332"/>
    </row>
    <row r="25" spans="1:3" ht="18.75" customHeight="1" x14ac:dyDescent="0.25">
      <c r="A25" s="330" t="s">
        <v>738</v>
      </c>
      <c r="B25" s="332"/>
      <c r="C25" s="41" t="s">
        <v>745</v>
      </c>
    </row>
    <row r="26" spans="1:3" ht="18.75" x14ac:dyDescent="0.3">
      <c r="A26" s="333" t="s">
        <v>741</v>
      </c>
      <c r="B26" s="334"/>
      <c r="C26" s="42">
        <v>28865700</v>
      </c>
    </row>
    <row r="27" spans="1:3" s="115" customFormat="1" ht="23.25" customHeight="1" x14ac:dyDescent="0.3">
      <c r="A27" s="333" t="s">
        <v>1678</v>
      </c>
      <c r="B27" s="334"/>
      <c r="C27" s="42">
        <f>C26-Перечень!Q1275</f>
        <v>24266154.609999999</v>
      </c>
    </row>
    <row r="28" spans="1:3" s="115" customFormat="1" ht="23.25" customHeight="1" x14ac:dyDescent="0.3">
      <c r="A28" s="333" t="s">
        <v>742</v>
      </c>
      <c r="B28" s="334"/>
      <c r="C28" s="42">
        <f>Перечень!R1275</f>
        <v>1178018</v>
      </c>
    </row>
    <row r="29" spans="1:3" s="115" customFormat="1" ht="27" customHeight="1" x14ac:dyDescent="0.3">
      <c r="A29" s="333" t="s">
        <v>743</v>
      </c>
      <c r="B29" s="334"/>
      <c r="C29" s="42">
        <f>Перечень!S1275</f>
        <v>1256638.3399999999</v>
      </c>
    </row>
    <row r="30" spans="1:3" ht="82.5" customHeight="1" x14ac:dyDescent="0.25">
      <c r="A30" s="330" t="s">
        <v>1680</v>
      </c>
      <c r="B30" s="331"/>
      <c r="C30" s="332"/>
    </row>
    <row r="31" spans="1:3" ht="18.75" customHeight="1" x14ac:dyDescent="0.25">
      <c r="A31" s="330" t="s">
        <v>738</v>
      </c>
      <c r="B31" s="332"/>
      <c r="C31" s="41" t="s">
        <v>746</v>
      </c>
    </row>
    <row r="32" spans="1:3" ht="18.75" x14ac:dyDescent="0.3">
      <c r="A32" s="333" t="s">
        <v>741</v>
      </c>
      <c r="B32" s="334"/>
      <c r="C32" s="42">
        <v>28826300</v>
      </c>
    </row>
    <row r="33" spans="1:5" ht="81" customHeight="1" x14ac:dyDescent="0.25">
      <c r="A33" s="330" t="s">
        <v>1618</v>
      </c>
      <c r="B33" s="331"/>
      <c r="C33" s="332"/>
    </row>
    <row r="34" spans="1:5" ht="18.75" customHeight="1" x14ac:dyDescent="0.25">
      <c r="A34" s="330" t="s">
        <v>738</v>
      </c>
      <c r="B34" s="332"/>
      <c r="C34" s="41" t="s">
        <v>747</v>
      </c>
    </row>
    <row r="35" spans="1:5" ht="18.75" x14ac:dyDescent="0.3">
      <c r="A35" s="333" t="s">
        <v>741</v>
      </c>
      <c r="B35" s="334"/>
      <c r="C35" s="42">
        <v>28058900</v>
      </c>
    </row>
    <row r="36" spans="1:5" ht="81" customHeight="1" x14ac:dyDescent="0.25">
      <c r="A36" s="330" t="s">
        <v>1618</v>
      </c>
      <c r="B36" s="331"/>
      <c r="C36" s="332"/>
    </row>
    <row r="37" spans="1:5" ht="18.75" customHeight="1" x14ac:dyDescent="0.25">
      <c r="A37" s="330" t="s">
        <v>738</v>
      </c>
      <c r="B37" s="332"/>
      <c r="C37" s="41" t="s">
        <v>2307</v>
      </c>
    </row>
    <row r="38" spans="1:5" ht="18.75" x14ac:dyDescent="0.3">
      <c r="A38" s="333" t="s">
        <v>741</v>
      </c>
      <c r="B38" s="334"/>
      <c r="C38" s="42">
        <v>28058900</v>
      </c>
    </row>
    <row r="39" spans="1:5" ht="81.75" customHeight="1" x14ac:dyDescent="0.25">
      <c r="A39" s="330" t="s">
        <v>1943</v>
      </c>
      <c r="B39" s="331"/>
      <c r="C39" s="332"/>
    </row>
    <row r="40" spans="1:5" ht="18.75" customHeight="1" x14ac:dyDescent="0.25">
      <c r="A40" s="330" t="s">
        <v>738</v>
      </c>
      <c r="B40" s="332"/>
      <c r="C40" s="41" t="s">
        <v>745</v>
      </c>
    </row>
    <row r="41" spans="1:5" ht="18.75" x14ac:dyDescent="0.3">
      <c r="A41" s="333" t="s">
        <v>739</v>
      </c>
      <c r="B41" s="334"/>
      <c r="C41" s="42">
        <f>Реестр!D1290</f>
        <v>17442384.330000002</v>
      </c>
    </row>
    <row r="42" spans="1:5" ht="37.5" customHeight="1" x14ac:dyDescent="0.3">
      <c r="A42" s="333" t="s">
        <v>740</v>
      </c>
      <c r="B42" s="334"/>
      <c r="C42" s="42">
        <v>0</v>
      </c>
    </row>
    <row r="43" spans="1:5" ht="18.75" x14ac:dyDescent="0.3">
      <c r="A43" s="333" t="s">
        <v>741</v>
      </c>
      <c r="B43" s="334"/>
      <c r="C43" s="42">
        <f>Перечень!Q47</f>
        <v>0</v>
      </c>
    </row>
    <row r="44" spans="1:5" ht="18.75" x14ac:dyDescent="0.3">
      <c r="A44" s="333" t="s">
        <v>742</v>
      </c>
      <c r="B44" s="334"/>
      <c r="C44" s="42">
        <f>Перечень!R47</f>
        <v>0</v>
      </c>
      <c r="D44">
        <v>4344514.92</v>
      </c>
      <c r="E44" s="104">
        <v>746895.1400000006</v>
      </c>
    </row>
    <row r="45" spans="1:5" ht="18.75" customHeight="1" x14ac:dyDescent="0.3">
      <c r="A45" s="333" t="s">
        <v>743</v>
      </c>
      <c r="B45" s="334"/>
      <c r="C45" s="42">
        <f>C41-C42-C43-C44</f>
        <v>17442384.330000002</v>
      </c>
    </row>
  </sheetData>
  <mergeCells count="44">
    <mergeCell ref="A45:B45"/>
    <mergeCell ref="A41:B41"/>
    <mergeCell ref="A39:C39"/>
    <mergeCell ref="A40:B40"/>
    <mergeCell ref="A42:B42"/>
    <mergeCell ref="A43:B43"/>
    <mergeCell ref="A44:B44"/>
    <mergeCell ref="A23:B23"/>
    <mergeCell ref="A13:B13"/>
    <mergeCell ref="A14:B14"/>
    <mergeCell ref="A15:B15"/>
    <mergeCell ref="A16:B16"/>
    <mergeCell ref="A17:C17"/>
    <mergeCell ref="A18:B18"/>
    <mergeCell ref="A19:B19"/>
    <mergeCell ref="A20:B20"/>
    <mergeCell ref="A21:B21"/>
    <mergeCell ref="A22:B22"/>
    <mergeCell ref="A8:B8"/>
    <mergeCell ref="A9:B9"/>
    <mergeCell ref="A10:C10"/>
    <mergeCell ref="A11:B11"/>
    <mergeCell ref="A12:B12"/>
    <mergeCell ref="A7:B7"/>
    <mergeCell ref="A2:C2"/>
    <mergeCell ref="A3:C3"/>
    <mergeCell ref="A4:B4"/>
    <mergeCell ref="A5:B5"/>
    <mergeCell ref="A6:B6"/>
    <mergeCell ref="A32:B32"/>
    <mergeCell ref="A24:C24"/>
    <mergeCell ref="A25:B25"/>
    <mergeCell ref="A26:B26"/>
    <mergeCell ref="A30:C30"/>
    <mergeCell ref="A31:B31"/>
    <mergeCell ref="A27:B27"/>
    <mergeCell ref="A28:B28"/>
    <mergeCell ref="A29:B29"/>
    <mergeCell ref="A36:C36"/>
    <mergeCell ref="A37:B37"/>
    <mergeCell ref="A38:B38"/>
    <mergeCell ref="A33:C33"/>
    <mergeCell ref="A34:B34"/>
    <mergeCell ref="A35:B35"/>
  </mergeCells>
  <pageMargins left="0.25" right="0.25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25"/>
  <sheetViews>
    <sheetView zoomScale="70" zoomScaleNormal="70" workbookViewId="0">
      <selection activeCell="F146" sqref="F146:F203"/>
    </sheetView>
  </sheetViews>
  <sheetFormatPr defaultRowHeight="15" x14ac:dyDescent="0.25"/>
  <cols>
    <col min="1" max="1" width="9" style="6" customWidth="1"/>
    <col min="2" max="2" width="81" style="6" customWidth="1"/>
    <col min="3" max="3" width="23.85546875" style="6" customWidth="1"/>
    <col min="4" max="4" width="32.28515625" style="6" customWidth="1"/>
    <col min="5" max="5" width="22.140625" style="6" customWidth="1"/>
    <col min="6" max="6" width="28.85546875" style="6" customWidth="1"/>
    <col min="7" max="7" width="9.140625" style="6"/>
    <col min="8" max="8" width="0" style="6" hidden="1" customWidth="1"/>
    <col min="9" max="9" width="16.28515625" style="6" hidden="1" customWidth="1"/>
    <col min="10" max="10" width="0" style="6" hidden="1" customWidth="1"/>
    <col min="11" max="11" width="17" style="6" customWidth="1"/>
    <col min="12" max="12" width="11.7109375" style="6" bestFit="1" customWidth="1"/>
    <col min="13" max="13" width="16.85546875" style="6" bestFit="1" customWidth="1"/>
    <col min="14" max="14" width="11.85546875" style="6" bestFit="1" customWidth="1"/>
    <col min="15" max="15" width="16.85546875" style="6" bestFit="1" customWidth="1"/>
    <col min="16" max="16384" width="9.140625" style="6"/>
  </cols>
  <sheetData>
    <row r="1" spans="1:15" ht="20.25" x14ac:dyDescent="0.25">
      <c r="A1" s="5"/>
      <c r="B1" s="5"/>
      <c r="C1" s="5"/>
      <c r="D1" s="5"/>
      <c r="E1" s="342" t="s">
        <v>748</v>
      </c>
      <c r="F1" s="342"/>
    </row>
    <row r="2" spans="1:15" ht="95.25" customHeight="1" x14ac:dyDescent="0.25">
      <c r="B2" s="7"/>
      <c r="C2" s="7"/>
      <c r="D2" s="343" t="s">
        <v>755</v>
      </c>
      <c r="E2" s="343"/>
      <c r="F2" s="343"/>
    </row>
    <row r="3" spans="1:15" x14ac:dyDescent="0.25">
      <c r="A3" s="344" t="s">
        <v>756</v>
      </c>
      <c r="B3" s="344"/>
      <c r="C3" s="344"/>
      <c r="D3" s="344"/>
      <c r="E3" s="344"/>
      <c r="F3" s="344"/>
    </row>
    <row r="4" spans="1:15" ht="93" customHeight="1" x14ac:dyDescent="0.25">
      <c r="A4" s="344"/>
      <c r="B4" s="344"/>
      <c r="C4" s="344"/>
      <c r="D4" s="344"/>
      <c r="E4" s="344"/>
      <c r="F4" s="344"/>
    </row>
    <row r="5" spans="1:15" x14ac:dyDescent="0.25">
      <c r="A5" s="345" t="s">
        <v>6</v>
      </c>
      <c r="B5" s="348" t="s">
        <v>749</v>
      </c>
      <c r="C5" s="345" t="s">
        <v>750</v>
      </c>
      <c r="D5" s="345" t="s">
        <v>751</v>
      </c>
      <c r="E5" s="345" t="s">
        <v>752</v>
      </c>
      <c r="F5" s="345" t="s">
        <v>753</v>
      </c>
    </row>
    <row r="6" spans="1:15" x14ac:dyDescent="0.25">
      <c r="A6" s="346"/>
      <c r="B6" s="349"/>
      <c r="C6" s="351"/>
      <c r="D6" s="351"/>
      <c r="E6" s="351"/>
      <c r="F6" s="351"/>
    </row>
    <row r="7" spans="1:15" ht="101.25" customHeight="1" x14ac:dyDescent="0.25">
      <c r="A7" s="346"/>
      <c r="B7" s="349"/>
      <c r="C7" s="352"/>
      <c r="D7" s="352"/>
      <c r="E7" s="352"/>
      <c r="F7" s="352"/>
    </row>
    <row r="8" spans="1:15" ht="20.25" x14ac:dyDescent="0.3">
      <c r="A8" s="347"/>
      <c r="B8" s="350"/>
      <c r="C8" s="8" t="s">
        <v>754</v>
      </c>
      <c r="D8" s="8" t="s">
        <v>265</v>
      </c>
      <c r="E8" s="9" t="s">
        <v>37</v>
      </c>
      <c r="F8" s="9" t="s">
        <v>36</v>
      </c>
    </row>
    <row r="9" spans="1:15" ht="20.25" x14ac:dyDescent="0.3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</row>
    <row r="10" spans="1:15" ht="20.25" x14ac:dyDescent="0.3">
      <c r="A10" s="3" t="s">
        <v>758</v>
      </c>
      <c r="B10" s="11"/>
      <c r="C10" s="77">
        <f>C11+C79+C145</f>
        <v>2650998.37</v>
      </c>
      <c r="D10" s="78">
        <f>D11+D79+D145</f>
        <v>101914</v>
      </c>
      <c r="E10" s="78">
        <f>E11+E79+E145</f>
        <v>1067</v>
      </c>
      <c r="F10" s="77">
        <f>F11+F79+F145</f>
        <v>3290609973.6499996</v>
      </c>
      <c r="K10" s="114"/>
      <c r="M10" s="114"/>
      <c r="N10" s="114"/>
      <c r="O10" s="114"/>
    </row>
    <row r="11" spans="1:15" ht="20.25" x14ac:dyDescent="0.3">
      <c r="A11" s="3" t="s">
        <v>759</v>
      </c>
      <c r="B11" s="11"/>
      <c r="C11" s="77">
        <f>SUM(C12:C78)</f>
        <v>1283189.7000000002</v>
      </c>
      <c r="D11" s="78">
        <f>SUM(D12:D78)</f>
        <v>49251</v>
      </c>
      <c r="E11" s="78">
        <f>SUM(E12:E78)</f>
        <v>468</v>
      </c>
      <c r="F11" s="77">
        <f>SUM(F12:F78)</f>
        <v>1112243634.78</v>
      </c>
      <c r="K11" s="114"/>
    </row>
    <row r="12" spans="1:15" ht="20.25" x14ac:dyDescent="0.3">
      <c r="A12" s="4">
        <v>1</v>
      </c>
      <c r="B12" s="3" t="s">
        <v>991</v>
      </c>
      <c r="C12" s="77">
        <v>362242.11000000022</v>
      </c>
      <c r="D12" s="78">
        <v>13536</v>
      </c>
      <c r="E12" s="79">
        <v>104</v>
      </c>
      <c r="F12" s="99">
        <v>278633187.87000012</v>
      </c>
    </row>
    <row r="13" spans="1:15" ht="20.25" x14ac:dyDescent="0.3">
      <c r="A13" s="4">
        <v>2</v>
      </c>
      <c r="B13" s="3" t="s">
        <v>898</v>
      </c>
      <c r="C13" s="77">
        <v>55241.1</v>
      </c>
      <c r="D13" s="78">
        <v>2194</v>
      </c>
      <c r="E13" s="79">
        <v>30</v>
      </c>
      <c r="F13" s="99">
        <v>52540905.469999999</v>
      </c>
    </row>
    <row r="14" spans="1:15" ht="20.25" x14ac:dyDescent="0.3">
      <c r="A14" s="4">
        <v>3</v>
      </c>
      <c r="B14" s="3" t="s">
        <v>899</v>
      </c>
      <c r="C14" s="99">
        <v>122338.65999999997</v>
      </c>
      <c r="D14" s="79">
        <v>4539</v>
      </c>
      <c r="E14" s="79">
        <v>45</v>
      </c>
      <c r="F14" s="99">
        <v>115734825.99000001</v>
      </c>
    </row>
    <row r="15" spans="1:15" ht="20.25" x14ac:dyDescent="0.3">
      <c r="A15" s="4">
        <v>4</v>
      </c>
      <c r="B15" s="3" t="s">
        <v>954</v>
      </c>
      <c r="C15" s="99">
        <v>220850.80000000002</v>
      </c>
      <c r="D15" s="79">
        <v>7973</v>
      </c>
      <c r="E15" s="79">
        <v>37</v>
      </c>
      <c r="F15" s="99">
        <v>137725231.69</v>
      </c>
    </row>
    <row r="16" spans="1:15" ht="20.25" x14ac:dyDescent="0.3">
      <c r="A16" s="4">
        <v>5</v>
      </c>
      <c r="B16" s="3" t="s">
        <v>901</v>
      </c>
      <c r="C16" s="77">
        <v>38189.1</v>
      </c>
      <c r="D16" s="78">
        <v>1569</v>
      </c>
      <c r="E16" s="79">
        <v>5</v>
      </c>
      <c r="F16" s="99">
        <v>11570369.789999999</v>
      </c>
    </row>
    <row r="17" spans="1:6" ht="20.25" x14ac:dyDescent="0.3">
      <c r="A17" s="4">
        <v>6</v>
      </c>
      <c r="B17" s="3" t="s">
        <v>902</v>
      </c>
      <c r="C17" s="99">
        <v>91721.91</v>
      </c>
      <c r="D17" s="79">
        <v>3374</v>
      </c>
      <c r="E17" s="79">
        <v>26</v>
      </c>
      <c r="F17" s="99">
        <v>66002186.390000001</v>
      </c>
    </row>
    <row r="18" spans="1:6" ht="20.25" x14ac:dyDescent="0.3">
      <c r="A18" s="4">
        <v>7</v>
      </c>
      <c r="B18" s="3" t="s">
        <v>903</v>
      </c>
      <c r="C18" s="99">
        <v>29543.5</v>
      </c>
      <c r="D18" s="79">
        <v>855</v>
      </c>
      <c r="E18" s="79">
        <v>5</v>
      </c>
      <c r="F18" s="99">
        <v>14114868.93</v>
      </c>
    </row>
    <row r="19" spans="1:6" ht="20.25" x14ac:dyDescent="0.3">
      <c r="A19" s="4">
        <v>8</v>
      </c>
      <c r="B19" s="3" t="s">
        <v>904</v>
      </c>
      <c r="C19" s="99">
        <v>10662.800000000001</v>
      </c>
      <c r="D19" s="79">
        <v>403</v>
      </c>
      <c r="E19" s="79">
        <v>6</v>
      </c>
      <c r="F19" s="99">
        <v>30991355.739999995</v>
      </c>
    </row>
    <row r="20" spans="1:6" ht="20.25" x14ac:dyDescent="0.3">
      <c r="A20" s="4">
        <v>9</v>
      </c>
      <c r="B20" s="3" t="s">
        <v>905</v>
      </c>
      <c r="C20" s="99">
        <v>14970.710000000001</v>
      </c>
      <c r="D20" s="79">
        <v>518</v>
      </c>
      <c r="E20" s="79">
        <v>4</v>
      </c>
      <c r="F20" s="99">
        <v>12442442.430000002</v>
      </c>
    </row>
    <row r="21" spans="1:6" ht="20.25" x14ac:dyDescent="0.3">
      <c r="A21" s="4">
        <v>10</v>
      </c>
      <c r="B21" s="3" t="s">
        <v>1369</v>
      </c>
      <c r="C21" s="99">
        <v>762</v>
      </c>
      <c r="D21" s="79">
        <v>42</v>
      </c>
      <c r="E21" s="79">
        <v>1</v>
      </c>
      <c r="F21" s="99">
        <v>345276.04000000004</v>
      </c>
    </row>
    <row r="22" spans="1:6" ht="20.25" x14ac:dyDescent="0.3">
      <c r="A22" s="4">
        <v>11</v>
      </c>
      <c r="B22" s="3" t="s">
        <v>906</v>
      </c>
      <c r="C22" s="99">
        <v>2259.1</v>
      </c>
      <c r="D22" s="79">
        <v>104</v>
      </c>
      <c r="E22" s="79">
        <v>2</v>
      </c>
      <c r="F22" s="99">
        <v>6862295.4900000002</v>
      </c>
    </row>
    <row r="23" spans="1:6" ht="20.25" x14ac:dyDescent="0.3">
      <c r="A23" s="4">
        <v>12</v>
      </c>
      <c r="B23" s="3" t="s">
        <v>907</v>
      </c>
      <c r="C23" s="99">
        <v>4271.2</v>
      </c>
      <c r="D23" s="79">
        <v>227</v>
      </c>
      <c r="E23" s="79">
        <v>5</v>
      </c>
      <c r="F23" s="99">
        <v>12631186.800000001</v>
      </c>
    </row>
    <row r="24" spans="1:6" ht="20.25" x14ac:dyDescent="0.3">
      <c r="A24" s="4">
        <v>13</v>
      </c>
      <c r="B24" s="3" t="s">
        <v>908</v>
      </c>
      <c r="C24" s="99">
        <v>3135.5000000000005</v>
      </c>
      <c r="D24" s="79">
        <v>130</v>
      </c>
      <c r="E24" s="79">
        <v>5</v>
      </c>
      <c r="F24" s="99">
        <v>4870600.45</v>
      </c>
    </row>
    <row r="25" spans="1:6" ht="20.25" x14ac:dyDescent="0.3">
      <c r="A25" s="4">
        <v>14</v>
      </c>
      <c r="B25" s="3" t="s">
        <v>910</v>
      </c>
      <c r="C25" s="99">
        <v>3504.3</v>
      </c>
      <c r="D25" s="79">
        <v>178</v>
      </c>
      <c r="E25" s="79">
        <v>1</v>
      </c>
      <c r="F25" s="99">
        <v>1997229.1400000001</v>
      </c>
    </row>
    <row r="26" spans="1:6" ht="20.25" x14ac:dyDescent="0.3">
      <c r="A26" s="4">
        <v>15</v>
      </c>
      <c r="B26" s="3" t="s">
        <v>911</v>
      </c>
      <c r="C26" s="99">
        <v>37828.900000000009</v>
      </c>
      <c r="D26" s="79">
        <v>1989</v>
      </c>
      <c r="E26" s="79">
        <v>15</v>
      </c>
      <c r="F26" s="99">
        <v>30613647.209999997</v>
      </c>
    </row>
    <row r="27" spans="1:6" ht="20.25" x14ac:dyDescent="0.3">
      <c r="A27" s="4">
        <v>16</v>
      </c>
      <c r="B27" s="3" t="s">
        <v>912</v>
      </c>
      <c r="C27" s="99">
        <v>12766.299999999997</v>
      </c>
      <c r="D27" s="79">
        <v>777</v>
      </c>
      <c r="E27" s="79">
        <v>16</v>
      </c>
      <c r="F27" s="99">
        <v>23747458.66</v>
      </c>
    </row>
    <row r="28" spans="1:6" ht="20.25" x14ac:dyDescent="0.3">
      <c r="A28" s="4">
        <v>17</v>
      </c>
      <c r="B28" s="3" t="s">
        <v>913</v>
      </c>
      <c r="C28" s="99">
        <v>1768.6000000000001</v>
      </c>
      <c r="D28" s="79">
        <v>65</v>
      </c>
      <c r="E28" s="79">
        <v>5</v>
      </c>
      <c r="F28" s="99">
        <v>2260405.9900000002</v>
      </c>
    </row>
    <row r="29" spans="1:6" ht="20.25" x14ac:dyDescent="0.3">
      <c r="A29" s="4">
        <v>18</v>
      </c>
      <c r="B29" s="3" t="s">
        <v>914</v>
      </c>
      <c r="C29" s="99">
        <v>1222.4000000000001</v>
      </c>
      <c r="D29" s="79">
        <v>44</v>
      </c>
      <c r="E29" s="79">
        <v>2</v>
      </c>
      <c r="F29" s="99">
        <v>4429525.8800000008</v>
      </c>
    </row>
    <row r="30" spans="1:6" ht="20.25" x14ac:dyDescent="0.3">
      <c r="A30" s="4">
        <v>19</v>
      </c>
      <c r="B30" s="3" t="s">
        <v>972</v>
      </c>
      <c r="C30" s="99">
        <v>1746.5</v>
      </c>
      <c r="D30" s="79">
        <v>78</v>
      </c>
      <c r="E30" s="79">
        <v>2</v>
      </c>
      <c r="F30" s="99">
        <v>7840990.7699999996</v>
      </c>
    </row>
    <row r="31" spans="1:6" ht="20.25" x14ac:dyDescent="0.3">
      <c r="A31" s="4">
        <v>20</v>
      </c>
      <c r="B31" s="3" t="s">
        <v>917</v>
      </c>
      <c r="C31" s="77">
        <v>5843.6</v>
      </c>
      <c r="D31" s="78">
        <v>224</v>
      </c>
      <c r="E31" s="79">
        <v>3</v>
      </c>
      <c r="F31" s="99">
        <v>8426851.959999999</v>
      </c>
    </row>
    <row r="32" spans="1:6" ht="20.25" x14ac:dyDescent="0.3">
      <c r="A32" s="4">
        <v>21</v>
      </c>
      <c r="B32" s="3" t="s">
        <v>959</v>
      </c>
      <c r="C32" s="77">
        <v>9076.82</v>
      </c>
      <c r="D32" s="78">
        <v>298</v>
      </c>
      <c r="E32" s="79">
        <v>2</v>
      </c>
      <c r="F32" s="99">
        <v>7999153.3599999994</v>
      </c>
    </row>
    <row r="33" spans="1:6" ht="20.25" x14ac:dyDescent="0.3">
      <c r="A33" s="4">
        <v>22</v>
      </c>
      <c r="B33" s="3" t="s">
        <v>919</v>
      </c>
      <c r="C33" s="77">
        <v>846.4</v>
      </c>
      <c r="D33" s="78">
        <v>26</v>
      </c>
      <c r="E33" s="79">
        <v>1</v>
      </c>
      <c r="F33" s="99">
        <v>3236596.36</v>
      </c>
    </row>
    <row r="34" spans="1:6" ht="20.25" x14ac:dyDescent="0.3">
      <c r="A34" s="4">
        <v>23</v>
      </c>
      <c r="B34" s="3" t="s">
        <v>921</v>
      </c>
      <c r="C34" s="99">
        <v>47259.14</v>
      </c>
      <c r="D34" s="79">
        <v>1528</v>
      </c>
      <c r="E34" s="79">
        <v>14</v>
      </c>
      <c r="F34" s="99">
        <v>45445529.100000001</v>
      </c>
    </row>
    <row r="35" spans="1:6" ht="20.25" x14ac:dyDescent="0.3">
      <c r="A35" s="4">
        <v>24</v>
      </c>
      <c r="B35" s="3" t="s">
        <v>973</v>
      </c>
      <c r="C35" s="99">
        <v>2529.2999999999997</v>
      </c>
      <c r="D35" s="79">
        <v>106</v>
      </c>
      <c r="E35" s="79">
        <v>2</v>
      </c>
      <c r="F35" s="99">
        <v>2913286.51</v>
      </c>
    </row>
    <row r="36" spans="1:6" ht="20.25" x14ac:dyDescent="0.3">
      <c r="A36" s="4">
        <v>25</v>
      </c>
      <c r="B36" s="3" t="s">
        <v>974</v>
      </c>
      <c r="C36" s="99">
        <v>375</v>
      </c>
      <c r="D36" s="79">
        <v>21</v>
      </c>
      <c r="E36" s="79">
        <v>1</v>
      </c>
      <c r="F36" s="99">
        <v>2005046.9200000002</v>
      </c>
    </row>
    <row r="37" spans="1:6" ht="20.25" x14ac:dyDescent="0.3">
      <c r="A37" s="4">
        <v>26</v>
      </c>
      <c r="B37" s="3" t="s">
        <v>975</v>
      </c>
      <c r="C37" s="99">
        <v>1156.21</v>
      </c>
      <c r="D37" s="79">
        <v>44</v>
      </c>
      <c r="E37" s="79">
        <v>1</v>
      </c>
      <c r="F37" s="99">
        <v>3866903.76</v>
      </c>
    </row>
    <row r="38" spans="1:6" ht="20.25" x14ac:dyDescent="0.3">
      <c r="A38" s="4">
        <v>27</v>
      </c>
      <c r="B38" s="3" t="s">
        <v>923</v>
      </c>
      <c r="C38" s="99">
        <v>2624.2</v>
      </c>
      <c r="D38" s="79">
        <v>125</v>
      </c>
      <c r="E38" s="79">
        <v>4</v>
      </c>
      <c r="F38" s="99">
        <v>4286820.72</v>
      </c>
    </row>
    <row r="39" spans="1:6" ht="20.25" x14ac:dyDescent="0.3">
      <c r="A39" s="4">
        <v>28</v>
      </c>
      <c r="B39" s="3" t="s">
        <v>924</v>
      </c>
      <c r="C39" s="77">
        <v>1157</v>
      </c>
      <c r="D39" s="78">
        <v>40</v>
      </c>
      <c r="E39" s="79">
        <v>2</v>
      </c>
      <c r="F39" s="99">
        <v>3635408.5599999996</v>
      </c>
    </row>
    <row r="40" spans="1:6" ht="20.25" x14ac:dyDescent="0.3">
      <c r="A40" s="4">
        <v>29</v>
      </c>
      <c r="B40" s="3" t="s">
        <v>922</v>
      </c>
      <c r="C40" s="100">
        <v>407.9</v>
      </c>
      <c r="D40" s="101">
        <v>21</v>
      </c>
      <c r="E40" s="79">
        <v>1</v>
      </c>
      <c r="F40" s="99">
        <v>43566.44</v>
      </c>
    </row>
    <row r="41" spans="1:6" ht="20.25" x14ac:dyDescent="0.3">
      <c r="A41" s="4">
        <v>30</v>
      </c>
      <c r="B41" s="3" t="s">
        <v>925</v>
      </c>
      <c r="C41" s="99">
        <v>2253.2999999999997</v>
      </c>
      <c r="D41" s="79">
        <v>108</v>
      </c>
      <c r="E41" s="79">
        <v>4</v>
      </c>
      <c r="F41" s="99">
        <v>4166442.5</v>
      </c>
    </row>
    <row r="42" spans="1:6" ht="20.25" x14ac:dyDescent="0.3">
      <c r="A42" s="4">
        <v>31</v>
      </c>
      <c r="B42" s="3" t="s">
        <v>960</v>
      </c>
      <c r="C42" s="77">
        <v>829.4</v>
      </c>
      <c r="D42" s="78">
        <v>42</v>
      </c>
      <c r="E42" s="79">
        <v>1</v>
      </c>
      <c r="F42" s="99">
        <v>2786770.47</v>
      </c>
    </row>
    <row r="43" spans="1:6" ht="20.25" x14ac:dyDescent="0.3">
      <c r="A43" s="4">
        <v>32</v>
      </c>
      <c r="B43" s="3" t="s">
        <v>926</v>
      </c>
      <c r="C43" s="77">
        <v>10312.24</v>
      </c>
      <c r="D43" s="78">
        <v>425</v>
      </c>
      <c r="E43" s="79">
        <v>7</v>
      </c>
      <c r="F43" s="99">
        <v>8509415.7999999989</v>
      </c>
    </row>
    <row r="44" spans="1:6" ht="20.25" x14ac:dyDescent="0.3">
      <c r="A44" s="4">
        <v>33</v>
      </c>
      <c r="B44" s="3" t="s">
        <v>927</v>
      </c>
      <c r="C44" s="77">
        <v>613</v>
      </c>
      <c r="D44" s="78">
        <v>32</v>
      </c>
      <c r="E44" s="79">
        <v>1</v>
      </c>
      <c r="F44" s="99">
        <v>2358530.46</v>
      </c>
    </row>
    <row r="45" spans="1:6" ht="20.25" x14ac:dyDescent="0.3">
      <c r="A45" s="4">
        <v>34</v>
      </c>
      <c r="B45" s="3" t="s">
        <v>961</v>
      </c>
      <c r="C45" s="77">
        <v>866.6</v>
      </c>
      <c r="D45" s="78">
        <v>34</v>
      </c>
      <c r="E45" s="79">
        <v>3</v>
      </c>
      <c r="F45" s="99">
        <v>190521.97</v>
      </c>
    </row>
    <row r="46" spans="1:6" ht="20.25" x14ac:dyDescent="0.3">
      <c r="A46" s="4">
        <v>35</v>
      </c>
      <c r="B46" s="3" t="s">
        <v>929</v>
      </c>
      <c r="C46" s="99">
        <v>3663.2799999999997</v>
      </c>
      <c r="D46" s="79">
        <v>115</v>
      </c>
      <c r="E46" s="79">
        <v>3</v>
      </c>
      <c r="F46" s="99">
        <v>8700170.3300000001</v>
      </c>
    </row>
    <row r="47" spans="1:6" ht="20.25" x14ac:dyDescent="0.3">
      <c r="A47" s="4">
        <v>36</v>
      </c>
      <c r="B47" s="3" t="s">
        <v>932</v>
      </c>
      <c r="C47" s="77">
        <v>2767.4</v>
      </c>
      <c r="D47" s="78">
        <v>31</v>
      </c>
      <c r="E47" s="79">
        <v>1</v>
      </c>
      <c r="F47" s="99">
        <v>4281723.32</v>
      </c>
    </row>
    <row r="48" spans="1:6" ht="20.25" x14ac:dyDescent="0.3">
      <c r="A48" s="4">
        <v>37</v>
      </c>
      <c r="B48" s="3" t="s">
        <v>938</v>
      </c>
      <c r="C48" s="77">
        <v>15666.63</v>
      </c>
      <c r="D48" s="78">
        <v>545</v>
      </c>
      <c r="E48" s="79">
        <v>3</v>
      </c>
      <c r="F48" s="99">
        <v>2517552.7799999993</v>
      </c>
    </row>
    <row r="49" spans="1:6" ht="20.25" x14ac:dyDescent="0.3">
      <c r="A49" s="4">
        <v>38</v>
      </c>
      <c r="B49" s="3" t="s">
        <v>933</v>
      </c>
      <c r="C49" s="77">
        <v>14224.350000000002</v>
      </c>
      <c r="D49" s="78">
        <v>742</v>
      </c>
      <c r="E49" s="79">
        <v>6</v>
      </c>
      <c r="F49" s="99">
        <v>19738892.760000002</v>
      </c>
    </row>
    <row r="50" spans="1:6" ht="20.25" x14ac:dyDescent="0.3">
      <c r="A50" s="4">
        <v>39</v>
      </c>
      <c r="B50" s="3" t="s">
        <v>934</v>
      </c>
      <c r="C50" s="77">
        <v>4806.5999999999995</v>
      </c>
      <c r="D50" s="78">
        <v>165</v>
      </c>
      <c r="E50" s="79">
        <v>5</v>
      </c>
      <c r="F50" s="99">
        <v>9403284.9900000002</v>
      </c>
    </row>
    <row r="51" spans="1:6" ht="20.25" x14ac:dyDescent="0.3">
      <c r="A51" s="4">
        <v>40</v>
      </c>
      <c r="B51" s="3" t="s">
        <v>935</v>
      </c>
      <c r="C51" s="77">
        <v>1322.5</v>
      </c>
      <c r="D51" s="78">
        <v>60</v>
      </c>
      <c r="E51" s="79">
        <v>2</v>
      </c>
      <c r="F51" s="99">
        <v>5174634.9800000004</v>
      </c>
    </row>
    <row r="52" spans="1:6" ht="20.25" x14ac:dyDescent="0.3">
      <c r="A52" s="4">
        <v>41</v>
      </c>
      <c r="B52" s="3" t="s">
        <v>937</v>
      </c>
      <c r="C52" s="77">
        <v>13058.16</v>
      </c>
      <c r="D52" s="78">
        <v>529</v>
      </c>
      <c r="E52" s="79">
        <v>10</v>
      </c>
      <c r="F52" s="99">
        <v>18039853.560000002</v>
      </c>
    </row>
    <row r="53" spans="1:6" ht="20.25" x14ac:dyDescent="0.3">
      <c r="A53" s="4">
        <v>42</v>
      </c>
      <c r="B53" s="3" t="s">
        <v>936</v>
      </c>
      <c r="C53" s="77">
        <v>878.6</v>
      </c>
      <c r="D53" s="78">
        <v>55</v>
      </c>
      <c r="E53" s="79">
        <v>1</v>
      </c>
      <c r="F53" s="99">
        <v>3623254.4499999997</v>
      </c>
    </row>
    <row r="54" spans="1:6" ht="20.25" x14ac:dyDescent="0.3">
      <c r="A54" s="4">
        <v>43</v>
      </c>
      <c r="B54" s="3" t="s">
        <v>939</v>
      </c>
      <c r="C54" s="99">
        <v>940.6</v>
      </c>
      <c r="D54" s="79">
        <v>33</v>
      </c>
      <c r="E54" s="79">
        <v>1</v>
      </c>
      <c r="F54" s="99">
        <v>3515825.94</v>
      </c>
    </row>
    <row r="55" spans="1:6" ht="20.25" x14ac:dyDescent="0.3">
      <c r="A55" s="4">
        <v>44</v>
      </c>
      <c r="B55" s="3" t="s">
        <v>976</v>
      </c>
      <c r="C55" s="99">
        <v>340.3</v>
      </c>
      <c r="D55" s="79">
        <v>19</v>
      </c>
      <c r="E55" s="79">
        <v>1</v>
      </c>
      <c r="F55" s="99">
        <v>1371104.41</v>
      </c>
    </row>
    <row r="56" spans="1:6" ht="20.25" x14ac:dyDescent="0.3">
      <c r="A56" s="4">
        <v>45</v>
      </c>
      <c r="B56" s="3" t="s">
        <v>1370</v>
      </c>
      <c r="C56" s="99">
        <v>953.9</v>
      </c>
      <c r="D56" s="79">
        <v>28</v>
      </c>
      <c r="E56" s="79">
        <v>1</v>
      </c>
      <c r="F56" s="99">
        <v>40161.910000000003</v>
      </c>
    </row>
    <row r="57" spans="1:6" ht="20.25" x14ac:dyDescent="0.3">
      <c r="A57" s="4">
        <v>46</v>
      </c>
      <c r="B57" s="3" t="s">
        <v>965</v>
      </c>
      <c r="C57" s="99">
        <v>1446.38</v>
      </c>
      <c r="D57" s="79">
        <v>78</v>
      </c>
      <c r="E57" s="79">
        <v>1</v>
      </c>
      <c r="F57" s="99">
        <v>127877.6</v>
      </c>
    </row>
    <row r="58" spans="1:6" ht="20.25" x14ac:dyDescent="0.3">
      <c r="A58" s="4">
        <v>47</v>
      </c>
      <c r="B58" s="3" t="s">
        <v>977</v>
      </c>
      <c r="C58" s="77">
        <v>676.3</v>
      </c>
      <c r="D58" s="78">
        <v>32</v>
      </c>
      <c r="E58" s="79">
        <v>1</v>
      </c>
      <c r="F58" s="99">
        <v>87573.72</v>
      </c>
    </row>
    <row r="59" spans="1:6" ht="20.25" x14ac:dyDescent="0.3">
      <c r="A59" s="4">
        <v>48</v>
      </c>
      <c r="B59" s="3" t="s">
        <v>942</v>
      </c>
      <c r="C59" s="100">
        <v>3130</v>
      </c>
      <c r="D59" s="101">
        <v>140</v>
      </c>
      <c r="E59" s="79">
        <v>5</v>
      </c>
      <c r="F59" s="99">
        <v>4487931.54</v>
      </c>
    </row>
    <row r="60" spans="1:6" ht="20.25" x14ac:dyDescent="0.3">
      <c r="A60" s="4">
        <v>49</v>
      </c>
      <c r="B60" s="3" t="s">
        <v>967</v>
      </c>
      <c r="C60" s="99">
        <v>36117.07</v>
      </c>
      <c r="D60" s="79">
        <v>1569</v>
      </c>
      <c r="E60" s="79">
        <v>11</v>
      </c>
      <c r="F60" s="99">
        <v>25070660.309999999</v>
      </c>
    </row>
    <row r="61" spans="1:6" ht="20.25" x14ac:dyDescent="0.3">
      <c r="A61" s="4">
        <v>50</v>
      </c>
      <c r="B61" s="3" t="s">
        <v>943</v>
      </c>
      <c r="C61" s="77">
        <v>32478.429999999997</v>
      </c>
      <c r="D61" s="78">
        <v>1444</v>
      </c>
      <c r="E61" s="79">
        <v>8</v>
      </c>
      <c r="F61" s="99">
        <v>25373135.099999998</v>
      </c>
    </row>
    <row r="62" spans="1:6" ht="20.25" x14ac:dyDescent="0.3">
      <c r="A62" s="4">
        <v>51</v>
      </c>
      <c r="B62" s="3" t="s">
        <v>1371</v>
      </c>
      <c r="C62" s="77">
        <v>546.02</v>
      </c>
      <c r="D62" s="78">
        <v>20</v>
      </c>
      <c r="E62" s="79">
        <v>1</v>
      </c>
      <c r="F62" s="99">
        <v>1499263.62</v>
      </c>
    </row>
    <row r="63" spans="1:6" ht="20.25" x14ac:dyDescent="0.3">
      <c r="A63" s="4">
        <v>52</v>
      </c>
      <c r="B63" s="3" t="s">
        <v>1368</v>
      </c>
      <c r="C63" s="77">
        <v>1598.9</v>
      </c>
      <c r="D63" s="78">
        <v>38</v>
      </c>
      <c r="E63" s="79">
        <v>1</v>
      </c>
      <c r="F63" s="99">
        <v>474650.14999999997</v>
      </c>
    </row>
    <row r="64" spans="1:6" ht="20.25" x14ac:dyDescent="0.3">
      <c r="A64" s="4">
        <v>53</v>
      </c>
      <c r="B64" s="3" t="s">
        <v>940</v>
      </c>
      <c r="C64" s="77">
        <v>9103.2800000000007</v>
      </c>
      <c r="D64" s="78">
        <v>365</v>
      </c>
      <c r="E64" s="79">
        <v>4</v>
      </c>
      <c r="F64" s="99">
        <v>3392825.56</v>
      </c>
    </row>
    <row r="65" spans="1:14" ht="20.25" x14ac:dyDescent="0.3">
      <c r="A65" s="4">
        <v>54</v>
      </c>
      <c r="B65" s="3" t="s">
        <v>944</v>
      </c>
      <c r="C65" s="77">
        <v>2977.1</v>
      </c>
      <c r="D65" s="78">
        <v>125</v>
      </c>
      <c r="E65" s="79">
        <v>5</v>
      </c>
      <c r="F65" s="99">
        <v>7769795.6899999995</v>
      </c>
    </row>
    <row r="66" spans="1:14" ht="20.25" x14ac:dyDescent="0.3">
      <c r="A66" s="4">
        <v>55</v>
      </c>
      <c r="B66" s="3" t="s">
        <v>945</v>
      </c>
      <c r="C66" s="99">
        <v>1191.0999999999999</v>
      </c>
      <c r="D66" s="79">
        <v>26</v>
      </c>
      <c r="E66" s="79">
        <v>1</v>
      </c>
      <c r="F66" s="99">
        <v>2846268.34</v>
      </c>
    </row>
    <row r="67" spans="1:14" ht="20.25" x14ac:dyDescent="0.3">
      <c r="A67" s="4">
        <v>56</v>
      </c>
      <c r="B67" s="3" t="s">
        <v>946</v>
      </c>
      <c r="C67" s="77">
        <v>1414.1</v>
      </c>
      <c r="D67" s="78">
        <v>84</v>
      </c>
      <c r="E67" s="79">
        <v>2</v>
      </c>
      <c r="F67" s="99">
        <v>2804062.75</v>
      </c>
    </row>
    <row r="68" spans="1:14" ht="20.25" x14ac:dyDescent="0.3">
      <c r="A68" s="4">
        <v>57</v>
      </c>
      <c r="B68" s="3" t="s">
        <v>947</v>
      </c>
      <c r="C68" s="77">
        <v>2762.9</v>
      </c>
      <c r="D68" s="78">
        <v>125</v>
      </c>
      <c r="E68" s="79">
        <v>2</v>
      </c>
      <c r="F68" s="99">
        <v>4868704.13</v>
      </c>
    </row>
    <row r="69" spans="1:14" ht="20.25" x14ac:dyDescent="0.3">
      <c r="A69" s="4">
        <v>58</v>
      </c>
      <c r="B69" s="3" t="s">
        <v>969</v>
      </c>
      <c r="C69" s="77">
        <v>702.7</v>
      </c>
      <c r="D69" s="78">
        <v>16</v>
      </c>
      <c r="E69" s="79">
        <v>1</v>
      </c>
      <c r="F69" s="99">
        <v>2570556.2200000002</v>
      </c>
    </row>
    <row r="70" spans="1:14" ht="20.25" x14ac:dyDescent="0.3">
      <c r="A70" s="4">
        <v>59</v>
      </c>
      <c r="B70" s="3" t="s">
        <v>1372</v>
      </c>
      <c r="C70" s="77">
        <v>1625.9</v>
      </c>
      <c r="D70" s="78">
        <v>63</v>
      </c>
      <c r="E70" s="79">
        <v>2</v>
      </c>
      <c r="F70" s="99">
        <v>2397267.1699999995</v>
      </c>
    </row>
    <row r="71" spans="1:14" ht="20.25" x14ac:dyDescent="0.3">
      <c r="A71" s="4">
        <v>60</v>
      </c>
      <c r="B71" s="3" t="s">
        <v>948</v>
      </c>
      <c r="C71" s="77">
        <v>2462.8000000000002</v>
      </c>
      <c r="D71" s="78">
        <v>120</v>
      </c>
      <c r="E71" s="79">
        <v>5</v>
      </c>
      <c r="F71" s="99">
        <v>5633529.5499999998</v>
      </c>
    </row>
    <row r="72" spans="1:14" ht="20.25" x14ac:dyDescent="0.3">
      <c r="A72" s="4">
        <v>61</v>
      </c>
      <c r="B72" s="3" t="s">
        <v>949</v>
      </c>
      <c r="C72" s="77">
        <v>1755.2</v>
      </c>
      <c r="D72" s="78">
        <v>62</v>
      </c>
      <c r="E72" s="79">
        <v>1</v>
      </c>
      <c r="F72" s="99">
        <v>3982171.62</v>
      </c>
    </row>
    <row r="73" spans="1:14" ht="20.25" x14ac:dyDescent="0.3">
      <c r="A73" s="4">
        <v>62</v>
      </c>
      <c r="B73" s="3" t="s">
        <v>970</v>
      </c>
      <c r="C73" s="77">
        <v>4921.7999999999993</v>
      </c>
      <c r="D73" s="78">
        <v>126</v>
      </c>
      <c r="E73" s="79">
        <v>2</v>
      </c>
      <c r="F73" s="99">
        <v>8110455.3499999996</v>
      </c>
    </row>
    <row r="74" spans="1:14" ht="20.25" x14ac:dyDescent="0.3">
      <c r="A74" s="4">
        <v>63</v>
      </c>
      <c r="B74" s="3" t="s">
        <v>950</v>
      </c>
      <c r="C74" s="77">
        <v>428.4</v>
      </c>
      <c r="D74" s="78">
        <v>20</v>
      </c>
      <c r="E74" s="79">
        <v>1</v>
      </c>
      <c r="F74" s="99">
        <v>1241065.97</v>
      </c>
    </row>
    <row r="75" spans="1:14" ht="20.25" x14ac:dyDescent="0.3">
      <c r="A75" s="4">
        <v>64</v>
      </c>
      <c r="B75" s="3" t="s">
        <v>952</v>
      </c>
      <c r="C75" s="77">
        <v>12546.099999999999</v>
      </c>
      <c r="D75" s="78">
        <v>564</v>
      </c>
      <c r="E75" s="79">
        <v>9</v>
      </c>
      <c r="F75" s="99">
        <v>12361893.85</v>
      </c>
    </row>
    <row r="76" spans="1:14" ht="20.25" x14ac:dyDescent="0.3">
      <c r="A76" s="4">
        <v>65</v>
      </c>
      <c r="B76" s="3" t="s">
        <v>953</v>
      </c>
      <c r="C76" s="77">
        <v>2975.2</v>
      </c>
      <c r="D76" s="78">
        <v>130</v>
      </c>
      <c r="E76" s="79">
        <v>4</v>
      </c>
      <c r="F76" s="99">
        <v>3506290.42</v>
      </c>
    </row>
    <row r="77" spans="1:14" ht="20.25" x14ac:dyDescent="0.3">
      <c r="A77" s="4">
        <v>66</v>
      </c>
      <c r="B77" s="3" t="s">
        <v>978</v>
      </c>
      <c r="C77" s="77">
        <v>1422.8</v>
      </c>
      <c r="D77" s="78">
        <v>64</v>
      </c>
      <c r="E77" s="79">
        <v>2</v>
      </c>
      <c r="F77" s="99">
        <v>736217.99</v>
      </c>
    </row>
    <row r="78" spans="1:14" ht="20.25" x14ac:dyDescent="0.3">
      <c r="A78" s="4">
        <v>67</v>
      </c>
      <c r="B78" s="3" t="s">
        <v>971</v>
      </c>
      <c r="C78" s="77">
        <v>1109.3</v>
      </c>
      <c r="D78" s="78">
        <v>49</v>
      </c>
      <c r="E78" s="79">
        <v>2</v>
      </c>
      <c r="F78" s="99">
        <v>1270143.08</v>
      </c>
    </row>
    <row r="79" spans="1:14" ht="20.25" x14ac:dyDescent="0.3">
      <c r="A79" s="3" t="s">
        <v>760</v>
      </c>
      <c r="B79" s="3"/>
      <c r="C79" s="77">
        <f>SUM(C80:C144)</f>
        <v>828435.12999999966</v>
      </c>
      <c r="D79" s="78">
        <f>SUM(D80:D144)</f>
        <v>32081</v>
      </c>
      <c r="E79" s="79">
        <f>SUM(E80:E144)</f>
        <v>382</v>
      </c>
      <c r="F79" s="77">
        <f>SUM(F80:F144)</f>
        <v>1363886777.0699995</v>
      </c>
      <c r="K79" s="114"/>
      <c r="L79" s="114"/>
      <c r="M79" s="114"/>
      <c r="N79" s="114"/>
    </row>
    <row r="80" spans="1:14" ht="20.25" x14ac:dyDescent="0.3">
      <c r="A80" s="4">
        <v>1</v>
      </c>
      <c r="B80" s="3" t="s">
        <v>991</v>
      </c>
      <c r="C80" s="77">
        <v>261863.27999999988</v>
      </c>
      <c r="D80" s="78">
        <v>10358</v>
      </c>
      <c r="E80" s="79">
        <v>89</v>
      </c>
      <c r="F80" s="99">
        <v>300973468.33999985</v>
      </c>
      <c r="H80" s="6">
        <v>209231.22999999995</v>
      </c>
      <c r="I80" s="6">
        <v>8552</v>
      </c>
      <c r="J80" s="6">
        <v>216853215.43000004</v>
      </c>
    </row>
    <row r="81" spans="1:10" ht="20.25" x14ac:dyDescent="0.3">
      <c r="A81" s="4">
        <v>2</v>
      </c>
      <c r="B81" s="3" t="s">
        <v>898</v>
      </c>
      <c r="C81" s="77">
        <v>46310.21</v>
      </c>
      <c r="D81" s="78">
        <v>1927</v>
      </c>
      <c r="E81" s="79">
        <v>30</v>
      </c>
      <c r="F81" s="99">
        <v>98119026.38000001</v>
      </c>
      <c r="H81" s="6">
        <v>15519.199999999999</v>
      </c>
      <c r="I81" s="6">
        <v>787</v>
      </c>
      <c r="J81" s="6">
        <v>45048314.759999998</v>
      </c>
    </row>
    <row r="82" spans="1:10" ht="20.25" x14ac:dyDescent="0.3">
      <c r="A82" s="4">
        <v>3</v>
      </c>
      <c r="B82" s="3" t="s">
        <v>899</v>
      </c>
      <c r="C82" s="77">
        <v>72545.37000000001</v>
      </c>
      <c r="D82" s="78">
        <v>2673</v>
      </c>
      <c r="E82" s="79">
        <v>39</v>
      </c>
      <c r="F82" s="99">
        <v>138702295.03999999</v>
      </c>
      <c r="H82" s="6">
        <v>55253.150000000009</v>
      </c>
      <c r="I82" s="6">
        <v>2316</v>
      </c>
      <c r="J82" s="6">
        <v>91626897.959999993</v>
      </c>
    </row>
    <row r="83" spans="1:10" ht="20.25" x14ac:dyDescent="0.3">
      <c r="A83" s="4">
        <v>4</v>
      </c>
      <c r="B83" s="3" t="s">
        <v>954</v>
      </c>
      <c r="C83" s="77">
        <v>57948.899999999994</v>
      </c>
      <c r="D83" s="78">
        <v>1563</v>
      </c>
      <c r="E83" s="79">
        <v>18</v>
      </c>
      <c r="F83" s="99">
        <v>88190296.719999999</v>
      </c>
      <c r="H83" s="6">
        <v>26773.05</v>
      </c>
      <c r="I83" s="6">
        <v>869</v>
      </c>
      <c r="J83" s="6">
        <v>44137673.120000005</v>
      </c>
    </row>
    <row r="84" spans="1:10" ht="20.25" x14ac:dyDescent="0.3">
      <c r="A84" s="4">
        <v>5</v>
      </c>
      <c r="B84" s="3" t="s">
        <v>901</v>
      </c>
      <c r="C84" s="77">
        <v>47435.8</v>
      </c>
      <c r="D84" s="78">
        <v>2036</v>
      </c>
      <c r="E84" s="79">
        <v>7</v>
      </c>
      <c r="F84" s="99">
        <v>62970834.239999995</v>
      </c>
      <c r="H84" s="6">
        <v>13712.7</v>
      </c>
      <c r="I84" s="6">
        <v>336</v>
      </c>
      <c r="J84" s="6">
        <v>21856214.650000002</v>
      </c>
    </row>
    <row r="85" spans="1:10" ht="20.25" x14ac:dyDescent="0.3">
      <c r="A85" s="4">
        <v>6</v>
      </c>
      <c r="B85" s="3" t="s">
        <v>902</v>
      </c>
      <c r="C85" s="77">
        <v>53361.36</v>
      </c>
      <c r="D85" s="78">
        <v>2132</v>
      </c>
      <c r="E85" s="79">
        <v>25</v>
      </c>
      <c r="F85" s="99">
        <v>106368136.16000001</v>
      </c>
      <c r="H85" s="6">
        <v>45913.430000000008</v>
      </c>
      <c r="I85" s="6">
        <v>1959</v>
      </c>
      <c r="J85" s="6">
        <v>51679396.32</v>
      </c>
    </row>
    <row r="86" spans="1:10" ht="20.25" x14ac:dyDescent="0.3">
      <c r="A86" s="4">
        <v>7</v>
      </c>
      <c r="B86" s="3" t="s">
        <v>903</v>
      </c>
      <c r="C86" s="77">
        <v>35250.9</v>
      </c>
      <c r="D86" s="78">
        <v>902</v>
      </c>
      <c r="E86" s="79">
        <v>7</v>
      </c>
      <c r="F86" s="99">
        <v>31580337.110000003</v>
      </c>
      <c r="H86" s="6">
        <v>11170.900000000001</v>
      </c>
      <c r="I86" s="6">
        <v>305</v>
      </c>
      <c r="J86" s="6">
        <v>9890638.1399999987</v>
      </c>
    </row>
    <row r="87" spans="1:10" ht="20.25" x14ac:dyDescent="0.3">
      <c r="A87" s="4">
        <v>8</v>
      </c>
      <c r="B87" s="3" t="s">
        <v>904</v>
      </c>
      <c r="C87" s="77">
        <v>6647.5</v>
      </c>
      <c r="D87" s="78">
        <v>274</v>
      </c>
      <c r="E87" s="79">
        <v>7</v>
      </c>
      <c r="F87" s="99">
        <v>19455638.910000004</v>
      </c>
      <c r="H87" s="6">
        <v>4408.6000000000004</v>
      </c>
      <c r="I87" s="6">
        <v>120</v>
      </c>
      <c r="J87" s="6">
        <v>11422752.699999999</v>
      </c>
    </row>
    <row r="88" spans="1:10" ht="20.25" x14ac:dyDescent="0.3">
      <c r="A88" s="4">
        <v>9</v>
      </c>
      <c r="B88" s="3" t="s">
        <v>905</v>
      </c>
      <c r="C88" s="77">
        <v>11803.32</v>
      </c>
      <c r="D88" s="78">
        <v>483</v>
      </c>
      <c r="E88" s="79">
        <v>4</v>
      </c>
      <c r="F88" s="99">
        <v>13606335.93</v>
      </c>
      <c r="H88" s="6">
        <v>8897</v>
      </c>
      <c r="I88" s="6">
        <v>313</v>
      </c>
      <c r="J88" s="6">
        <v>9642280</v>
      </c>
    </row>
    <row r="89" spans="1:10" ht="20.25" x14ac:dyDescent="0.3">
      <c r="A89" s="4">
        <v>10</v>
      </c>
      <c r="B89" s="3" t="s">
        <v>906</v>
      </c>
      <c r="C89" s="77">
        <v>2782.7</v>
      </c>
      <c r="D89" s="78">
        <v>103</v>
      </c>
      <c r="E89" s="79">
        <v>1</v>
      </c>
      <c r="F89" s="99">
        <v>2579501.7000000002</v>
      </c>
      <c r="H89" s="6">
        <v>804.5</v>
      </c>
      <c r="I89" s="6">
        <v>47</v>
      </c>
      <c r="J89" s="6">
        <v>4369866.08</v>
      </c>
    </row>
    <row r="90" spans="1:10" ht="20.25" x14ac:dyDescent="0.3">
      <c r="A90" s="4">
        <v>11</v>
      </c>
      <c r="B90" s="3" t="s">
        <v>908</v>
      </c>
      <c r="C90" s="77">
        <v>1396.4</v>
      </c>
      <c r="D90" s="78">
        <v>54</v>
      </c>
      <c r="E90" s="79">
        <v>3</v>
      </c>
      <c r="F90" s="99">
        <v>3119161.9899999998</v>
      </c>
      <c r="H90" s="6">
        <v>1070.8</v>
      </c>
      <c r="I90" s="6">
        <v>42</v>
      </c>
      <c r="J90" s="6">
        <v>2936950.21</v>
      </c>
    </row>
    <row r="91" spans="1:10" ht="20.25" x14ac:dyDescent="0.3">
      <c r="A91" s="4">
        <v>12</v>
      </c>
      <c r="B91" s="3" t="s">
        <v>955</v>
      </c>
      <c r="C91" s="77">
        <v>618.29999999999995</v>
      </c>
      <c r="D91" s="78">
        <v>24</v>
      </c>
      <c r="E91" s="79">
        <v>1</v>
      </c>
      <c r="F91" s="99">
        <v>3080948</v>
      </c>
      <c r="H91" s="6">
        <v>1426.8</v>
      </c>
      <c r="I91" s="6">
        <v>72</v>
      </c>
      <c r="J91" s="6">
        <v>2773728.46</v>
      </c>
    </row>
    <row r="92" spans="1:10" ht="20.25" x14ac:dyDescent="0.3">
      <c r="A92" s="4">
        <v>13</v>
      </c>
      <c r="B92" s="3" t="s">
        <v>910</v>
      </c>
      <c r="C92" s="77">
        <v>4097</v>
      </c>
      <c r="D92" s="78">
        <v>158</v>
      </c>
      <c r="E92" s="79">
        <v>1</v>
      </c>
      <c r="F92" s="99">
        <v>2008998.15</v>
      </c>
      <c r="H92" s="6">
        <v>456.6</v>
      </c>
      <c r="I92" s="6">
        <v>26</v>
      </c>
      <c r="J92" s="6">
        <v>2158336.3499999996</v>
      </c>
    </row>
    <row r="93" spans="1:10" ht="20.25" x14ac:dyDescent="0.3">
      <c r="A93" s="4">
        <v>14</v>
      </c>
      <c r="B93" s="3" t="s">
        <v>911</v>
      </c>
      <c r="C93" s="77">
        <v>21313.599999999999</v>
      </c>
      <c r="D93" s="78">
        <v>1017</v>
      </c>
      <c r="E93" s="79">
        <v>14</v>
      </c>
      <c r="F93" s="99">
        <v>48634728.759999998</v>
      </c>
      <c r="H93" s="6">
        <v>3374.6</v>
      </c>
      <c r="I93" s="6">
        <v>144</v>
      </c>
      <c r="J93" s="6">
        <v>2000000</v>
      </c>
    </row>
    <row r="94" spans="1:10" ht="20.25" x14ac:dyDescent="0.3">
      <c r="A94" s="4">
        <v>15</v>
      </c>
      <c r="B94" s="3" t="s">
        <v>912</v>
      </c>
      <c r="C94" s="77">
        <v>12858.21</v>
      </c>
      <c r="D94" s="78">
        <v>844</v>
      </c>
      <c r="E94" s="79">
        <v>10</v>
      </c>
      <c r="F94" s="99">
        <v>25570376.100000001</v>
      </c>
      <c r="H94" s="6">
        <v>13638.6</v>
      </c>
      <c r="I94" s="6">
        <v>299</v>
      </c>
      <c r="J94" s="6">
        <v>23342011.919999998</v>
      </c>
    </row>
    <row r="95" spans="1:10" ht="20.25" x14ac:dyDescent="0.3">
      <c r="A95" s="4">
        <v>16</v>
      </c>
      <c r="B95" s="3" t="s">
        <v>1373</v>
      </c>
      <c r="C95" s="77">
        <v>1813.6000000000001</v>
      </c>
      <c r="D95" s="78">
        <v>68</v>
      </c>
      <c r="E95" s="79">
        <v>2</v>
      </c>
      <c r="F95" s="99">
        <v>5788982.2599999998</v>
      </c>
      <c r="H95" s="6">
        <v>5759.0999999999995</v>
      </c>
      <c r="I95" s="6">
        <v>215</v>
      </c>
      <c r="J95" s="6">
        <v>12591900</v>
      </c>
    </row>
    <row r="96" spans="1:10" ht="20.25" x14ac:dyDescent="0.3">
      <c r="A96" s="4">
        <v>17</v>
      </c>
      <c r="B96" s="3" t="s">
        <v>913</v>
      </c>
      <c r="C96" s="77">
        <v>1142</v>
      </c>
      <c r="D96" s="78">
        <v>43</v>
      </c>
      <c r="E96" s="79">
        <v>3</v>
      </c>
      <c r="F96" s="99">
        <v>1900027.6800000002</v>
      </c>
      <c r="H96" s="6">
        <v>396.2</v>
      </c>
      <c r="I96" s="6">
        <v>21</v>
      </c>
      <c r="J96" s="6">
        <v>1724820</v>
      </c>
    </row>
    <row r="97" spans="1:10" ht="20.25" x14ac:dyDescent="0.3">
      <c r="A97" s="4">
        <v>18</v>
      </c>
      <c r="B97" s="3" t="s">
        <v>956</v>
      </c>
      <c r="C97" s="77">
        <v>924.3</v>
      </c>
      <c r="D97" s="78">
        <v>22</v>
      </c>
      <c r="E97" s="79">
        <v>1</v>
      </c>
      <c r="F97" s="99">
        <v>2205555.96</v>
      </c>
      <c r="H97" s="6">
        <v>1011.8</v>
      </c>
      <c r="I97" s="6">
        <v>26</v>
      </c>
      <c r="J97" s="6">
        <v>1739107.3499999999</v>
      </c>
    </row>
    <row r="98" spans="1:10" ht="20.25" x14ac:dyDescent="0.3">
      <c r="A98" s="4">
        <v>19</v>
      </c>
      <c r="B98" s="3" t="s">
        <v>957</v>
      </c>
      <c r="C98" s="77">
        <v>672</v>
      </c>
      <c r="D98" s="78">
        <v>35</v>
      </c>
      <c r="E98" s="79">
        <v>1</v>
      </c>
      <c r="F98" s="99">
        <v>2610900</v>
      </c>
      <c r="H98" s="6">
        <v>594.20000000000005</v>
      </c>
      <c r="I98" s="6">
        <v>23</v>
      </c>
      <c r="J98" s="6">
        <v>3373804.98</v>
      </c>
    </row>
    <row r="99" spans="1:10" ht="20.25" x14ac:dyDescent="0.3">
      <c r="A99" s="4">
        <v>20</v>
      </c>
      <c r="B99" s="3" t="s">
        <v>958</v>
      </c>
      <c r="C99" s="77">
        <v>531.9</v>
      </c>
      <c r="D99" s="78">
        <v>14</v>
      </c>
      <c r="E99" s="79">
        <v>1</v>
      </c>
      <c r="F99" s="99">
        <v>3133080</v>
      </c>
      <c r="H99" s="6">
        <v>906.9</v>
      </c>
      <c r="I99" s="6">
        <v>32</v>
      </c>
      <c r="J99" s="6">
        <v>3916350</v>
      </c>
    </row>
    <row r="100" spans="1:10" ht="20.25" x14ac:dyDescent="0.3">
      <c r="A100" s="4">
        <v>21</v>
      </c>
      <c r="B100" s="3" t="s">
        <v>917</v>
      </c>
      <c r="C100" s="77">
        <v>7845.75</v>
      </c>
      <c r="D100" s="78">
        <v>252</v>
      </c>
      <c r="E100" s="79">
        <v>1</v>
      </c>
      <c r="F100" s="99">
        <v>8458120</v>
      </c>
      <c r="H100" s="6">
        <v>2184</v>
      </c>
      <c r="I100" s="6">
        <v>57</v>
      </c>
      <c r="J100" s="6">
        <v>3516578.96</v>
      </c>
    </row>
    <row r="101" spans="1:10" ht="20.25" x14ac:dyDescent="0.3">
      <c r="A101" s="4">
        <v>22</v>
      </c>
      <c r="B101" s="3" t="s">
        <v>918</v>
      </c>
      <c r="C101" s="77">
        <v>550.20000000000005</v>
      </c>
      <c r="D101" s="78">
        <v>20</v>
      </c>
      <c r="E101" s="79">
        <v>1</v>
      </c>
      <c r="F101" s="99">
        <v>2537436</v>
      </c>
      <c r="H101" s="6">
        <v>1069.5</v>
      </c>
      <c r="I101" s="6">
        <v>39</v>
      </c>
      <c r="J101" s="6">
        <v>3598749.4899999998</v>
      </c>
    </row>
    <row r="102" spans="1:10" ht="20.25" x14ac:dyDescent="0.3">
      <c r="A102" s="4">
        <v>23</v>
      </c>
      <c r="B102" s="3" t="s">
        <v>959</v>
      </c>
      <c r="C102" s="77">
        <v>10202.299999999999</v>
      </c>
      <c r="D102" s="78">
        <v>360</v>
      </c>
      <c r="E102" s="79">
        <v>4</v>
      </c>
      <c r="F102" s="99">
        <v>7263627.54</v>
      </c>
      <c r="H102" s="6">
        <v>630</v>
      </c>
      <c r="I102" s="6">
        <v>32</v>
      </c>
      <c r="J102" s="6">
        <v>3488946.79</v>
      </c>
    </row>
    <row r="103" spans="1:10" ht="20.25" x14ac:dyDescent="0.3">
      <c r="A103" s="4">
        <v>24</v>
      </c>
      <c r="B103" s="3" t="s">
        <v>919</v>
      </c>
      <c r="C103" s="77">
        <v>846.4</v>
      </c>
      <c r="D103" s="78">
        <v>26</v>
      </c>
      <c r="E103" s="79">
        <v>1</v>
      </c>
      <c r="F103" s="99">
        <v>4024889.9</v>
      </c>
      <c r="H103" s="6">
        <v>626.5</v>
      </c>
      <c r="I103" s="6">
        <v>23</v>
      </c>
      <c r="J103" s="6">
        <v>1538879.17</v>
      </c>
    </row>
    <row r="104" spans="1:10" ht="20.25" x14ac:dyDescent="0.3">
      <c r="A104" s="4">
        <v>25</v>
      </c>
      <c r="B104" s="3" t="s">
        <v>921</v>
      </c>
      <c r="C104" s="77">
        <v>17568.899999999998</v>
      </c>
      <c r="D104" s="78">
        <v>700</v>
      </c>
      <c r="E104" s="79">
        <v>11</v>
      </c>
      <c r="F104" s="99">
        <v>40418787.889999993</v>
      </c>
      <c r="H104" s="6">
        <v>20161.96</v>
      </c>
      <c r="I104" s="6">
        <v>621</v>
      </c>
      <c r="J104" s="6">
        <v>28415186.600000001</v>
      </c>
    </row>
    <row r="105" spans="1:10" ht="20.25" x14ac:dyDescent="0.3">
      <c r="A105" s="4">
        <v>26</v>
      </c>
      <c r="B105" s="3" t="s">
        <v>923</v>
      </c>
      <c r="C105" s="77">
        <v>1443.4</v>
      </c>
      <c r="D105" s="78">
        <v>68</v>
      </c>
      <c r="E105" s="79">
        <v>2</v>
      </c>
      <c r="F105" s="99">
        <v>6003691.8100000005</v>
      </c>
      <c r="H105" s="6">
        <v>1573</v>
      </c>
      <c r="I105" s="6">
        <v>68</v>
      </c>
      <c r="J105" s="6">
        <v>5777967.8699999992</v>
      </c>
    </row>
    <row r="106" spans="1:10" ht="20.25" x14ac:dyDescent="0.3">
      <c r="A106" s="4">
        <v>27</v>
      </c>
      <c r="B106" s="3" t="s">
        <v>925</v>
      </c>
      <c r="C106" s="77">
        <v>1854.1999999999998</v>
      </c>
      <c r="D106" s="78">
        <v>87</v>
      </c>
      <c r="E106" s="79">
        <v>3</v>
      </c>
      <c r="F106" s="99">
        <v>6409465.3600000003</v>
      </c>
      <c r="H106" s="6">
        <v>1266.2</v>
      </c>
      <c r="I106" s="6">
        <v>52</v>
      </c>
      <c r="J106" s="6">
        <v>4715781.71</v>
      </c>
    </row>
    <row r="107" spans="1:10" ht="20.25" x14ac:dyDescent="0.3">
      <c r="A107" s="4">
        <v>28</v>
      </c>
      <c r="B107" s="3" t="s">
        <v>924</v>
      </c>
      <c r="C107" s="77">
        <v>889.09999999999991</v>
      </c>
      <c r="D107" s="78">
        <v>44</v>
      </c>
      <c r="E107" s="79">
        <v>2</v>
      </c>
      <c r="F107" s="99">
        <v>5279138.41</v>
      </c>
      <c r="H107" s="6">
        <v>703.5</v>
      </c>
      <c r="I107" s="6">
        <v>36</v>
      </c>
      <c r="J107" s="6">
        <v>2590114.16</v>
      </c>
    </row>
    <row r="108" spans="1:10" ht="20.25" x14ac:dyDescent="0.3">
      <c r="A108" s="4">
        <v>29</v>
      </c>
      <c r="B108" s="3" t="s">
        <v>960</v>
      </c>
      <c r="C108" s="77">
        <v>1323.09</v>
      </c>
      <c r="D108" s="78">
        <v>68</v>
      </c>
      <c r="E108" s="79">
        <v>2</v>
      </c>
      <c r="F108" s="99">
        <v>6703670.5</v>
      </c>
      <c r="H108" s="6">
        <v>1217.2</v>
      </c>
      <c r="I108" s="6">
        <v>47</v>
      </c>
      <c r="J108" s="6">
        <v>1456533.11</v>
      </c>
    </row>
    <row r="109" spans="1:10" ht="20.25" x14ac:dyDescent="0.3">
      <c r="A109" s="4">
        <v>30</v>
      </c>
      <c r="B109" s="3" t="s">
        <v>922</v>
      </c>
      <c r="C109" s="77">
        <v>804.7</v>
      </c>
      <c r="D109" s="78">
        <v>36</v>
      </c>
      <c r="E109" s="79">
        <v>2</v>
      </c>
      <c r="F109" s="99">
        <v>3337479.74</v>
      </c>
      <c r="H109" s="6">
        <v>1774</v>
      </c>
      <c r="I109" s="6">
        <v>80</v>
      </c>
      <c r="J109" s="6">
        <v>10290828.25</v>
      </c>
    </row>
    <row r="110" spans="1:10" ht="20.25" x14ac:dyDescent="0.3">
      <c r="A110" s="4">
        <v>31</v>
      </c>
      <c r="B110" s="3" t="s">
        <v>926</v>
      </c>
      <c r="C110" s="77">
        <v>6122.7</v>
      </c>
      <c r="D110" s="78">
        <v>226</v>
      </c>
      <c r="E110" s="79">
        <v>8</v>
      </c>
      <c r="F110" s="99">
        <v>26148725.280000001</v>
      </c>
      <c r="H110" s="6">
        <v>609</v>
      </c>
      <c r="I110" s="6">
        <v>31</v>
      </c>
      <c r="J110" s="6">
        <v>3013803.8600000003</v>
      </c>
    </row>
    <row r="111" spans="1:10" ht="20.25" x14ac:dyDescent="0.3">
      <c r="A111" s="4">
        <v>32</v>
      </c>
      <c r="B111" s="3" t="s">
        <v>961</v>
      </c>
      <c r="C111" s="77">
        <v>1222.5999999999999</v>
      </c>
      <c r="D111" s="78">
        <v>66</v>
      </c>
      <c r="E111" s="79">
        <v>3</v>
      </c>
      <c r="F111" s="99">
        <v>2987522.79</v>
      </c>
      <c r="H111" s="6">
        <v>616</v>
      </c>
      <c r="I111" s="6">
        <v>21</v>
      </c>
      <c r="J111" s="6">
        <v>2036502</v>
      </c>
    </row>
    <row r="112" spans="1:10" ht="20.25" x14ac:dyDescent="0.3">
      <c r="A112" s="4">
        <v>33</v>
      </c>
      <c r="B112" s="3" t="s">
        <v>962</v>
      </c>
      <c r="C112" s="77">
        <v>654.5</v>
      </c>
      <c r="D112" s="78">
        <v>32</v>
      </c>
      <c r="E112" s="79">
        <v>1</v>
      </c>
      <c r="F112" s="99">
        <v>2568179.12</v>
      </c>
      <c r="H112" s="6">
        <v>772.9</v>
      </c>
      <c r="I112" s="6">
        <v>32</v>
      </c>
      <c r="J112" s="6">
        <v>3592598.4</v>
      </c>
    </row>
    <row r="113" spans="1:15" ht="20.25" x14ac:dyDescent="0.3">
      <c r="A113" s="4">
        <v>34</v>
      </c>
      <c r="B113" s="3" t="s">
        <v>929</v>
      </c>
      <c r="C113" s="77">
        <v>5956.82</v>
      </c>
      <c r="D113" s="78">
        <v>174</v>
      </c>
      <c r="E113" s="79">
        <v>3</v>
      </c>
      <c r="F113" s="99">
        <v>13632425.770000001</v>
      </c>
      <c r="H113" s="6">
        <v>976.3</v>
      </c>
      <c r="I113" s="6">
        <v>36</v>
      </c>
      <c r="J113" s="6">
        <v>4454195.3999999994</v>
      </c>
    </row>
    <row r="114" spans="1:15" ht="20.25" x14ac:dyDescent="0.3">
      <c r="A114" s="4">
        <v>35</v>
      </c>
      <c r="B114" s="3" t="s">
        <v>963</v>
      </c>
      <c r="C114" s="77">
        <v>948.3</v>
      </c>
      <c r="D114" s="78">
        <v>64</v>
      </c>
      <c r="E114" s="79">
        <v>1</v>
      </c>
      <c r="F114" s="99">
        <v>4290230.8800000008</v>
      </c>
      <c r="H114" s="6">
        <v>781.7</v>
      </c>
      <c r="I114" s="6">
        <v>25</v>
      </c>
      <c r="J114" s="6">
        <v>4839701.7600000007</v>
      </c>
    </row>
    <row r="115" spans="1:15" ht="20.25" x14ac:dyDescent="0.3">
      <c r="A115" s="4">
        <v>36</v>
      </c>
      <c r="B115" s="3" t="s">
        <v>930</v>
      </c>
      <c r="C115" s="77">
        <v>779.2</v>
      </c>
      <c r="D115" s="78">
        <v>33</v>
      </c>
      <c r="E115" s="79">
        <v>1</v>
      </c>
      <c r="F115" s="99">
        <v>2903320.8000000003</v>
      </c>
      <c r="H115" s="6">
        <v>792.9</v>
      </c>
      <c r="I115" s="6">
        <v>42</v>
      </c>
      <c r="J115" s="6">
        <v>3231458.3</v>
      </c>
      <c r="K115" s="16"/>
      <c r="L115" s="16"/>
      <c r="M115" s="16"/>
      <c r="N115" s="16"/>
      <c r="O115" s="16"/>
    </row>
    <row r="116" spans="1:15" ht="20.25" x14ac:dyDescent="0.3">
      <c r="A116" s="4">
        <v>37</v>
      </c>
      <c r="B116" s="3" t="s">
        <v>932</v>
      </c>
      <c r="C116" s="77">
        <v>1015.6</v>
      </c>
      <c r="D116" s="78">
        <v>45</v>
      </c>
      <c r="E116" s="79">
        <v>1</v>
      </c>
      <c r="F116" s="99">
        <v>3826397.3000000003</v>
      </c>
      <c r="H116" s="6">
        <v>792.9</v>
      </c>
      <c r="I116" s="6">
        <v>42</v>
      </c>
      <c r="J116" s="6">
        <v>3231458.3</v>
      </c>
    </row>
    <row r="117" spans="1:15" ht="20.25" x14ac:dyDescent="0.3">
      <c r="A117" s="4">
        <v>38</v>
      </c>
      <c r="B117" s="3" t="s">
        <v>938</v>
      </c>
      <c r="C117" s="77">
        <v>23824.84</v>
      </c>
      <c r="D117" s="78">
        <v>837</v>
      </c>
      <c r="E117" s="79">
        <v>4</v>
      </c>
      <c r="F117" s="99">
        <v>25033618.25</v>
      </c>
      <c r="H117" s="6">
        <v>9443</v>
      </c>
      <c r="I117" s="6">
        <v>371</v>
      </c>
      <c r="J117" s="6">
        <v>16849360.93</v>
      </c>
    </row>
    <row r="118" spans="1:15" ht="20.25" x14ac:dyDescent="0.3">
      <c r="A118" s="4">
        <v>39</v>
      </c>
      <c r="B118" s="3" t="s">
        <v>964</v>
      </c>
      <c r="C118" s="77">
        <v>1431.7</v>
      </c>
      <c r="D118" s="78">
        <v>54</v>
      </c>
      <c r="E118" s="79">
        <v>2</v>
      </c>
      <c r="F118" s="99">
        <v>5796065.7599999998</v>
      </c>
      <c r="H118" s="6">
        <v>2168.41</v>
      </c>
      <c r="I118" s="6">
        <v>62</v>
      </c>
      <c r="J118" s="6">
        <v>3799734.79</v>
      </c>
    </row>
    <row r="119" spans="1:15" ht="20.25" x14ac:dyDescent="0.3">
      <c r="A119" s="4">
        <v>40</v>
      </c>
      <c r="B119" s="3" t="s">
        <v>936</v>
      </c>
      <c r="C119" s="77">
        <v>783.2</v>
      </c>
      <c r="D119" s="78">
        <v>21</v>
      </c>
      <c r="E119" s="79">
        <v>1</v>
      </c>
      <c r="F119" s="99">
        <v>3707032</v>
      </c>
      <c r="H119" s="6">
        <v>780.3</v>
      </c>
      <c r="I119" s="6">
        <v>24</v>
      </c>
      <c r="J119" s="6">
        <v>2311215.4500000002</v>
      </c>
    </row>
    <row r="120" spans="1:15" ht="20.25" x14ac:dyDescent="0.3">
      <c r="A120" s="4">
        <v>41</v>
      </c>
      <c r="B120" s="3" t="s">
        <v>933</v>
      </c>
      <c r="C120" s="77">
        <v>13217.54</v>
      </c>
      <c r="D120" s="78">
        <v>505</v>
      </c>
      <c r="E120" s="79">
        <v>5</v>
      </c>
      <c r="F120" s="99">
        <v>25990852.659999996</v>
      </c>
      <c r="H120" s="6">
        <v>540.79999999999995</v>
      </c>
      <c r="I120" s="6">
        <v>15</v>
      </c>
      <c r="J120" s="6">
        <v>3215375.5700000003</v>
      </c>
    </row>
    <row r="121" spans="1:15" ht="20.25" x14ac:dyDescent="0.3">
      <c r="A121" s="4">
        <v>42</v>
      </c>
      <c r="B121" s="3" t="s">
        <v>934</v>
      </c>
      <c r="C121" s="77">
        <v>8831.67</v>
      </c>
      <c r="D121" s="78">
        <v>282</v>
      </c>
      <c r="E121" s="79">
        <v>3</v>
      </c>
      <c r="F121" s="99">
        <v>11675176.630000001</v>
      </c>
      <c r="H121" s="6">
        <v>2550.6999999999998</v>
      </c>
      <c r="I121" s="6">
        <v>119</v>
      </c>
      <c r="J121" s="6">
        <v>10672314.84</v>
      </c>
    </row>
    <row r="122" spans="1:15" ht="20.25" x14ac:dyDescent="0.3">
      <c r="A122" s="4">
        <v>43</v>
      </c>
      <c r="B122" s="3" t="s">
        <v>935</v>
      </c>
      <c r="C122" s="77">
        <v>485.3</v>
      </c>
      <c r="D122" s="78">
        <v>16</v>
      </c>
      <c r="E122" s="79">
        <v>1</v>
      </c>
      <c r="F122" s="99">
        <v>2311215.4500000002</v>
      </c>
      <c r="H122" s="6">
        <v>5727.7</v>
      </c>
      <c r="I122" s="6">
        <v>188</v>
      </c>
      <c r="J122" s="6">
        <v>6053192.4699999997</v>
      </c>
    </row>
    <row r="123" spans="1:15" ht="20.25" x14ac:dyDescent="0.3">
      <c r="A123" s="4">
        <v>44</v>
      </c>
      <c r="B123" s="3" t="s">
        <v>937</v>
      </c>
      <c r="C123" s="77">
        <v>10197.09</v>
      </c>
      <c r="D123" s="78">
        <v>474</v>
      </c>
      <c r="E123" s="79">
        <v>7</v>
      </c>
      <c r="F123" s="99">
        <v>26695520.850000001</v>
      </c>
      <c r="H123" s="6">
        <v>1040.7</v>
      </c>
      <c r="I123" s="6">
        <v>44</v>
      </c>
      <c r="J123" s="6">
        <v>4804056</v>
      </c>
    </row>
    <row r="124" spans="1:15" ht="20.25" x14ac:dyDescent="0.3">
      <c r="A124" s="4">
        <v>45</v>
      </c>
      <c r="B124" s="3" t="s">
        <v>939</v>
      </c>
      <c r="C124" s="77">
        <v>4675.3</v>
      </c>
      <c r="D124" s="78">
        <v>143</v>
      </c>
      <c r="E124" s="79">
        <v>3</v>
      </c>
      <c r="F124" s="99">
        <v>8165392.25</v>
      </c>
      <c r="H124" s="6">
        <v>3554.5</v>
      </c>
      <c r="I124" s="6">
        <v>145</v>
      </c>
      <c r="J124" s="6">
        <v>7284801.9000000004</v>
      </c>
    </row>
    <row r="125" spans="1:15" ht="20.25" x14ac:dyDescent="0.3">
      <c r="A125" s="4">
        <v>46</v>
      </c>
      <c r="B125" s="3" t="s">
        <v>1370</v>
      </c>
      <c r="C125" s="77">
        <v>953.9</v>
      </c>
      <c r="D125" s="78">
        <v>28</v>
      </c>
      <c r="E125" s="79">
        <v>1</v>
      </c>
      <c r="F125" s="99">
        <v>4934808.43</v>
      </c>
      <c r="H125" s="6">
        <v>2640.94</v>
      </c>
      <c r="I125" s="6">
        <v>88</v>
      </c>
      <c r="J125" s="6">
        <v>4011881.02</v>
      </c>
    </row>
    <row r="126" spans="1:15" ht="20.25" x14ac:dyDescent="0.3">
      <c r="A126" s="4">
        <v>47</v>
      </c>
      <c r="B126" s="3" t="s">
        <v>965</v>
      </c>
      <c r="C126" s="77">
        <v>1991.7200000000003</v>
      </c>
      <c r="D126" s="78">
        <v>99</v>
      </c>
      <c r="E126" s="79">
        <v>2</v>
      </c>
      <c r="F126" s="99">
        <v>7040608.0200000005</v>
      </c>
      <c r="H126" s="6">
        <v>4173.7</v>
      </c>
      <c r="I126" s="6">
        <v>171</v>
      </c>
      <c r="J126" s="6">
        <v>6026117.5699999994</v>
      </c>
    </row>
    <row r="127" spans="1:15" ht="20.25" x14ac:dyDescent="0.3">
      <c r="A127" s="4">
        <v>48</v>
      </c>
      <c r="B127" s="3" t="s">
        <v>966</v>
      </c>
      <c r="C127" s="77">
        <v>938.37</v>
      </c>
      <c r="D127" s="78">
        <v>47</v>
      </c>
      <c r="E127" s="79">
        <v>1</v>
      </c>
      <c r="F127" s="99">
        <v>3974620.0799999996</v>
      </c>
      <c r="H127" s="6">
        <v>8514.9</v>
      </c>
      <c r="I127" s="6">
        <v>327</v>
      </c>
      <c r="J127" s="6">
        <v>12459674.15</v>
      </c>
    </row>
    <row r="128" spans="1:15" ht="20.25" x14ac:dyDescent="0.3">
      <c r="A128" s="4">
        <v>49</v>
      </c>
      <c r="B128" s="3" t="s">
        <v>941</v>
      </c>
      <c r="C128" s="77">
        <v>1367.9</v>
      </c>
      <c r="D128" s="78">
        <v>78</v>
      </c>
      <c r="E128" s="79">
        <v>1</v>
      </c>
      <c r="F128" s="99">
        <v>2957808</v>
      </c>
      <c r="H128" s="6">
        <v>14680.3</v>
      </c>
      <c r="I128" s="6">
        <v>685</v>
      </c>
      <c r="J128" s="6">
        <v>13993215.270000001</v>
      </c>
    </row>
    <row r="129" spans="1:10" ht="20.25" x14ac:dyDescent="0.3">
      <c r="A129" s="4">
        <v>50</v>
      </c>
      <c r="B129" s="3" t="s">
        <v>977</v>
      </c>
      <c r="C129" s="77">
        <v>676.3</v>
      </c>
      <c r="D129" s="78">
        <v>32</v>
      </c>
      <c r="E129" s="79">
        <v>1</v>
      </c>
      <c r="F129" s="99">
        <v>2594808.33</v>
      </c>
      <c r="H129" s="6">
        <v>4947</v>
      </c>
      <c r="I129" s="6">
        <v>164</v>
      </c>
      <c r="J129" s="6">
        <v>9221698.8000000007</v>
      </c>
    </row>
    <row r="130" spans="1:10" ht="20.25" x14ac:dyDescent="0.3">
      <c r="A130" s="4">
        <v>51</v>
      </c>
      <c r="B130" s="3" t="s">
        <v>942</v>
      </c>
      <c r="C130" s="77">
        <v>4397.6899999999996</v>
      </c>
      <c r="D130" s="78">
        <v>167</v>
      </c>
      <c r="E130" s="79">
        <v>3</v>
      </c>
      <c r="F130" s="99">
        <v>11852193.1</v>
      </c>
      <c r="H130" s="6">
        <v>726</v>
      </c>
      <c r="I130" s="6">
        <v>28</v>
      </c>
      <c r="J130" s="6">
        <v>3623929.1999999997</v>
      </c>
    </row>
    <row r="131" spans="1:10" ht="20.25" x14ac:dyDescent="0.3">
      <c r="A131" s="4">
        <v>52</v>
      </c>
      <c r="B131" s="3" t="s">
        <v>967</v>
      </c>
      <c r="C131" s="77">
        <v>8018.76</v>
      </c>
      <c r="D131" s="78">
        <v>440</v>
      </c>
      <c r="E131" s="79">
        <v>5</v>
      </c>
      <c r="F131" s="99">
        <v>17164297.239999998</v>
      </c>
      <c r="H131" s="6">
        <v>675.9</v>
      </c>
      <c r="I131" s="6">
        <v>32</v>
      </c>
      <c r="J131" s="6">
        <v>3080862</v>
      </c>
    </row>
    <row r="132" spans="1:10" ht="20.25" x14ac:dyDescent="0.3">
      <c r="A132" s="4">
        <v>53</v>
      </c>
      <c r="B132" s="3" t="s">
        <v>943</v>
      </c>
      <c r="C132" s="77">
        <v>21863.88</v>
      </c>
      <c r="D132" s="78">
        <v>871</v>
      </c>
      <c r="E132" s="79">
        <v>5</v>
      </c>
      <c r="F132" s="99">
        <v>28025089.940000001</v>
      </c>
      <c r="H132" s="6">
        <v>611.5</v>
      </c>
      <c r="I132" s="6">
        <v>28</v>
      </c>
      <c r="J132" s="6">
        <v>2610892.59</v>
      </c>
    </row>
    <row r="133" spans="1:10" ht="20.25" x14ac:dyDescent="0.3">
      <c r="A133" s="4">
        <v>54</v>
      </c>
      <c r="B133" s="3" t="s">
        <v>944</v>
      </c>
      <c r="C133" s="77">
        <v>4721.28</v>
      </c>
      <c r="D133" s="78">
        <v>152</v>
      </c>
      <c r="E133" s="79">
        <v>3</v>
      </c>
      <c r="F133" s="99">
        <v>14805803.309999999</v>
      </c>
      <c r="H133" s="6">
        <v>789</v>
      </c>
      <c r="I133" s="6">
        <v>64</v>
      </c>
      <c r="J133" s="6">
        <v>3026194.08</v>
      </c>
    </row>
    <row r="134" spans="1:10" ht="20.25" x14ac:dyDescent="0.3">
      <c r="A134" s="4">
        <v>55</v>
      </c>
      <c r="B134" s="3" t="s">
        <v>946</v>
      </c>
      <c r="C134" s="77">
        <v>708.1</v>
      </c>
      <c r="D134" s="78">
        <v>42</v>
      </c>
      <c r="E134" s="79">
        <v>1</v>
      </c>
      <c r="F134" s="99">
        <v>3019912.79</v>
      </c>
      <c r="H134" s="6">
        <v>351</v>
      </c>
      <c r="I134" s="6">
        <v>18</v>
      </c>
      <c r="J134" s="6">
        <v>3600600</v>
      </c>
    </row>
    <row r="135" spans="1:10" ht="20.25" x14ac:dyDescent="0.3">
      <c r="A135" s="4">
        <v>56</v>
      </c>
      <c r="B135" s="3" t="s">
        <v>968</v>
      </c>
      <c r="C135" s="77">
        <v>788.3</v>
      </c>
      <c r="D135" s="78">
        <v>16</v>
      </c>
      <c r="E135" s="79">
        <v>1</v>
      </c>
      <c r="F135" s="99">
        <v>3567977.1799999997</v>
      </c>
      <c r="H135" s="6">
        <v>351</v>
      </c>
      <c r="I135" s="6">
        <v>18</v>
      </c>
      <c r="J135" s="6">
        <v>3600600</v>
      </c>
    </row>
    <row r="136" spans="1:10" ht="20.25" x14ac:dyDescent="0.3">
      <c r="A136" s="4">
        <v>57</v>
      </c>
      <c r="B136" s="3" t="s">
        <v>947</v>
      </c>
      <c r="C136" s="77">
        <v>758.5</v>
      </c>
      <c r="D136" s="78">
        <v>31</v>
      </c>
      <c r="E136" s="79">
        <v>1</v>
      </c>
      <c r="F136" s="99">
        <v>877727.45000000007</v>
      </c>
      <c r="H136" s="6">
        <v>626</v>
      </c>
      <c r="I136" s="6">
        <v>23</v>
      </c>
      <c r="J136" s="6">
        <v>1917600</v>
      </c>
    </row>
    <row r="137" spans="1:10" ht="20.25" x14ac:dyDescent="0.3">
      <c r="A137" s="4">
        <v>58</v>
      </c>
      <c r="B137" s="3" t="s">
        <v>969</v>
      </c>
      <c r="C137" s="77">
        <v>707.1</v>
      </c>
      <c r="D137" s="78">
        <v>16</v>
      </c>
      <c r="E137" s="79">
        <v>1</v>
      </c>
      <c r="F137" s="99">
        <v>3108475.73</v>
      </c>
    </row>
    <row r="138" spans="1:10" ht="20.25" x14ac:dyDescent="0.3">
      <c r="A138" s="4">
        <v>59</v>
      </c>
      <c r="B138" s="3" t="s">
        <v>948</v>
      </c>
      <c r="C138" s="77">
        <v>3679.7</v>
      </c>
      <c r="D138" s="78">
        <v>153</v>
      </c>
      <c r="E138" s="79">
        <v>5</v>
      </c>
      <c r="F138" s="99">
        <v>10106938.780000001</v>
      </c>
    </row>
    <row r="139" spans="1:10" ht="20.25" x14ac:dyDescent="0.3">
      <c r="A139" s="4">
        <v>60</v>
      </c>
      <c r="B139" s="3" t="s">
        <v>970</v>
      </c>
      <c r="C139" s="77">
        <v>834.7</v>
      </c>
      <c r="D139" s="78">
        <v>56</v>
      </c>
      <c r="E139" s="79">
        <v>1</v>
      </c>
      <c r="F139" s="99">
        <v>4758057.87</v>
      </c>
    </row>
    <row r="140" spans="1:10" ht="20.25" x14ac:dyDescent="0.3">
      <c r="A140" s="4">
        <v>61</v>
      </c>
      <c r="B140" s="3" t="s">
        <v>950</v>
      </c>
      <c r="C140" s="77">
        <v>350.9</v>
      </c>
      <c r="D140" s="78">
        <v>18</v>
      </c>
      <c r="E140" s="79">
        <v>1</v>
      </c>
      <c r="F140" s="99">
        <v>1403643.06</v>
      </c>
    </row>
    <row r="141" spans="1:10" ht="20.25" x14ac:dyDescent="0.3">
      <c r="A141" s="4">
        <v>62</v>
      </c>
      <c r="B141" s="3" t="s">
        <v>952</v>
      </c>
      <c r="C141" s="77">
        <v>6896.38</v>
      </c>
      <c r="D141" s="78">
        <v>316</v>
      </c>
      <c r="E141" s="79">
        <v>6</v>
      </c>
      <c r="F141" s="99">
        <v>15229676.24</v>
      </c>
    </row>
    <row r="142" spans="1:10" ht="20.25" x14ac:dyDescent="0.3">
      <c r="A142" s="4">
        <v>63</v>
      </c>
      <c r="B142" s="3" t="s">
        <v>953</v>
      </c>
      <c r="C142" s="77">
        <v>2986.5999999999995</v>
      </c>
      <c r="D142" s="78">
        <v>122</v>
      </c>
      <c r="E142" s="79">
        <v>4</v>
      </c>
      <c r="F142" s="99">
        <v>8045705.7599999988</v>
      </c>
    </row>
    <row r="143" spans="1:10" ht="20.25" x14ac:dyDescent="0.3">
      <c r="A143" s="4">
        <v>64</v>
      </c>
      <c r="B143" s="3" t="s">
        <v>971</v>
      </c>
      <c r="C143" s="77">
        <v>791.9</v>
      </c>
      <c r="D143" s="78">
        <v>27</v>
      </c>
      <c r="E143" s="79">
        <v>1</v>
      </c>
      <c r="F143" s="99">
        <v>3415978.9200000004</v>
      </c>
    </row>
    <row r="144" spans="1:10" ht="20.25" x14ac:dyDescent="0.3">
      <c r="A144" s="4">
        <v>65</v>
      </c>
      <c r="B144" s="3" t="s">
        <v>978</v>
      </c>
      <c r="C144" s="77">
        <v>212.1</v>
      </c>
      <c r="D144" s="78">
        <v>7</v>
      </c>
      <c r="E144" s="79">
        <v>1</v>
      </c>
      <c r="F144" s="99">
        <v>236034.47</v>
      </c>
    </row>
    <row r="145" spans="1:10" ht="20.25" x14ac:dyDescent="0.3">
      <c r="A145" s="3" t="s">
        <v>761</v>
      </c>
      <c r="B145" s="12"/>
      <c r="C145" s="77">
        <f>SUM(C146:C203)</f>
        <v>539373.54</v>
      </c>
      <c r="D145" s="78">
        <f>SUM(D146:D203)</f>
        <v>20582</v>
      </c>
      <c r="E145" s="78">
        <f>SUM(E146:E203)</f>
        <v>217</v>
      </c>
      <c r="F145" s="77">
        <f>SUM(F146:F203)</f>
        <v>814479561.79999995</v>
      </c>
      <c r="H145" s="6">
        <v>715.9</v>
      </c>
      <c r="I145" s="6">
        <v>16</v>
      </c>
      <c r="J145" s="6">
        <v>3396600</v>
      </c>
    </row>
    <row r="146" spans="1:10" ht="20.25" x14ac:dyDescent="0.3">
      <c r="A146" s="4">
        <v>1</v>
      </c>
      <c r="B146" s="3" t="s">
        <v>991</v>
      </c>
      <c r="C146" s="77">
        <v>231782.3</v>
      </c>
      <c r="D146" s="78">
        <v>8634</v>
      </c>
      <c r="E146" s="226">
        <v>62</v>
      </c>
      <c r="F146" s="99">
        <v>250058047.12</v>
      </c>
      <c r="H146" s="6">
        <v>209231.22999999995</v>
      </c>
      <c r="I146" s="6">
        <v>8552</v>
      </c>
      <c r="J146" s="6">
        <v>216853215.43000004</v>
      </c>
    </row>
    <row r="147" spans="1:10" ht="20.25" x14ac:dyDescent="0.3">
      <c r="A147" s="4">
        <v>2</v>
      </c>
      <c r="B147" s="3" t="s">
        <v>898</v>
      </c>
      <c r="C147" s="77">
        <v>14992.5</v>
      </c>
      <c r="D147" s="78">
        <v>773</v>
      </c>
      <c r="E147" s="79">
        <v>14</v>
      </c>
      <c r="F147" s="99">
        <v>44764760.649999999</v>
      </c>
      <c r="H147" s="6">
        <v>15519.199999999999</v>
      </c>
      <c r="I147" s="6">
        <v>787</v>
      </c>
      <c r="J147" s="6">
        <v>45048314.759999998</v>
      </c>
    </row>
    <row r="148" spans="1:10" ht="20.25" x14ac:dyDescent="0.3">
      <c r="A148" s="4">
        <v>3</v>
      </c>
      <c r="B148" s="3" t="s">
        <v>899</v>
      </c>
      <c r="C148" s="77">
        <v>49658.150000000009</v>
      </c>
      <c r="D148" s="78">
        <v>2164</v>
      </c>
      <c r="E148" s="79">
        <v>26</v>
      </c>
      <c r="F148" s="99">
        <v>90625537.659999982</v>
      </c>
      <c r="H148" s="6">
        <v>55253.150000000009</v>
      </c>
      <c r="I148" s="6">
        <v>2316</v>
      </c>
      <c r="J148" s="6">
        <v>91626897.959999993</v>
      </c>
    </row>
    <row r="149" spans="1:10" ht="20.25" x14ac:dyDescent="0.3">
      <c r="A149" s="4">
        <v>4</v>
      </c>
      <c r="B149" s="102" t="s">
        <v>900</v>
      </c>
      <c r="C149" s="77">
        <v>28818.510000000002</v>
      </c>
      <c r="D149" s="78">
        <v>844</v>
      </c>
      <c r="E149" s="79">
        <v>11</v>
      </c>
      <c r="F149" s="99">
        <v>46331140.729999997</v>
      </c>
      <c r="H149" s="6">
        <v>26773.05</v>
      </c>
      <c r="I149" s="6">
        <v>869</v>
      </c>
      <c r="J149" s="6">
        <v>44137673.120000005</v>
      </c>
    </row>
    <row r="150" spans="1:10" ht="20.25" x14ac:dyDescent="0.3">
      <c r="A150" s="4">
        <v>5</v>
      </c>
      <c r="B150" s="3" t="s">
        <v>901</v>
      </c>
      <c r="C150" s="77">
        <v>13712.699999999999</v>
      </c>
      <c r="D150" s="78">
        <v>547</v>
      </c>
      <c r="E150" s="79">
        <v>2</v>
      </c>
      <c r="F150" s="99">
        <v>21856214.649999999</v>
      </c>
      <c r="H150" s="6">
        <v>13712.7</v>
      </c>
      <c r="I150" s="6">
        <v>336</v>
      </c>
      <c r="J150" s="6">
        <v>21856214.650000002</v>
      </c>
    </row>
    <row r="151" spans="1:10" ht="20.25" x14ac:dyDescent="0.3">
      <c r="A151" s="4">
        <v>6</v>
      </c>
      <c r="B151" s="3" t="s">
        <v>902</v>
      </c>
      <c r="C151" s="77">
        <v>44403.5</v>
      </c>
      <c r="D151" s="78">
        <v>1743</v>
      </c>
      <c r="E151" s="79">
        <v>8</v>
      </c>
      <c r="F151" s="99">
        <v>51599396.32</v>
      </c>
      <c r="H151" s="6">
        <v>45913.430000000008</v>
      </c>
      <c r="I151" s="6">
        <v>1959</v>
      </c>
      <c r="J151" s="6">
        <v>51679396.32</v>
      </c>
    </row>
    <row r="152" spans="1:10" ht="20.25" x14ac:dyDescent="0.3">
      <c r="A152" s="4">
        <v>7</v>
      </c>
      <c r="B152" s="3" t="s">
        <v>903</v>
      </c>
      <c r="C152" s="77">
        <v>6151.9</v>
      </c>
      <c r="D152" s="78">
        <v>158</v>
      </c>
      <c r="E152" s="79">
        <v>2</v>
      </c>
      <c r="F152" s="99">
        <v>5663822.2999999998</v>
      </c>
      <c r="H152" s="6">
        <v>11170.900000000001</v>
      </c>
      <c r="I152" s="6">
        <v>305</v>
      </c>
      <c r="J152" s="6">
        <v>9890638.1399999987</v>
      </c>
    </row>
    <row r="153" spans="1:10" ht="20.25" x14ac:dyDescent="0.3">
      <c r="A153" s="4">
        <v>8</v>
      </c>
      <c r="B153" s="3" t="s">
        <v>904</v>
      </c>
      <c r="C153" s="77">
        <v>11575.699999999999</v>
      </c>
      <c r="D153" s="78">
        <v>348</v>
      </c>
      <c r="E153" s="79">
        <v>3</v>
      </c>
      <c r="F153" s="99">
        <v>9644472.4000000004</v>
      </c>
      <c r="H153" s="6">
        <v>4408.6000000000004</v>
      </c>
      <c r="I153" s="6">
        <v>120</v>
      </c>
      <c r="J153" s="6">
        <v>11422752.699999999</v>
      </c>
    </row>
    <row r="154" spans="1:10" ht="20.25" x14ac:dyDescent="0.3">
      <c r="A154" s="4">
        <v>9</v>
      </c>
      <c r="B154" s="3" t="s">
        <v>905</v>
      </c>
      <c r="C154" s="77">
        <v>6442.65</v>
      </c>
      <c r="D154" s="78">
        <v>188</v>
      </c>
      <c r="E154" s="79">
        <v>2</v>
      </c>
      <c r="F154" s="99">
        <v>8756823</v>
      </c>
      <c r="H154" s="6">
        <v>8897</v>
      </c>
      <c r="I154" s="6">
        <v>313</v>
      </c>
      <c r="J154" s="6">
        <v>9642280</v>
      </c>
    </row>
    <row r="155" spans="1:10" ht="20.25" x14ac:dyDescent="0.3">
      <c r="A155" s="4">
        <v>10</v>
      </c>
      <c r="B155" s="3" t="s">
        <v>906</v>
      </c>
      <c r="C155" s="77">
        <v>1801.1</v>
      </c>
      <c r="D155" s="78">
        <v>87</v>
      </c>
      <c r="E155" s="79">
        <v>1</v>
      </c>
      <c r="F155" s="99">
        <v>4369866.08</v>
      </c>
      <c r="H155" s="6">
        <v>804.5</v>
      </c>
      <c r="I155" s="6">
        <v>47</v>
      </c>
      <c r="J155" s="6">
        <v>4369866.08</v>
      </c>
    </row>
    <row r="156" spans="1:10" ht="20.25" x14ac:dyDescent="0.3">
      <c r="A156" s="4">
        <v>11</v>
      </c>
      <c r="B156" s="3" t="s">
        <v>907</v>
      </c>
      <c r="C156" s="77">
        <v>1070.8</v>
      </c>
      <c r="D156" s="78">
        <v>57</v>
      </c>
      <c r="E156" s="79">
        <v>1</v>
      </c>
      <c r="F156" s="99">
        <v>2936950.21</v>
      </c>
      <c r="H156" s="6">
        <v>1070.8</v>
      </c>
      <c r="I156" s="6">
        <v>42</v>
      </c>
      <c r="J156" s="6">
        <v>2936950.21</v>
      </c>
    </row>
    <row r="157" spans="1:10" ht="20.25" x14ac:dyDescent="0.3">
      <c r="A157" s="4">
        <v>12</v>
      </c>
      <c r="B157" s="3" t="s">
        <v>908</v>
      </c>
      <c r="C157" s="77">
        <v>1547.1</v>
      </c>
      <c r="D157" s="78">
        <v>72</v>
      </c>
      <c r="E157" s="79">
        <v>2</v>
      </c>
      <c r="F157" s="99">
        <v>2773728.46</v>
      </c>
      <c r="H157" s="6">
        <v>1426.8</v>
      </c>
      <c r="I157" s="6">
        <v>72</v>
      </c>
      <c r="J157" s="6">
        <v>2773728.46</v>
      </c>
    </row>
    <row r="158" spans="1:10" ht="20.25" x14ac:dyDescent="0.3">
      <c r="A158" s="4">
        <v>13</v>
      </c>
      <c r="B158" s="3" t="s">
        <v>909</v>
      </c>
      <c r="C158" s="77">
        <v>520.79999999999995</v>
      </c>
      <c r="D158" s="78">
        <v>32</v>
      </c>
      <c r="E158" s="79">
        <v>1</v>
      </c>
      <c r="F158" s="99">
        <v>2158336.3499999996</v>
      </c>
      <c r="H158" s="6">
        <v>456.6</v>
      </c>
      <c r="I158" s="6">
        <v>26</v>
      </c>
      <c r="J158" s="6">
        <v>2158336.3499999996</v>
      </c>
    </row>
    <row r="159" spans="1:10" ht="20.25" x14ac:dyDescent="0.3">
      <c r="A159" s="4">
        <v>14</v>
      </c>
      <c r="B159" s="3" t="s">
        <v>910</v>
      </c>
      <c r="C159" s="77">
        <v>3156.2</v>
      </c>
      <c r="D159" s="78">
        <v>151</v>
      </c>
      <c r="E159" s="79">
        <v>1</v>
      </c>
      <c r="F159" s="99">
        <v>2000000</v>
      </c>
      <c r="H159" s="6">
        <v>3374.6</v>
      </c>
      <c r="I159" s="6">
        <v>144</v>
      </c>
      <c r="J159" s="6">
        <v>2000000</v>
      </c>
    </row>
    <row r="160" spans="1:10" ht="20.25" x14ac:dyDescent="0.3">
      <c r="A160" s="4">
        <v>15</v>
      </c>
      <c r="B160" s="3" t="s">
        <v>911</v>
      </c>
      <c r="C160" s="77">
        <v>11293.6</v>
      </c>
      <c r="D160" s="78">
        <v>522</v>
      </c>
      <c r="E160" s="79">
        <v>6</v>
      </c>
      <c r="F160" s="99">
        <v>19139362.629999999</v>
      </c>
      <c r="H160" s="6">
        <v>13638.6</v>
      </c>
      <c r="I160" s="6">
        <v>299</v>
      </c>
      <c r="J160" s="6">
        <v>23342011.919999998</v>
      </c>
    </row>
    <row r="161" spans="1:10" ht="20.25" x14ac:dyDescent="0.3">
      <c r="A161" s="4">
        <v>16</v>
      </c>
      <c r="B161" s="3" t="s">
        <v>912</v>
      </c>
      <c r="C161" s="77">
        <v>6105.4</v>
      </c>
      <c r="D161" s="78">
        <v>226</v>
      </c>
      <c r="E161" s="79">
        <v>3</v>
      </c>
      <c r="F161" s="99">
        <v>13813074.67</v>
      </c>
      <c r="H161" s="6">
        <v>5759.0999999999995</v>
      </c>
      <c r="I161" s="6">
        <v>215</v>
      </c>
      <c r="J161" s="6">
        <v>12591900</v>
      </c>
    </row>
    <row r="162" spans="1:10" ht="20.25" x14ac:dyDescent="0.3">
      <c r="A162" s="4">
        <v>17</v>
      </c>
      <c r="B162" s="3" t="s">
        <v>913</v>
      </c>
      <c r="C162" s="77">
        <v>396.2</v>
      </c>
      <c r="D162" s="78">
        <v>20</v>
      </c>
      <c r="E162" s="79">
        <v>1</v>
      </c>
      <c r="F162" s="99">
        <v>1724820</v>
      </c>
      <c r="H162" s="6">
        <v>396.2</v>
      </c>
      <c r="I162" s="6">
        <v>21</v>
      </c>
      <c r="J162" s="6">
        <v>1724820</v>
      </c>
    </row>
    <row r="163" spans="1:10" ht="20.25" x14ac:dyDescent="0.3">
      <c r="A163" s="4">
        <v>18</v>
      </c>
      <c r="B163" s="3" t="s">
        <v>914</v>
      </c>
      <c r="C163" s="77">
        <v>1011.8</v>
      </c>
      <c r="D163" s="78">
        <v>36</v>
      </c>
      <c r="E163" s="79">
        <v>1</v>
      </c>
      <c r="F163" s="99">
        <v>1739107.3499999999</v>
      </c>
      <c r="H163" s="6">
        <v>1011.8</v>
      </c>
      <c r="I163" s="6">
        <v>26</v>
      </c>
      <c r="J163" s="6">
        <v>1739107.3499999999</v>
      </c>
    </row>
    <row r="164" spans="1:10" ht="20.25" x14ac:dyDescent="0.3">
      <c r="A164" s="4">
        <v>19</v>
      </c>
      <c r="B164" s="3" t="s">
        <v>915</v>
      </c>
      <c r="C164" s="77">
        <v>594.20000000000005</v>
      </c>
      <c r="D164" s="78">
        <v>21</v>
      </c>
      <c r="E164" s="79">
        <v>1</v>
      </c>
      <c r="F164" s="99">
        <v>3373804.98</v>
      </c>
      <c r="H164" s="6">
        <v>594.20000000000005</v>
      </c>
      <c r="I164" s="6">
        <v>23</v>
      </c>
      <c r="J164" s="6">
        <v>3373804.98</v>
      </c>
    </row>
    <row r="165" spans="1:10" ht="20.25" x14ac:dyDescent="0.3">
      <c r="A165" s="4">
        <v>20</v>
      </c>
      <c r="B165" s="3" t="s">
        <v>916</v>
      </c>
      <c r="C165" s="77">
        <v>1532.1</v>
      </c>
      <c r="D165" s="78">
        <v>39</v>
      </c>
      <c r="E165" s="79">
        <v>2</v>
      </c>
      <c r="F165" s="99">
        <v>3916350</v>
      </c>
      <c r="H165" s="6">
        <v>906.9</v>
      </c>
      <c r="I165" s="6">
        <v>32</v>
      </c>
      <c r="J165" s="6">
        <v>3916350</v>
      </c>
    </row>
    <row r="166" spans="1:10" ht="20.25" x14ac:dyDescent="0.3">
      <c r="A166" s="4">
        <v>21</v>
      </c>
      <c r="B166" s="3" t="s">
        <v>917</v>
      </c>
      <c r="C166" s="77">
        <v>2184</v>
      </c>
      <c r="D166" s="78">
        <v>61</v>
      </c>
      <c r="E166" s="79">
        <v>2</v>
      </c>
      <c r="F166" s="99">
        <v>3516578.96</v>
      </c>
      <c r="H166" s="6">
        <v>2184</v>
      </c>
      <c r="I166" s="6">
        <v>57</v>
      </c>
      <c r="J166" s="6">
        <v>3516578.96</v>
      </c>
    </row>
    <row r="167" spans="1:10" ht="20.25" x14ac:dyDescent="0.3">
      <c r="A167" s="4">
        <v>22</v>
      </c>
      <c r="B167" s="3" t="s">
        <v>918</v>
      </c>
      <c r="C167" s="77">
        <v>1069.5</v>
      </c>
      <c r="D167" s="78">
        <v>34</v>
      </c>
      <c r="E167" s="79">
        <v>1</v>
      </c>
      <c r="F167" s="99">
        <v>3598749.4899999998</v>
      </c>
      <c r="H167" s="6">
        <v>1069.5</v>
      </c>
      <c r="I167" s="6">
        <v>39</v>
      </c>
      <c r="J167" s="6">
        <v>3598749.4899999998</v>
      </c>
    </row>
    <row r="168" spans="1:10" ht="20.25" x14ac:dyDescent="0.3">
      <c r="A168" s="4">
        <v>23</v>
      </c>
      <c r="B168" s="3" t="s">
        <v>919</v>
      </c>
      <c r="C168" s="77">
        <v>667.4</v>
      </c>
      <c r="D168" s="78">
        <v>32</v>
      </c>
      <c r="E168" s="79">
        <v>1</v>
      </c>
      <c r="F168" s="99">
        <v>1925593.0499999998</v>
      </c>
      <c r="H168" s="6">
        <v>630</v>
      </c>
      <c r="I168" s="6">
        <v>32</v>
      </c>
      <c r="J168" s="6">
        <v>3488946.79</v>
      </c>
    </row>
    <row r="169" spans="1:10" ht="20.25" x14ac:dyDescent="0.3">
      <c r="A169" s="4">
        <v>24</v>
      </c>
      <c r="B169" s="3" t="s">
        <v>920</v>
      </c>
      <c r="C169" s="77">
        <v>569.20000000000005</v>
      </c>
      <c r="D169" s="78">
        <v>29</v>
      </c>
      <c r="E169" s="79">
        <v>1</v>
      </c>
      <c r="F169" s="99">
        <v>1538879.17</v>
      </c>
      <c r="H169" s="6">
        <v>626.5</v>
      </c>
      <c r="I169" s="6">
        <v>23</v>
      </c>
      <c r="J169" s="6">
        <v>1538879.17</v>
      </c>
    </row>
    <row r="170" spans="1:10" ht="20.25" x14ac:dyDescent="0.3">
      <c r="A170" s="4">
        <v>25</v>
      </c>
      <c r="B170" s="3" t="s">
        <v>921</v>
      </c>
      <c r="C170" s="77">
        <v>14681.960000000001</v>
      </c>
      <c r="D170" s="78">
        <v>474</v>
      </c>
      <c r="E170" s="79">
        <v>6</v>
      </c>
      <c r="F170" s="99">
        <v>29368928.999999996</v>
      </c>
      <c r="H170" s="6">
        <v>20161.96</v>
      </c>
      <c r="I170" s="6">
        <v>621</v>
      </c>
      <c r="J170" s="6">
        <v>28415186.600000001</v>
      </c>
    </row>
    <row r="171" spans="1:10" ht="20.25" x14ac:dyDescent="0.3">
      <c r="A171" s="4">
        <v>26</v>
      </c>
      <c r="B171" s="3" t="s">
        <v>922</v>
      </c>
      <c r="C171" s="77">
        <v>1573</v>
      </c>
      <c r="D171" s="78">
        <v>86</v>
      </c>
      <c r="E171" s="79">
        <v>2</v>
      </c>
      <c r="F171" s="99">
        <v>5777967.8699999992</v>
      </c>
      <c r="H171" s="6">
        <v>1573</v>
      </c>
      <c r="I171" s="6">
        <v>68</v>
      </c>
      <c r="J171" s="6">
        <v>5777967.8699999992</v>
      </c>
    </row>
    <row r="172" spans="1:10" ht="20.25" x14ac:dyDescent="0.3">
      <c r="A172" s="4">
        <v>27</v>
      </c>
      <c r="B172" s="3" t="s">
        <v>923</v>
      </c>
      <c r="C172" s="77">
        <v>1266.2</v>
      </c>
      <c r="D172" s="78">
        <v>63</v>
      </c>
      <c r="E172" s="79">
        <v>3</v>
      </c>
      <c r="F172" s="99">
        <v>4715781.71</v>
      </c>
      <c r="H172" s="6">
        <v>1266.2</v>
      </c>
      <c r="I172" s="6">
        <v>52</v>
      </c>
      <c r="J172" s="6">
        <v>4715781.71</v>
      </c>
    </row>
    <row r="173" spans="1:10" ht="20.25" x14ac:dyDescent="0.3">
      <c r="A173" s="4">
        <v>28</v>
      </c>
      <c r="B173" s="3" t="s">
        <v>924</v>
      </c>
      <c r="C173" s="77">
        <v>666.5</v>
      </c>
      <c r="D173" s="78">
        <v>37</v>
      </c>
      <c r="E173" s="79">
        <v>2</v>
      </c>
      <c r="F173" s="99">
        <v>2590114.16</v>
      </c>
      <c r="H173" s="6">
        <v>703.5</v>
      </c>
      <c r="I173" s="6">
        <v>36</v>
      </c>
      <c r="J173" s="6">
        <v>2590114.16</v>
      </c>
    </row>
    <row r="174" spans="1:10" ht="20.25" x14ac:dyDescent="0.3">
      <c r="A174" s="4">
        <v>29</v>
      </c>
      <c r="B174" s="3" t="s">
        <v>925</v>
      </c>
      <c r="C174" s="77">
        <v>1217.2</v>
      </c>
      <c r="D174" s="78">
        <v>47</v>
      </c>
      <c r="E174" s="79">
        <v>1</v>
      </c>
      <c r="F174" s="99">
        <v>1456533.11</v>
      </c>
      <c r="H174" s="6">
        <v>1217.2</v>
      </c>
      <c r="I174" s="6">
        <v>47</v>
      </c>
      <c r="J174" s="6">
        <v>1456533.11</v>
      </c>
    </row>
    <row r="175" spans="1:10" ht="20.25" x14ac:dyDescent="0.3">
      <c r="A175" s="4">
        <v>30</v>
      </c>
      <c r="B175" s="3" t="s">
        <v>926</v>
      </c>
      <c r="C175" s="77">
        <v>1774</v>
      </c>
      <c r="D175" s="78">
        <v>80</v>
      </c>
      <c r="E175" s="79">
        <v>3</v>
      </c>
      <c r="F175" s="99">
        <v>10290828.25</v>
      </c>
      <c r="H175" s="6">
        <v>1774</v>
      </c>
      <c r="I175" s="6">
        <v>80</v>
      </c>
      <c r="J175" s="6">
        <v>10290828.25</v>
      </c>
    </row>
    <row r="176" spans="1:10" ht="20.25" x14ac:dyDescent="0.3">
      <c r="A176" s="4">
        <v>31</v>
      </c>
      <c r="B176" s="3" t="s">
        <v>927</v>
      </c>
      <c r="C176" s="77">
        <v>609</v>
      </c>
      <c r="D176" s="78">
        <v>32</v>
      </c>
      <c r="E176" s="79">
        <v>1</v>
      </c>
      <c r="F176" s="99">
        <v>3013803.8600000003</v>
      </c>
      <c r="H176" s="6">
        <v>609</v>
      </c>
      <c r="I176" s="6">
        <v>31</v>
      </c>
      <c r="J176" s="6">
        <v>3013803.8600000003</v>
      </c>
    </row>
    <row r="177" spans="1:10" ht="20.25" x14ac:dyDescent="0.3">
      <c r="A177" s="4">
        <v>32</v>
      </c>
      <c r="B177" s="3" t="s">
        <v>928</v>
      </c>
      <c r="C177" s="77">
        <v>616.20000000000005</v>
      </c>
      <c r="D177" s="78">
        <v>21</v>
      </c>
      <c r="E177" s="79">
        <v>1</v>
      </c>
      <c r="F177" s="99">
        <v>2036502</v>
      </c>
      <c r="H177" s="6">
        <v>616</v>
      </c>
      <c r="I177" s="6">
        <v>21</v>
      </c>
      <c r="J177" s="6">
        <v>2036502</v>
      </c>
    </row>
    <row r="178" spans="1:10" ht="20.25" x14ac:dyDescent="0.3">
      <c r="A178" s="4">
        <v>33</v>
      </c>
      <c r="B178" s="3" t="s">
        <v>929</v>
      </c>
      <c r="C178" s="77">
        <v>772.9</v>
      </c>
      <c r="D178" s="78">
        <v>30</v>
      </c>
      <c r="E178" s="79">
        <v>1</v>
      </c>
      <c r="F178" s="99">
        <v>3592598.4</v>
      </c>
      <c r="H178" s="6">
        <v>772.9</v>
      </c>
      <c r="I178" s="6">
        <v>32</v>
      </c>
      <c r="J178" s="6">
        <v>3592598.4</v>
      </c>
    </row>
    <row r="179" spans="1:10" ht="20.25" x14ac:dyDescent="0.3">
      <c r="A179" s="4">
        <v>34</v>
      </c>
      <c r="B179" s="3" t="s">
        <v>930</v>
      </c>
      <c r="C179" s="77">
        <v>976.3</v>
      </c>
      <c r="D179" s="78">
        <v>36</v>
      </c>
      <c r="E179" s="79">
        <v>1</v>
      </c>
      <c r="F179" s="99">
        <v>4454195.3999999994</v>
      </c>
      <c r="H179" s="6">
        <v>976.3</v>
      </c>
      <c r="I179" s="6">
        <v>36</v>
      </c>
      <c r="J179" s="6">
        <v>4454195.3999999994</v>
      </c>
    </row>
    <row r="180" spans="1:10" ht="20.25" x14ac:dyDescent="0.3">
      <c r="A180" s="4">
        <v>35</v>
      </c>
      <c r="B180" s="3" t="s">
        <v>931</v>
      </c>
      <c r="C180" s="77">
        <v>781.7</v>
      </c>
      <c r="D180" s="78">
        <v>40</v>
      </c>
      <c r="E180" s="79">
        <v>1</v>
      </c>
      <c r="F180" s="99">
        <v>5304624.57</v>
      </c>
      <c r="H180" s="6">
        <v>781.7</v>
      </c>
      <c r="I180" s="6">
        <v>25</v>
      </c>
      <c r="J180" s="6">
        <v>4839701.7600000007</v>
      </c>
    </row>
    <row r="181" spans="1:10" ht="20.25" x14ac:dyDescent="0.3">
      <c r="A181" s="4">
        <v>36</v>
      </c>
      <c r="B181" s="3" t="s">
        <v>932</v>
      </c>
      <c r="C181" s="77">
        <v>736.7</v>
      </c>
      <c r="D181" s="78">
        <v>41</v>
      </c>
      <c r="E181" s="79">
        <v>1</v>
      </c>
      <c r="F181" s="99">
        <v>3231458.3</v>
      </c>
      <c r="H181" s="6">
        <v>792.9</v>
      </c>
      <c r="I181" s="6">
        <v>42</v>
      </c>
      <c r="J181" s="6">
        <v>3231458.3</v>
      </c>
    </row>
    <row r="182" spans="1:10" ht="20.25" x14ac:dyDescent="0.3">
      <c r="A182" s="4">
        <v>37</v>
      </c>
      <c r="B182" s="3" t="s">
        <v>933</v>
      </c>
      <c r="C182" s="77">
        <v>9352.4</v>
      </c>
      <c r="D182" s="78">
        <v>384</v>
      </c>
      <c r="E182" s="79">
        <v>3</v>
      </c>
      <c r="F182" s="99">
        <v>16849360.93</v>
      </c>
      <c r="H182" s="6">
        <v>9443</v>
      </c>
      <c r="I182" s="6">
        <v>371</v>
      </c>
      <c r="J182" s="6">
        <v>16849360.93</v>
      </c>
    </row>
    <row r="183" spans="1:10" ht="20.25" x14ac:dyDescent="0.3">
      <c r="A183" s="4">
        <v>38</v>
      </c>
      <c r="B183" s="3" t="s">
        <v>934</v>
      </c>
      <c r="C183" s="77">
        <v>2168.41</v>
      </c>
      <c r="D183" s="78">
        <v>63</v>
      </c>
      <c r="E183" s="79">
        <v>1</v>
      </c>
      <c r="F183" s="99">
        <v>2872957.67</v>
      </c>
      <c r="H183" s="6">
        <v>2168.41</v>
      </c>
      <c r="I183" s="6">
        <v>62</v>
      </c>
      <c r="J183" s="6">
        <v>3799734.79</v>
      </c>
    </row>
    <row r="184" spans="1:10" ht="20.25" x14ac:dyDescent="0.3">
      <c r="A184" s="4">
        <v>39</v>
      </c>
      <c r="B184" s="3" t="s">
        <v>935</v>
      </c>
      <c r="C184" s="77">
        <v>780.3</v>
      </c>
      <c r="D184" s="78">
        <v>40</v>
      </c>
      <c r="E184" s="79">
        <v>1</v>
      </c>
      <c r="F184" s="99">
        <v>2311215.4500000002</v>
      </c>
      <c r="H184" s="6">
        <v>780.3</v>
      </c>
      <c r="I184" s="6">
        <v>24</v>
      </c>
      <c r="J184" s="6">
        <v>2311215.4500000002</v>
      </c>
    </row>
    <row r="185" spans="1:10" ht="20.25" x14ac:dyDescent="0.3">
      <c r="A185" s="4">
        <v>40</v>
      </c>
      <c r="B185" s="3" t="s">
        <v>936</v>
      </c>
      <c r="C185" s="77">
        <v>540.79999999999995</v>
      </c>
      <c r="D185" s="78">
        <v>26</v>
      </c>
      <c r="E185" s="79">
        <v>1</v>
      </c>
      <c r="F185" s="99">
        <v>3215375.5700000003</v>
      </c>
      <c r="H185" s="6">
        <v>540.79999999999995</v>
      </c>
      <c r="I185" s="6">
        <v>15</v>
      </c>
      <c r="J185" s="6">
        <v>3215375.5700000003</v>
      </c>
    </row>
    <row r="186" spans="1:10" ht="20.25" x14ac:dyDescent="0.3">
      <c r="A186" s="4">
        <v>41</v>
      </c>
      <c r="B186" s="3" t="s">
        <v>937</v>
      </c>
      <c r="C186" s="77">
        <v>2550.6999999999998</v>
      </c>
      <c r="D186" s="78">
        <v>140</v>
      </c>
      <c r="E186" s="79">
        <v>3</v>
      </c>
      <c r="F186" s="99">
        <v>10672314.84</v>
      </c>
      <c r="H186" s="6">
        <v>2550.6999999999998</v>
      </c>
      <c r="I186" s="6">
        <v>119</v>
      </c>
      <c r="J186" s="6">
        <v>10672314.84</v>
      </c>
    </row>
    <row r="187" spans="1:10" ht="20.25" x14ac:dyDescent="0.3">
      <c r="A187" s="4">
        <v>42</v>
      </c>
      <c r="B187" s="3" t="s">
        <v>938</v>
      </c>
      <c r="C187" s="77">
        <v>5523</v>
      </c>
      <c r="D187" s="78">
        <v>208</v>
      </c>
      <c r="E187" s="79">
        <v>1</v>
      </c>
      <c r="F187" s="99">
        <v>3912770.8299999996</v>
      </c>
      <c r="H187" s="6">
        <v>5727.7</v>
      </c>
      <c r="I187" s="6">
        <v>188</v>
      </c>
      <c r="J187" s="6">
        <v>6053192.4699999997</v>
      </c>
    </row>
    <row r="188" spans="1:10" ht="20.25" x14ac:dyDescent="0.3">
      <c r="A188" s="4">
        <v>43</v>
      </c>
      <c r="B188" s="3" t="s">
        <v>939</v>
      </c>
      <c r="C188" s="77">
        <v>1046.8</v>
      </c>
      <c r="D188" s="78">
        <v>44</v>
      </c>
      <c r="E188" s="79">
        <v>1</v>
      </c>
      <c r="F188" s="99">
        <v>4804056</v>
      </c>
      <c r="H188" s="6">
        <v>1040.7</v>
      </c>
      <c r="I188" s="6">
        <v>44</v>
      </c>
      <c r="J188" s="6">
        <v>4804056</v>
      </c>
    </row>
    <row r="189" spans="1:10" ht="20.25" x14ac:dyDescent="0.3">
      <c r="A189" s="4">
        <v>44</v>
      </c>
      <c r="B189" s="3" t="s">
        <v>940</v>
      </c>
      <c r="C189" s="77">
        <v>3554.5</v>
      </c>
      <c r="D189" s="78">
        <v>158</v>
      </c>
      <c r="E189" s="79">
        <v>1</v>
      </c>
      <c r="F189" s="99">
        <v>7284801.9000000004</v>
      </c>
      <c r="H189" s="6">
        <v>3554.5</v>
      </c>
      <c r="I189" s="6">
        <v>145</v>
      </c>
      <c r="J189" s="6">
        <v>7284801.9000000004</v>
      </c>
    </row>
    <row r="190" spans="1:10" ht="20.25" x14ac:dyDescent="0.3">
      <c r="A190" s="4">
        <v>45</v>
      </c>
      <c r="B190" s="3" t="s">
        <v>941</v>
      </c>
      <c r="C190" s="77">
        <v>2640.94</v>
      </c>
      <c r="D190" s="78">
        <v>92</v>
      </c>
      <c r="E190" s="79">
        <v>2</v>
      </c>
      <c r="F190" s="99">
        <v>4011881.02</v>
      </c>
      <c r="H190" s="6">
        <v>2640.94</v>
      </c>
      <c r="I190" s="6">
        <v>88</v>
      </c>
      <c r="J190" s="6">
        <v>4011881.02</v>
      </c>
    </row>
    <row r="191" spans="1:10" ht="20.25" x14ac:dyDescent="0.3">
      <c r="A191" s="4">
        <v>46</v>
      </c>
      <c r="B191" s="3" t="s">
        <v>942</v>
      </c>
      <c r="C191" s="77">
        <v>3872.1</v>
      </c>
      <c r="D191" s="78">
        <v>163</v>
      </c>
      <c r="E191" s="79">
        <v>3</v>
      </c>
      <c r="F191" s="99">
        <v>6079528.0199999996</v>
      </c>
      <c r="H191" s="6">
        <v>4173.7</v>
      </c>
      <c r="I191" s="6">
        <v>171</v>
      </c>
      <c r="J191" s="6">
        <v>6026117.5699999994</v>
      </c>
    </row>
    <row r="192" spans="1:10" ht="20.25" x14ac:dyDescent="0.3">
      <c r="A192" s="4">
        <v>47</v>
      </c>
      <c r="B192" s="3" t="s">
        <v>967</v>
      </c>
      <c r="C192" s="77">
        <v>13642.179999999998</v>
      </c>
      <c r="D192" s="78">
        <v>462</v>
      </c>
      <c r="E192" s="79">
        <v>3</v>
      </c>
      <c r="F192" s="99">
        <v>12459674.15</v>
      </c>
      <c r="H192" s="6">
        <v>8514.9</v>
      </c>
      <c r="I192" s="6">
        <v>327</v>
      </c>
      <c r="J192" s="6">
        <v>12459674.15</v>
      </c>
    </row>
    <row r="193" spans="1:10" ht="20.25" x14ac:dyDescent="0.3">
      <c r="A193" s="4">
        <v>48</v>
      </c>
      <c r="B193" s="3" t="s">
        <v>943</v>
      </c>
      <c r="C193" s="77">
        <v>10207.129999999999</v>
      </c>
      <c r="D193" s="78">
        <v>448</v>
      </c>
      <c r="E193" s="79">
        <v>3</v>
      </c>
      <c r="F193" s="99">
        <v>12269019.870000001</v>
      </c>
      <c r="H193" s="6">
        <v>14680.3</v>
      </c>
      <c r="I193" s="6">
        <v>685</v>
      </c>
      <c r="J193" s="6">
        <v>13993215.270000001</v>
      </c>
    </row>
    <row r="194" spans="1:10" ht="20.25" x14ac:dyDescent="0.3">
      <c r="A194" s="4">
        <v>49</v>
      </c>
      <c r="B194" s="3" t="s">
        <v>944</v>
      </c>
      <c r="C194" s="77">
        <v>5101.2</v>
      </c>
      <c r="D194" s="78">
        <v>130</v>
      </c>
      <c r="E194" s="79">
        <v>2</v>
      </c>
      <c r="F194" s="99">
        <v>9221698.8000000007</v>
      </c>
      <c r="H194" s="6">
        <v>4947</v>
      </c>
      <c r="I194" s="6">
        <v>164</v>
      </c>
      <c r="J194" s="6">
        <v>9221698.8000000007</v>
      </c>
    </row>
    <row r="195" spans="1:10" ht="20.25" x14ac:dyDescent="0.3">
      <c r="A195" s="4">
        <v>50</v>
      </c>
      <c r="B195" s="3" t="s">
        <v>945</v>
      </c>
      <c r="C195" s="77">
        <v>783.81</v>
      </c>
      <c r="D195" s="78">
        <v>16</v>
      </c>
      <c r="E195" s="79">
        <v>1</v>
      </c>
      <c r="F195" s="99">
        <v>3623929.1999999997</v>
      </c>
      <c r="H195" s="6">
        <v>726</v>
      </c>
      <c r="I195" s="6">
        <v>28</v>
      </c>
      <c r="J195" s="6">
        <v>3623929.1999999997</v>
      </c>
    </row>
    <row r="196" spans="1:10" ht="20.25" x14ac:dyDescent="0.3">
      <c r="A196" s="4">
        <v>51</v>
      </c>
      <c r="B196" s="3" t="s">
        <v>946</v>
      </c>
      <c r="C196" s="77">
        <v>680.2</v>
      </c>
      <c r="D196" s="78">
        <v>33</v>
      </c>
      <c r="E196" s="79">
        <v>1</v>
      </c>
      <c r="F196" s="99">
        <v>3080862</v>
      </c>
      <c r="H196" s="6">
        <v>675.9</v>
      </c>
      <c r="I196" s="6">
        <v>32</v>
      </c>
      <c r="J196" s="6">
        <v>3080862</v>
      </c>
    </row>
    <row r="197" spans="1:10" ht="20.25" x14ac:dyDescent="0.3">
      <c r="A197" s="4">
        <v>52</v>
      </c>
      <c r="B197" s="3" t="s">
        <v>947</v>
      </c>
      <c r="C197" s="77">
        <v>646.4</v>
      </c>
      <c r="D197" s="78">
        <v>15</v>
      </c>
      <c r="E197" s="79">
        <v>2</v>
      </c>
      <c r="F197" s="99">
        <v>2610892.59</v>
      </c>
      <c r="H197" s="6">
        <v>611.5</v>
      </c>
      <c r="I197" s="6">
        <v>28</v>
      </c>
      <c r="J197" s="6">
        <v>2610892.59</v>
      </c>
    </row>
    <row r="198" spans="1:10" ht="20.25" x14ac:dyDescent="0.3">
      <c r="A198" s="4">
        <v>53</v>
      </c>
      <c r="B198" s="3" t="s">
        <v>948</v>
      </c>
      <c r="C198" s="77">
        <v>2009.6000000000001</v>
      </c>
      <c r="D198" s="78">
        <v>65</v>
      </c>
      <c r="E198" s="79">
        <v>3</v>
      </c>
      <c r="F198" s="99">
        <v>6332416.4000000004</v>
      </c>
      <c r="H198" s="6">
        <v>2373.5</v>
      </c>
      <c r="I198" s="6">
        <v>77</v>
      </c>
      <c r="J198" s="6">
        <v>6332416.4000000004</v>
      </c>
    </row>
    <row r="199" spans="1:10" ht="20.25" x14ac:dyDescent="0.3">
      <c r="A199" s="4">
        <v>54</v>
      </c>
      <c r="B199" s="3" t="s">
        <v>949</v>
      </c>
      <c r="C199" s="77">
        <v>814.6</v>
      </c>
      <c r="D199" s="78">
        <v>26</v>
      </c>
      <c r="E199" s="79">
        <v>1</v>
      </c>
      <c r="F199" s="99">
        <v>5584659.7400000002</v>
      </c>
      <c r="H199" s="6">
        <v>789</v>
      </c>
      <c r="I199" s="6">
        <v>64</v>
      </c>
      <c r="J199" s="6">
        <v>3026194.08</v>
      </c>
    </row>
    <row r="200" spans="1:10" ht="20.25" x14ac:dyDescent="0.3">
      <c r="A200" s="4">
        <v>55</v>
      </c>
      <c r="B200" s="3" t="s">
        <v>950</v>
      </c>
      <c r="C200" s="77">
        <v>350.9</v>
      </c>
      <c r="D200" s="78">
        <v>18</v>
      </c>
      <c r="E200" s="79">
        <v>1</v>
      </c>
      <c r="F200" s="99">
        <v>3600600</v>
      </c>
      <c r="H200" s="6">
        <v>351</v>
      </c>
      <c r="I200" s="6">
        <v>18</v>
      </c>
      <c r="J200" s="6">
        <v>3600600</v>
      </c>
    </row>
    <row r="201" spans="1:10" ht="20.25" x14ac:dyDescent="0.3">
      <c r="A201" s="4">
        <v>56</v>
      </c>
      <c r="B201" s="3" t="s">
        <v>951</v>
      </c>
      <c r="C201" s="77">
        <v>626</v>
      </c>
      <c r="D201" s="78">
        <v>31</v>
      </c>
      <c r="E201" s="79">
        <v>1</v>
      </c>
      <c r="F201" s="99">
        <v>2233993.96</v>
      </c>
      <c r="H201" s="6">
        <v>626</v>
      </c>
      <c r="I201" s="6">
        <v>23</v>
      </c>
      <c r="J201" s="6">
        <v>1917600</v>
      </c>
    </row>
    <row r="202" spans="1:10" ht="20.25" x14ac:dyDescent="0.3">
      <c r="A202" s="4">
        <v>57</v>
      </c>
      <c r="B202" s="3" t="s">
        <v>952</v>
      </c>
      <c r="C202" s="77">
        <v>4977.3999999999996</v>
      </c>
      <c r="D202" s="78">
        <v>180</v>
      </c>
      <c r="E202" s="79">
        <v>3</v>
      </c>
      <c r="F202" s="99">
        <v>14392200</v>
      </c>
      <c r="H202" s="6">
        <v>4977.8</v>
      </c>
      <c r="I202" s="6">
        <v>158</v>
      </c>
      <c r="J202" s="6">
        <v>14392200</v>
      </c>
    </row>
    <row r="203" spans="1:10" ht="20.25" x14ac:dyDescent="0.3">
      <c r="A203" s="4">
        <v>58</v>
      </c>
      <c r="B203" s="3" t="s">
        <v>953</v>
      </c>
      <c r="C203" s="77">
        <v>775.2</v>
      </c>
      <c r="D203" s="78">
        <v>35</v>
      </c>
      <c r="E203" s="79">
        <v>1</v>
      </c>
      <c r="F203" s="99">
        <v>3396600</v>
      </c>
    </row>
    <row r="204" spans="1:10" customFormat="1" ht="71.25" customHeight="1" x14ac:dyDescent="0.25">
      <c r="A204" s="341" t="s">
        <v>1681</v>
      </c>
      <c r="B204" s="341"/>
      <c r="C204" s="341"/>
      <c r="D204" s="341"/>
      <c r="E204" s="341"/>
      <c r="F204" s="341"/>
    </row>
    <row r="205" spans="1:10" customFormat="1" ht="18.75" x14ac:dyDescent="0.3">
      <c r="A205" s="339" t="s">
        <v>1679</v>
      </c>
      <c r="B205" s="340"/>
      <c r="C205" s="116">
        <f>SUM(C206:C208)</f>
        <v>3182.5</v>
      </c>
      <c r="D205" s="117">
        <f>SUM(D206:D208)</f>
        <v>134</v>
      </c>
      <c r="E205" s="117">
        <f>SUM(E206:E208)</f>
        <v>3</v>
      </c>
      <c r="F205" s="116">
        <f>SUM(F206:F208)</f>
        <v>7034201.7300000004</v>
      </c>
    </row>
    <row r="206" spans="1:10" customFormat="1" ht="20.25" x14ac:dyDescent="0.3">
      <c r="A206" s="118">
        <v>1</v>
      </c>
      <c r="B206" s="121" t="s">
        <v>952</v>
      </c>
      <c r="C206" s="119">
        <v>522.9</v>
      </c>
      <c r="D206" s="120">
        <v>31</v>
      </c>
      <c r="E206" s="120">
        <v>1</v>
      </c>
      <c r="F206" s="119">
        <v>1836114.4000000001</v>
      </c>
    </row>
    <row r="207" spans="1:10" customFormat="1" ht="20.25" x14ac:dyDescent="0.3">
      <c r="A207" s="118">
        <v>2</v>
      </c>
      <c r="B207" s="121" t="s">
        <v>902</v>
      </c>
      <c r="C207" s="119">
        <v>1826</v>
      </c>
      <c r="D207" s="120">
        <v>73</v>
      </c>
      <c r="E207" s="120">
        <v>1</v>
      </c>
      <c r="F207" s="119">
        <v>2643881</v>
      </c>
    </row>
    <row r="208" spans="1:10" customFormat="1" ht="20.25" x14ac:dyDescent="0.3">
      <c r="A208" s="118">
        <v>3</v>
      </c>
      <c r="B208" s="3" t="s">
        <v>916</v>
      </c>
      <c r="C208" s="119">
        <v>833.6</v>
      </c>
      <c r="D208" s="120">
        <v>30</v>
      </c>
      <c r="E208" s="120">
        <v>1</v>
      </c>
      <c r="F208" s="119">
        <v>2554206.33</v>
      </c>
    </row>
    <row r="209" spans="1:6" ht="72.75" customHeight="1" x14ac:dyDescent="0.25">
      <c r="A209" s="336" t="s">
        <v>1927</v>
      </c>
      <c r="B209" s="337"/>
      <c r="C209" s="337"/>
      <c r="D209" s="337"/>
      <c r="E209" s="337"/>
      <c r="F209" s="338"/>
    </row>
    <row r="210" spans="1:6" ht="18.75" x14ac:dyDescent="0.3">
      <c r="A210" s="339" t="s">
        <v>1928</v>
      </c>
      <c r="B210" s="340"/>
      <c r="C210" s="116">
        <f>SUM(C211:C213)</f>
        <v>9484.2999999999993</v>
      </c>
      <c r="D210" s="117">
        <f>SUM(D211:D213)</f>
        <v>424</v>
      </c>
      <c r="E210" s="117">
        <f>SUM(E211:E213)</f>
        <v>5</v>
      </c>
      <c r="F210" s="116">
        <f>SUM(F211:F213)</f>
        <v>17442384.329999998</v>
      </c>
    </row>
    <row r="211" spans="1:6" ht="20.25" x14ac:dyDescent="0.3">
      <c r="A211" s="118">
        <v>1</v>
      </c>
      <c r="B211" s="121" t="s">
        <v>926</v>
      </c>
      <c r="C211" s="119">
        <v>7491.9</v>
      </c>
      <c r="D211" s="120">
        <v>356</v>
      </c>
      <c r="E211" s="120">
        <v>3</v>
      </c>
      <c r="F211" s="119">
        <v>13632983.67</v>
      </c>
    </row>
    <row r="212" spans="1:6" ht="20.25" x14ac:dyDescent="0.3">
      <c r="A212" s="118">
        <v>2</v>
      </c>
      <c r="B212" s="121" t="s">
        <v>922</v>
      </c>
      <c r="C212" s="119">
        <v>1298.5999999999999</v>
      </c>
      <c r="D212" s="120">
        <v>47</v>
      </c>
      <c r="E212" s="120">
        <v>1</v>
      </c>
      <c r="F212" s="119">
        <v>1833103.6099999999</v>
      </c>
    </row>
    <row r="213" spans="1:6" ht="20.25" x14ac:dyDescent="0.3">
      <c r="A213" s="118">
        <v>3</v>
      </c>
      <c r="B213" s="121" t="s">
        <v>974</v>
      </c>
      <c r="C213" s="119">
        <v>693.8</v>
      </c>
      <c r="D213" s="120">
        <v>21</v>
      </c>
      <c r="E213" s="120">
        <v>1</v>
      </c>
      <c r="F213" s="119">
        <v>1976297.05</v>
      </c>
    </row>
    <row r="214" spans="1:6" x14ac:dyDescent="0.25">
      <c r="F214" s="114"/>
    </row>
    <row r="215" spans="1:6" x14ac:dyDescent="0.25">
      <c r="F215" s="114"/>
    </row>
    <row r="216" spans="1:6" x14ac:dyDescent="0.25">
      <c r="F216" s="114"/>
    </row>
    <row r="217" spans="1:6" x14ac:dyDescent="0.25">
      <c r="F217" s="114"/>
    </row>
    <row r="218" spans="1:6" x14ac:dyDescent="0.25">
      <c r="F218" s="114"/>
    </row>
    <row r="219" spans="1:6" x14ac:dyDescent="0.25">
      <c r="F219" s="114"/>
    </row>
    <row r="220" spans="1:6" x14ac:dyDescent="0.25">
      <c r="F220" s="114"/>
    </row>
    <row r="221" spans="1:6" x14ac:dyDescent="0.25">
      <c r="F221" s="152"/>
    </row>
    <row r="222" spans="1:6" x14ac:dyDescent="0.25">
      <c r="F222" s="152">
        <f>SUBTOTAL(9,F217:F221)</f>
        <v>0</v>
      </c>
    </row>
    <row r="223" spans="1:6" x14ac:dyDescent="0.25">
      <c r="F223" s="152"/>
    </row>
    <row r="224" spans="1:6" x14ac:dyDescent="0.25">
      <c r="F224" s="152"/>
    </row>
    <row r="225" spans="6:6" x14ac:dyDescent="0.25">
      <c r="F225" s="152"/>
    </row>
  </sheetData>
  <autoFilter ref="A9:K208" xr:uid="{00000000-0009-0000-0000-000003000000}"/>
  <mergeCells count="13">
    <mergeCell ref="A209:F209"/>
    <mergeCell ref="A210:B210"/>
    <mergeCell ref="A204:F204"/>
    <mergeCell ref="A205:B205"/>
    <mergeCell ref="E1:F1"/>
    <mergeCell ref="D2:F2"/>
    <mergeCell ref="A3:F4"/>
    <mergeCell ref="A5:A8"/>
    <mergeCell ref="B5:B8"/>
    <mergeCell ref="C5:C7"/>
    <mergeCell ref="D5:D7"/>
    <mergeCell ref="E5:E7"/>
    <mergeCell ref="F5:F7"/>
  </mergeCells>
  <pageMargins left="0" right="0" top="0.39370078740157483" bottom="0" header="0" footer="0"/>
  <pageSetup paperSize="9" scale="51" fitToHeight="0" orientation="portrait" r:id="rId1"/>
  <headerFooter differentFirst="1">
    <oddHeader>&amp;C&amp;"Times New Roman,обычный"&amp;P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491"/>
  <sheetViews>
    <sheetView view="pageBreakPreview" topLeftCell="B58" zoomScale="60" zoomScaleNormal="40" workbookViewId="0">
      <selection activeCell="B1" sqref="A1:XFD1048576"/>
    </sheetView>
  </sheetViews>
  <sheetFormatPr defaultRowHeight="15" x14ac:dyDescent="0.25"/>
  <cols>
    <col min="1" max="1" width="9.28515625" style="178" hidden="1" customWidth="1"/>
    <col min="2" max="2" width="12.85546875" style="178" customWidth="1"/>
    <col min="3" max="3" width="167.42578125" style="178" customWidth="1"/>
    <col min="4" max="4" width="27.85546875" style="178" customWidth="1"/>
    <col min="5" max="5" width="26.140625" style="178" customWidth="1"/>
    <col min="6" max="6" width="26.85546875" style="178" customWidth="1"/>
    <col min="7" max="7" width="34.5703125" style="178" customWidth="1"/>
    <col min="8" max="8" width="23.28515625" style="178" customWidth="1"/>
    <col min="9" max="9" width="25.140625" style="178" customWidth="1"/>
    <col min="10" max="10" width="24.85546875" style="178" customWidth="1"/>
    <col min="11" max="11" width="22" style="178" customWidth="1"/>
    <col min="12" max="12" width="25.7109375" style="178" customWidth="1"/>
    <col min="13" max="13" width="26.140625" style="178" customWidth="1"/>
    <col min="14" max="14" width="27.5703125" style="178" customWidth="1"/>
    <col min="15" max="15" width="27.140625" style="178" customWidth="1"/>
    <col min="16" max="16" width="32.85546875" style="178" customWidth="1"/>
    <col min="17" max="17" width="22.42578125" style="178" customWidth="1"/>
    <col min="18" max="18" width="28.140625" style="178" customWidth="1"/>
    <col min="19" max="19" width="52.42578125" style="178" customWidth="1"/>
    <col min="20" max="20" width="32.42578125" style="178" customWidth="1"/>
    <col min="21" max="21" width="24.5703125" style="178" customWidth="1"/>
    <col min="22" max="22" width="35" style="178" customWidth="1"/>
    <col min="23" max="23" width="35.140625" style="178" customWidth="1"/>
    <col min="24" max="24" width="41.140625" style="178" customWidth="1"/>
    <col min="25" max="25" width="16.42578125" style="178" customWidth="1"/>
    <col min="26" max="26" width="21.42578125" style="178" customWidth="1"/>
    <col min="27" max="27" width="31.42578125" style="178" customWidth="1"/>
    <col min="28" max="28" width="18.140625" style="178" customWidth="1"/>
    <col min="29" max="256" width="9.140625" style="178"/>
    <col min="257" max="257" width="9.28515625" style="178" customWidth="1"/>
    <col min="258" max="258" width="12.85546875" style="178" customWidth="1"/>
    <col min="259" max="259" width="167.42578125" style="178" customWidth="1"/>
    <col min="260" max="260" width="27.85546875" style="178" customWidth="1"/>
    <col min="261" max="261" width="26.140625" style="178" customWidth="1"/>
    <col min="262" max="262" width="26.85546875" style="178" customWidth="1"/>
    <col min="263" max="263" width="34.5703125" style="178" customWidth="1"/>
    <col min="264" max="264" width="23.28515625" style="178" customWidth="1"/>
    <col min="265" max="265" width="25.140625" style="178" customWidth="1"/>
    <col min="266" max="266" width="24.85546875" style="178" customWidth="1"/>
    <col min="267" max="267" width="22" style="178" customWidth="1"/>
    <col min="268" max="268" width="25.7109375" style="178" customWidth="1"/>
    <col min="269" max="269" width="26.140625" style="178" customWidth="1"/>
    <col min="270" max="270" width="27.5703125" style="178" customWidth="1"/>
    <col min="271" max="271" width="27.140625" style="178" customWidth="1"/>
    <col min="272" max="272" width="32.85546875" style="178" customWidth="1"/>
    <col min="273" max="273" width="22.42578125" style="178" customWidth="1"/>
    <col min="274" max="274" width="28.140625" style="178" customWidth="1"/>
    <col min="275" max="275" width="52.42578125" style="178" customWidth="1"/>
    <col min="276" max="276" width="32.42578125" style="178" customWidth="1"/>
    <col min="277" max="277" width="24.5703125" style="178" customWidth="1"/>
    <col min="278" max="278" width="35" style="178" customWidth="1"/>
    <col min="279" max="279" width="35.140625" style="178" customWidth="1"/>
    <col min="280" max="280" width="41.140625" style="178" customWidth="1"/>
    <col min="281" max="281" width="16.42578125" style="178" customWidth="1"/>
    <col min="282" max="282" width="21.42578125" style="178" customWidth="1"/>
    <col min="283" max="283" width="31.42578125" style="178" customWidth="1"/>
    <col min="284" max="284" width="18.140625" style="178" customWidth="1"/>
    <col min="285" max="512" width="9.140625" style="178"/>
    <col min="513" max="513" width="9.28515625" style="178" customWidth="1"/>
    <col min="514" max="514" width="12.85546875" style="178" customWidth="1"/>
    <col min="515" max="515" width="167.42578125" style="178" customWidth="1"/>
    <col min="516" max="516" width="27.85546875" style="178" customWidth="1"/>
    <col min="517" max="517" width="26.140625" style="178" customWidth="1"/>
    <col min="518" max="518" width="26.85546875" style="178" customWidth="1"/>
    <col min="519" max="519" width="34.5703125" style="178" customWidth="1"/>
    <col min="520" max="520" width="23.28515625" style="178" customWidth="1"/>
    <col min="521" max="521" width="25.140625" style="178" customWidth="1"/>
    <col min="522" max="522" width="24.85546875" style="178" customWidth="1"/>
    <col min="523" max="523" width="22" style="178" customWidth="1"/>
    <col min="524" max="524" width="25.7109375" style="178" customWidth="1"/>
    <col min="525" max="525" width="26.140625" style="178" customWidth="1"/>
    <col min="526" max="526" width="27.5703125" style="178" customWidth="1"/>
    <col min="527" max="527" width="27.140625" style="178" customWidth="1"/>
    <col min="528" max="528" width="32.85546875" style="178" customWidth="1"/>
    <col min="529" max="529" width="22.42578125" style="178" customWidth="1"/>
    <col min="530" max="530" width="28.140625" style="178" customWidth="1"/>
    <col min="531" max="531" width="52.42578125" style="178" customWidth="1"/>
    <col min="532" max="532" width="32.42578125" style="178" customWidth="1"/>
    <col min="533" max="533" width="24.5703125" style="178" customWidth="1"/>
    <col min="534" max="534" width="35" style="178" customWidth="1"/>
    <col min="535" max="535" width="35.140625" style="178" customWidth="1"/>
    <col min="536" max="536" width="41.140625" style="178" customWidth="1"/>
    <col min="537" max="537" width="16.42578125" style="178" customWidth="1"/>
    <col min="538" max="538" width="21.42578125" style="178" customWidth="1"/>
    <col min="539" max="539" width="31.42578125" style="178" customWidth="1"/>
    <col min="540" max="540" width="18.140625" style="178" customWidth="1"/>
    <col min="541" max="768" width="9.140625" style="178"/>
    <col min="769" max="769" width="9.28515625" style="178" customWidth="1"/>
    <col min="770" max="770" width="12.85546875" style="178" customWidth="1"/>
    <col min="771" max="771" width="167.42578125" style="178" customWidth="1"/>
    <col min="772" max="772" width="27.85546875" style="178" customWidth="1"/>
    <col min="773" max="773" width="26.140625" style="178" customWidth="1"/>
    <col min="774" max="774" width="26.85546875" style="178" customWidth="1"/>
    <col min="775" max="775" width="34.5703125" style="178" customWidth="1"/>
    <col min="776" max="776" width="23.28515625" style="178" customWidth="1"/>
    <col min="777" max="777" width="25.140625" style="178" customWidth="1"/>
    <col min="778" max="778" width="24.85546875" style="178" customWidth="1"/>
    <col min="779" max="779" width="22" style="178" customWidth="1"/>
    <col min="780" max="780" width="25.7109375" style="178" customWidth="1"/>
    <col min="781" max="781" width="26.140625" style="178" customWidth="1"/>
    <col min="782" max="782" width="27.5703125" style="178" customWidth="1"/>
    <col min="783" max="783" width="27.140625" style="178" customWidth="1"/>
    <col min="784" max="784" width="32.85546875" style="178" customWidth="1"/>
    <col min="785" max="785" width="22.42578125" style="178" customWidth="1"/>
    <col min="786" max="786" width="28.140625" style="178" customWidth="1"/>
    <col min="787" max="787" width="52.42578125" style="178" customWidth="1"/>
    <col min="788" max="788" width="32.42578125" style="178" customWidth="1"/>
    <col min="789" max="789" width="24.5703125" style="178" customWidth="1"/>
    <col min="790" max="790" width="35" style="178" customWidth="1"/>
    <col min="791" max="791" width="35.140625" style="178" customWidth="1"/>
    <col min="792" max="792" width="41.140625" style="178" customWidth="1"/>
    <col min="793" max="793" width="16.42578125" style="178" customWidth="1"/>
    <col min="794" max="794" width="21.42578125" style="178" customWidth="1"/>
    <col min="795" max="795" width="31.42578125" style="178" customWidth="1"/>
    <col min="796" max="796" width="18.140625" style="178" customWidth="1"/>
    <col min="797" max="1024" width="9.140625" style="178"/>
    <col min="1025" max="1025" width="9.28515625" style="178" customWidth="1"/>
    <col min="1026" max="1026" width="12.85546875" style="178" customWidth="1"/>
    <col min="1027" max="1027" width="167.42578125" style="178" customWidth="1"/>
    <col min="1028" max="1028" width="27.85546875" style="178" customWidth="1"/>
    <col min="1029" max="1029" width="26.140625" style="178" customWidth="1"/>
    <col min="1030" max="1030" width="26.85546875" style="178" customWidth="1"/>
    <col min="1031" max="1031" width="34.5703125" style="178" customWidth="1"/>
    <col min="1032" max="1032" width="23.28515625" style="178" customWidth="1"/>
    <col min="1033" max="1033" width="25.140625" style="178" customWidth="1"/>
    <col min="1034" max="1034" width="24.85546875" style="178" customWidth="1"/>
    <col min="1035" max="1035" width="22" style="178" customWidth="1"/>
    <col min="1036" max="1036" width="25.7109375" style="178" customWidth="1"/>
    <col min="1037" max="1037" width="26.140625" style="178" customWidth="1"/>
    <col min="1038" max="1038" width="27.5703125" style="178" customWidth="1"/>
    <col min="1039" max="1039" width="27.140625" style="178" customWidth="1"/>
    <col min="1040" max="1040" width="32.85546875" style="178" customWidth="1"/>
    <col min="1041" max="1041" width="22.42578125" style="178" customWidth="1"/>
    <col min="1042" max="1042" width="28.140625" style="178" customWidth="1"/>
    <col min="1043" max="1043" width="52.42578125" style="178" customWidth="1"/>
    <col min="1044" max="1044" width="32.42578125" style="178" customWidth="1"/>
    <col min="1045" max="1045" width="24.5703125" style="178" customWidth="1"/>
    <col min="1046" max="1046" width="35" style="178" customWidth="1"/>
    <col min="1047" max="1047" width="35.140625" style="178" customWidth="1"/>
    <col min="1048" max="1048" width="41.140625" style="178" customWidth="1"/>
    <col min="1049" max="1049" width="16.42578125" style="178" customWidth="1"/>
    <col min="1050" max="1050" width="21.42578125" style="178" customWidth="1"/>
    <col min="1051" max="1051" width="31.42578125" style="178" customWidth="1"/>
    <col min="1052" max="1052" width="18.140625" style="178" customWidth="1"/>
    <col min="1053" max="1280" width="9.140625" style="178"/>
    <col min="1281" max="1281" width="9.28515625" style="178" customWidth="1"/>
    <col min="1282" max="1282" width="12.85546875" style="178" customWidth="1"/>
    <col min="1283" max="1283" width="167.42578125" style="178" customWidth="1"/>
    <col min="1284" max="1284" width="27.85546875" style="178" customWidth="1"/>
    <col min="1285" max="1285" width="26.140625" style="178" customWidth="1"/>
    <col min="1286" max="1286" width="26.85546875" style="178" customWidth="1"/>
    <col min="1287" max="1287" width="34.5703125" style="178" customWidth="1"/>
    <col min="1288" max="1288" width="23.28515625" style="178" customWidth="1"/>
    <col min="1289" max="1289" width="25.140625" style="178" customWidth="1"/>
    <col min="1290" max="1290" width="24.85546875" style="178" customWidth="1"/>
    <col min="1291" max="1291" width="22" style="178" customWidth="1"/>
    <col min="1292" max="1292" width="25.7109375" style="178" customWidth="1"/>
    <col min="1293" max="1293" width="26.140625" style="178" customWidth="1"/>
    <col min="1294" max="1294" width="27.5703125" style="178" customWidth="1"/>
    <col min="1295" max="1295" width="27.140625" style="178" customWidth="1"/>
    <col min="1296" max="1296" width="32.85546875" style="178" customWidth="1"/>
    <col min="1297" max="1297" width="22.42578125" style="178" customWidth="1"/>
    <col min="1298" max="1298" width="28.140625" style="178" customWidth="1"/>
    <col min="1299" max="1299" width="52.42578125" style="178" customWidth="1"/>
    <col min="1300" max="1300" width="32.42578125" style="178" customWidth="1"/>
    <col min="1301" max="1301" width="24.5703125" style="178" customWidth="1"/>
    <col min="1302" max="1302" width="35" style="178" customWidth="1"/>
    <col min="1303" max="1303" width="35.140625" style="178" customWidth="1"/>
    <col min="1304" max="1304" width="41.140625" style="178" customWidth="1"/>
    <col min="1305" max="1305" width="16.42578125" style="178" customWidth="1"/>
    <col min="1306" max="1306" width="21.42578125" style="178" customWidth="1"/>
    <col min="1307" max="1307" width="31.42578125" style="178" customWidth="1"/>
    <col min="1308" max="1308" width="18.140625" style="178" customWidth="1"/>
    <col min="1309" max="1536" width="9.140625" style="178"/>
    <col min="1537" max="1537" width="9.28515625" style="178" customWidth="1"/>
    <col min="1538" max="1538" width="12.85546875" style="178" customWidth="1"/>
    <col min="1539" max="1539" width="167.42578125" style="178" customWidth="1"/>
    <col min="1540" max="1540" width="27.85546875" style="178" customWidth="1"/>
    <col min="1541" max="1541" width="26.140625" style="178" customWidth="1"/>
    <col min="1542" max="1542" width="26.85546875" style="178" customWidth="1"/>
    <col min="1543" max="1543" width="34.5703125" style="178" customWidth="1"/>
    <col min="1544" max="1544" width="23.28515625" style="178" customWidth="1"/>
    <col min="1545" max="1545" width="25.140625" style="178" customWidth="1"/>
    <col min="1546" max="1546" width="24.85546875" style="178" customWidth="1"/>
    <col min="1547" max="1547" width="22" style="178" customWidth="1"/>
    <col min="1548" max="1548" width="25.7109375" style="178" customWidth="1"/>
    <col min="1549" max="1549" width="26.140625" style="178" customWidth="1"/>
    <col min="1550" max="1550" width="27.5703125" style="178" customWidth="1"/>
    <col min="1551" max="1551" width="27.140625" style="178" customWidth="1"/>
    <col min="1552" max="1552" width="32.85546875" style="178" customWidth="1"/>
    <col min="1553" max="1553" width="22.42578125" style="178" customWidth="1"/>
    <col min="1554" max="1554" width="28.140625" style="178" customWidth="1"/>
    <col min="1555" max="1555" width="52.42578125" style="178" customWidth="1"/>
    <col min="1556" max="1556" width="32.42578125" style="178" customWidth="1"/>
    <col min="1557" max="1557" width="24.5703125" style="178" customWidth="1"/>
    <col min="1558" max="1558" width="35" style="178" customWidth="1"/>
    <col min="1559" max="1559" width="35.140625" style="178" customWidth="1"/>
    <col min="1560" max="1560" width="41.140625" style="178" customWidth="1"/>
    <col min="1561" max="1561" width="16.42578125" style="178" customWidth="1"/>
    <col min="1562" max="1562" width="21.42578125" style="178" customWidth="1"/>
    <col min="1563" max="1563" width="31.42578125" style="178" customWidth="1"/>
    <col min="1564" max="1564" width="18.140625" style="178" customWidth="1"/>
    <col min="1565" max="1792" width="9.140625" style="178"/>
    <col min="1793" max="1793" width="9.28515625" style="178" customWidth="1"/>
    <col min="1794" max="1794" width="12.85546875" style="178" customWidth="1"/>
    <col min="1795" max="1795" width="167.42578125" style="178" customWidth="1"/>
    <col min="1796" max="1796" width="27.85546875" style="178" customWidth="1"/>
    <col min="1797" max="1797" width="26.140625" style="178" customWidth="1"/>
    <col min="1798" max="1798" width="26.85546875" style="178" customWidth="1"/>
    <col min="1799" max="1799" width="34.5703125" style="178" customWidth="1"/>
    <col min="1800" max="1800" width="23.28515625" style="178" customWidth="1"/>
    <col min="1801" max="1801" width="25.140625" style="178" customWidth="1"/>
    <col min="1802" max="1802" width="24.85546875" style="178" customWidth="1"/>
    <col min="1803" max="1803" width="22" style="178" customWidth="1"/>
    <col min="1804" max="1804" width="25.7109375" style="178" customWidth="1"/>
    <col min="1805" max="1805" width="26.140625" style="178" customWidth="1"/>
    <col min="1806" max="1806" width="27.5703125" style="178" customWidth="1"/>
    <col min="1807" max="1807" width="27.140625" style="178" customWidth="1"/>
    <col min="1808" max="1808" width="32.85546875" style="178" customWidth="1"/>
    <col min="1809" max="1809" width="22.42578125" style="178" customWidth="1"/>
    <col min="1810" max="1810" width="28.140625" style="178" customWidth="1"/>
    <col min="1811" max="1811" width="52.42578125" style="178" customWidth="1"/>
    <col min="1812" max="1812" width="32.42578125" style="178" customWidth="1"/>
    <col min="1813" max="1813" width="24.5703125" style="178" customWidth="1"/>
    <col min="1814" max="1814" width="35" style="178" customWidth="1"/>
    <col min="1815" max="1815" width="35.140625" style="178" customWidth="1"/>
    <col min="1816" max="1816" width="41.140625" style="178" customWidth="1"/>
    <col min="1817" max="1817" width="16.42578125" style="178" customWidth="1"/>
    <col min="1818" max="1818" width="21.42578125" style="178" customWidth="1"/>
    <col min="1819" max="1819" width="31.42578125" style="178" customWidth="1"/>
    <col min="1820" max="1820" width="18.140625" style="178" customWidth="1"/>
    <col min="1821" max="2048" width="9.140625" style="178"/>
    <col min="2049" max="2049" width="9.28515625" style="178" customWidth="1"/>
    <col min="2050" max="2050" width="12.85546875" style="178" customWidth="1"/>
    <col min="2051" max="2051" width="167.42578125" style="178" customWidth="1"/>
    <col min="2052" max="2052" width="27.85546875" style="178" customWidth="1"/>
    <col min="2053" max="2053" width="26.140625" style="178" customWidth="1"/>
    <col min="2054" max="2054" width="26.85546875" style="178" customWidth="1"/>
    <col min="2055" max="2055" width="34.5703125" style="178" customWidth="1"/>
    <col min="2056" max="2056" width="23.28515625" style="178" customWidth="1"/>
    <col min="2057" max="2057" width="25.140625" style="178" customWidth="1"/>
    <col min="2058" max="2058" width="24.85546875" style="178" customWidth="1"/>
    <col min="2059" max="2059" width="22" style="178" customWidth="1"/>
    <col min="2060" max="2060" width="25.7109375" style="178" customWidth="1"/>
    <col min="2061" max="2061" width="26.140625" style="178" customWidth="1"/>
    <col min="2062" max="2062" width="27.5703125" style="178" customWidth="1"/>
    <col min="2063" max="2063" width="27.140625" style="178" customWidth="1"/>
    <col min="2064" max="2064" width="32.85546875" style="178" customWidth="1"/>
    <col min="2065" max="2065" width="22.42578125" style="178" customWidth="1"/>
    <col min="2066" max="2066" width="28.140625" style="178" customWidth="1"/>
    <col min="2067" max="2067" width="52.42578125" style="178" customWidth="1"/>
    <col min="2068" max="2068" width="32.42578125" style="178" customWidth="1"/>
    <col min="2069" max="2069" width="24.5703125" style="178" customWidth="1"/>
    <col min="2070" max="2070" width="35" style="178" customWidth="1"/>
    <col min="2071" max="2071" width="35.140625" style="178" customWidth="1"/>
    <col min="2072" max="2072" width="41.140625" style="178" customWidth="1"/>
    <col min="2073" max="2073" width="16.42578125" style="178" customWidth="1"/>
    <col min="2074" max="2074" width="21.42578125" style="178" customWidth="1"/>
    <col min="2075" max="2075" width="31.42578125" style="178" customWidth="1"/>
    <col min="2076" max="2076" width="18.140625" style="178" customWidth="1"/>
    <col min="2077" max="2304" width="9.140625" style="178"/>
    <col min="2305" max="2305" width="9.28515625" style="178" customWidth="1"/>
    <col min="2306" max="2306" width="12.85546875" style="178" customWidth="1"/>
    <col min="2307" max="2307" width="167.42578125" style="178" customWidth="1"/>
    <col min="2308" max="2308" width="27.85546875" style="178" customWidth="1"/>
    <col min="2309" max="2309" width="26.140625" style="178" customWidth="1"/>
    <col min="2310" max="2310" width="26.85546875" style="178" customWidth="1"/>
    <col min="2311" max="2311" width="34.5703125" style="178" customWidth="1"/>
    <col min="2312" max="2312" width="23.28515625" style="178" customWidth="1"/>
    <col min="2313" max="2313" width="25.140625" style="178" customWidth="1"/>
    <col min="2314" max="2314" width="24.85546875" style="178" customWidth="1"/>
    <col min="2315" max="2315" width="22" style="178" customWidth="1"/>
    <col min="2316" max="2316" width="25.7109375" style="178" customWidth="1"/>
    <col min="2317" max="2317" width="26.140625" style="178" customWidth="1"/>
    <col min="2318" max="2318" width="27.5703125" style="178" customWidth="1"/>
    <col min="2319" max="2319" width="27.140625" style="178" customWidth="1"/>
    <col min="2320" max="2320" width="32.85546875" style="178" customWidth="1"/>
    <col min="2321" max="2321" width="22.42578125" style="178" customWidth="1"/>
    <col min="2322" max="2322" width="28.140625" style="178" customWidth="1"/>
    <col min="2323" max="2323" width="52.42578125" style="178" customWidth="1"/>
    <col min="2324" max="2324" width="32.42578125" style="178" customWidth="1"/>
    <col min="2325" max="2325" width="24.5703125" style="178" customWidth="1"/>
    <col min="2326" max="2326" width="35" style="178" customWidth="1"/>
    <col min="2327" max="2327" width="35.140625" style="178" customWidth="1"/>
    <col min="2328" max="2328" width="41.140625" style="178" customWidth="1"/>
    <col min="2329" max="2329" width="16.42578125" style="178" customWidth="1"/>
    <col min="2330" max="2330" width="21.42578125" style="178" customWidth="1"/>
    <col min="2331" max="2331" width="31.42578125" style="178" customWidth="1"/>
    <col min="2332" max="2332" width="18.140625" style="178" customWidth="1"/>
    <col min="2333" max="2560" width="9.140625" style="178"/>
    <col min="2561" max="2561" width="9.28515625" style="178" customWidth="1"/>
    <col min="2562" max="2562" width="12.85546875" style="178" customWidth="1"/>
    <col min="2563" max="2563" width="167.42578125" style="178" customWidth="1"/>
    <col min="2564" max="2564" width="27.85546875" style="178" customWidth="1"/>
    <col min="2565" max="2565" width="26.140625" style="178" customWidth="1"/>
    <col min="2566" max="2566" width="26.85546875" style="178" customWidth="1"/>
    <col min="2567" max="2567" width="34.5703125" style="178" customWidth="1"/>
    <col min="2568" max="2568" width="23.28515625" style="178" customWidth="1"/>
    <col min="2569" max="2569" width="25.140625" style="178" customWidth="1"/>
    <col min="2570" max="2570" width="24.85546875" style="178" customWidth="1"/>
    <col min="2571" max="2571" width="22" style="178" customWidth="1"/>
    <col min="2572" max="2572" width="25.7109375" style="178" customWidth="1"/>
    <col min="2573" max="2573" width="26.140625" style="178" customWidth="1"/>
    <col min="2574" max="2574" width="27.5703125" style="178" customWidth="1"/>
    <col min="2575" max="2575" width="27.140625" style="178" customWidth="1"/>
    <col min="2576" max="2576" width="32.85546875" style="178" customWidth="1"/>
    <col min="2577" max="2577" width="22.42578125" style="178" customWidth="1"/>
    <col min="2578" max="2578" width="28.140625" style="178" customWidth="1"/>
    <col min="2579" max="2579" width="52.42578125" style="178" customWidth="1"/>
    <col min="2580" max="2580" width="32.42578125" style="178" customWidth="1"/>
    <col min="2581" max="2581" width="24.5703125" style="178" customWidth="1"/>
    <col min="2582" max="2582" width="35" style="178" customWidth="1"/>
    <col min="2583" max="2583" width="35.140625" style="178" customWidth="1"/>
    <col min="2584" max="2584" width="41.140625" style="178" customWidth="1"/>
    <col min="2585" max="2585" width="16.42578125" style="178" customWidth="1"/>
    <col min="2586" max="2586" width="21.42578125" style="178" customWidth="1"/>
    <col min="2587" max="2587" width="31.42578125" style="178" customWidth="1"/>
    <col min="2588" max="2588" width="18.140625" style="178" customWidth="1"/>
    <col min="2589" max="2816" width="9.140625" style="178"/>
    <col min="2817" max="2817" width="9.28515625" style="178" customWidth="1"/>
    <col min="2818" max="2818" width="12.85546875" style="178" customWidth="1"/>
    <col min="2819" max="2819" width="167.42578125" style="178" customWidth="1"/>
    <col min="2820" max="2820" width="27.85546875" style="178" customWidth="1"/>
    <col min="2821" max="2821" width="26.140625" style="178" customWidth="1"/>
    <col min="2822" max="2822" width="26.85546875" style="178" customWidth="1"/>
    <col min="2823" max="2823" width="34.5703125" style="178" customWidth="1"/>
    <col min="2824" max="2824" width="23.28515625" style="178" customWidth="1"/>
    <col min="2825" max="2825" width="25.140625" style="178" customWidth="1"/>
    <col min="2826" max="2826" width="24.85546875" style="178" customWidth="1"/>
    <col min="2827" max="2827" width="22" style="178" customWidth="1"/>
    <col min="2828" max="2828" width="25.7109375" style="178" customWidth="1"/>
    <col min="2829" max="2829" width="26.140625" style="178" customWidth="1"/>
    <col min="2830" max="2830" width="27.5703125" style="178" customWidth="1"/>
    <col min="2831" max="2831" width="27.140625" style="178" customWidth="1"/>
    <col min="2832" max="2832" width="32.85546875" style="178" customWidth="1"/>
    <col min="2833" max="2833" width="22.42578125" style="178" customWidth="1"/>
    <col min="2834" max="2834" width="28.140625" style="178" customWidth="1"/>
    <col min="2835" max="2835" width="52.42578125" style="178" customWidth="1"/>
    <col min="2836" max="2836" width="32.42578125" style="178" customWidth="1"/>
    <col min="2837" max="2837" width="24.5703125" style="178" customWidth="1"/>
    <col min="2838" max="2838" width="35" style="178" customWidth="1"/>
    <col min="2839" max="2839" width="35.140625" style="178" customWidth="1"/>
    <col min="2840" max="2840" width="41.140625" style="178" customWidth="1"/>
    <col min="2841" max="2841" width="16.42578125" style="178" customWidth="1"/>
    <col min="2842" max="2842" width="21.42578125" style="178" customWidth="1"/>
    <col min="2843" max="2843" width="31.42578125" style="178" customWidth="1"/>
    <col min="2844" max="2844" width="18.140625" style="178" customWidth="1"/>
    <col min="2845" max="3072" width="9.140625" style="178"/>
    <col min="3073" max="3073" width="9.28515625" style="178" customWidth="1"/>
    <col min="3074" max="3074" width="12.85546875" style="178" customWidth="1"/>
    <col min="3075" max="3075" width="167.42578125" style="178" customWidth="1"/>
    <col min="3076" max="3076" width="27.85546875" style="178" customWidth="1"/>
    <col min="3077" max="3077" width="26.140625" style="178" customWidth="1"/>
    <col min="3078" max="3078" width="26.85546875" style="178" customWidth="1"/>
    <col min="3079" max="3079" width="34.5703125" style="178" customWidth="1"/>
    <col min="3080" max="3080" width="23.28515625" style="178" customWidth="1"/>
    <col min="3081" max="3081" width="25.140625" style="178" customWidth="1"/>
    <col min="3082" max="3082" width="24.85546875" style="178" customWidth="1"/>
    <col min="3083" max="3083" width="22" style="178" customWidth="1"/>
    <col min="3084" max="3084" width="25.7109375" style="178" customWidth="1"/>
    <col min="3085" max="3085" width="26.140625" style="178" customWidth="1"/>
    <col min="3086" max="3086" width="27.5703125" style="178" customWidth="1"/>
    <col min="3087" max="3087" width="27.140625" style="178" customWidth="1"/>
    <col min="3088" max="3088" width="32.85546875" style="178" customWidth="1"/>
    <col min="3089" max="3089" width="22.42578125" style="178" customWidth="1"/>
    <col min="3090" max="3090" width="28.140625" style="178" customWidth="1"/>
    <col min="3091" max="3091" width="52.42578125" style="178" customWidth="1"/>
    <col min="3092" max="3092" width="32.42578125" style="178" customWidth="1"/>
    <col min="3093" max="3093" width="24.5703125" style="178" customWidth="1"/>
    <col min="3094" max="3094" width="35" style="178" customWidth="1"/>
    <col min="3095" max="3095" width="35.140625" style="178" customWidth="1"/>
    <col min="3096" max="3096" width="41.140625" style="178" customWidth="1"/>
    <col min="3097" max="3097" width="16.42578125" style="178" customWidth="1"/>
    <col min="3098" max="3098" width="21.42578125" style="178" customWidth="1"/>
    <col min="3099" max="3099" width="31.42578125" style="178" customWidth="1"/>
    <col min="3100" max="3100" width="18.140625" style="178" customWidth="1"/>
    <col min="3101" max="3328" width="9.140625" style="178"/>
    <col min="3329" max="3329" width="9.28515625" style="178" customWidth="1"/>
    <col min="3330" max="3330" width="12.85546875" style="178" customWidth="1"/>
    <col min="3331" max="3331" width="167.42578125" style="178" customWidth="1"/>
    <col min="3332" max="3332" width="27.85546875" style="178" customWidth="1"/>
    <col min="3333" max="3333" width="26.140625" style="178" customWidth="1"/>
    <col min="3334" max="3334" width="26.85546875" style="178" customWidth="1"/>
    <col min="3335" max="3335" width="34.5703125" style="178" customWidth="1"/>
    <col min="3336" max="3336" width="23.28515625" style="178" customWidth="1"/>
    <col min="3337" max="3337" width="25.140625" style="178" customWidth="1"/>
    <col min="3338" max="3338" width="24.85546875" style="178" customWidth="1"/>
    <col min="3339" max="3339" width="22" style="178" customWidth="1"/>
    <col min="3340" max="3340" width="25.7109375" style="178" customWidth="1"/>
    <col min="3341" max="3341" width="26.140625" style="178" customWidth="1"/>
    <col min="3342" max="3342" width="27.5703125" style="178" customWidth="1"/>
    <col min="3343" max="3343" width="27.140625" style="178" customWidth="1"/>
    <col min="3344" max="3344" width="32.85546875" style="178" customWidth="1"/>
    <col min="3345" max="3345" width="22.42578125" style="178" customWidth="1"/>
    <col min="3346" max="3346" width="28.140625" style="178" customWidth="1"/>
    <col min="3347" max="3347" width="52.42578125" style="178" customWidth="1"/>
    <col min="3348" max="3348" width="32.42578125" style="178" customWidth="1"/>
    <col min="3349" max="3349" width="24.5703125" style="178" customWidth="1"/>
    <col min="3350" max="3350" width="35" style="178" customWidth="1"/>
    <col min="3351" max="3351" width="35.140625" style="178" customWidth="1"/>
    <col min="3352" max="3352" width="41.140625" style="178" customWidth="1"/>
    <col min="3353" max="3353" width="16.42578125" style="178" customWidth="1"/>
    <col min="3354" max="3354" width="21.42578125" style="178" customWidth="1"/>
    <col min="3355" max="3355" width="31.42578125" style="178" customWidth="1"/>
    <col min="3356" max="3356" width="18.140625" style="178" customWidth="1"/>
    <col min="3357" max="3584" width="9.140625" style="178"/>
    <col min="3585" max="3585" width="9.28515625" style="178" customWidth="1"/>
    <col min="3586" max="3586" width="12.85546875" style="178" customWidth="1"/>
    <col min="3587" max="3587" width="167.42578125" style="178" customWidth="1"/>
    <col min="3588" max="3588" width="27.85546875" style="178" customWidth="1"/>
    <col min="3589" max="3589" width="26.140625" style="178" customWidth="1"/>
    <col min="3590" max="3590" width="26.85546875" style="178" customWidth="1"/>
    <col min="3591" max="3591" width="34.5703125" style="178" customWidth="1"/>
    <col min="3592" max="3592" width="23.28515625" style="178" customWidth="1"/>
    <col min="3593" max="3593" width="25.140625" style="178" customWidth="1"/>
    <col min="3594" max="3594" width="24.85546875" style="178" customWidth="1"/>
    <col min="3595" max="3595" width="22" style="178" customWidth="1"/>
    <col min="3596" max="3596" width="25.7109375" style="178" customWidth="1"/>
    <col min="3597" max="3597" width="26.140625" style="178" customWidth="1"/>
    <col min="3598" max="3598" width="27.5703125" style="178" customWidth="1"/>
    <col min="3599" max="3599" width="27.140625" style="178" customWidth="1"/>
    <col min="3600" max="3600" width="32.85546875" style="178" customWidth="1"/>
    <col min="3601" max="3601" width="22.42578125" style="178" customWidth="1"/>
    <col min="3602" max="3602" width="28.140625" style="178" customWidth="1"/>
    <col min="3603" max="3603" width="52.42578125" style="178" customWidth="1"/>
    <col min="3604" max="3604" width="32.42578125" style="178" customWidth="1"/>
    <col min="3605" max="3605" width="24.5703125" style="178" customWidth="1"/>
    <col min="3606" max="3606" width="35" style="178" customWidth="1"/>
    <col min="3607" max="3607" width="35.140625" style="178" customWidth="1"/>
    <col min="3608" max="3608" width="41.140625" style="178" customWidth="1"/>
    <col min="3609" max="3609" width="16.42578125" style="178" customWidth="1"/>
    <col min="3610" max="3610" width="21.42578125" style="178" customWidth="1"/>
    <col min="3611" max="3611" width="31.42578125" style="178" customWidth="1"/>
    <col min="3612" max="3612" width="18.140625" style="178" customWidth="1"/>
    <col min="3613" max="3840" width="9.140625" style="178"/>
    <col min="3841" max="3841" width="9.28515625" style="178" customWidth="1"/>
    <col min="3842" max="3842" width="12.85546875" style="178" customWidth="1"/>
    <col min="3843" max="3843" width="167.42578125" style="178" customWidth="1"/>
    <col min="3844" max="3844" width="27.85546875" style="178" customWidth="1"/>
    <col min="3845" max="3845" width="26.140625" style="178" customWidth="1"/>
    <col min="3846" max="3846" width="26.85546875" style="178" customWidth="1"/>
    <col min="3847" max="3847" width="34.5703125" style="178" customWidth="1"/>
    <col min="3848" max="3848" width="23.28515625" style="178" customWidth="1"/>
    <col min="3849" max="3849" width="25.140625" style="178" customWidth="1"/>
    <col min="3850" max="3850" width="24.85546875" style="178" customWidth="1"/>
    <col min="3851" max="3851" width="22" style="178" customWidth="1"/>
    <col min="3852" max="3852" width="25.7109375" style="178" customWidth="1"/>
    <col min="3853" max="3853" width="26.140625" style="178" customWidth="1"/>
    <col min="3854" max="3854" width="27.5703125" style="178" customWidth="1"/>
    <col min="3855" max="3855" width="27.140625" style="178" customWidth="1"/>
    <col min="3856" max="3856" width="32.85546875" style="178" customWidth="1"/>
    <col min="3857" max="3857" width="22.42578125" style="178" customWidth="1"/>
    <col min="3858" max="3858" width="28.140625" style="178" customWidth="1"/>
    <col min="3859" max="3859" width="52.42578125" style="178" customWidth="1"/>
    <col min="3860" max="3860" width="32.42578125" style="178" customWidth="1"/>
    <col min="3861" max="3861" width="24.5703125" style="178" customWidth="1"/>
    <col min="3862" max="3862" width="35" style="178" customWidth="1"/>
    <col min="3863" max="3863" width="35.140625" style="178" customWidth="1"/>
    <col min="3864" max="3864" width="41.140625" style="178" customWidth="1"/>
    <col min="3865" max="3865" width="16.42578125" style="178" customWidth="1"/>
    <col min="3866" max="3866" width="21.42578125" style="178" customWidth="1"/>
    <col min="3867" max="3867" width="31.42578125" style="178" customWidth="1"/>
    <col min="3868" max="3868" width="18.140625" style="178" customWidth="1"/>
    <col min="3869" max="4096" width="9.140625" style="178"/>
    <col min="4097" max="4097" width="9.28515625" style="178" customWidth="1"/>
    <col min="4098" max="4098" width="12.85546875" style="178" customWidth="1"/>
    <col min="4099" max="4099" width="167.42578125" style="178" customWidth="1"/>
    <col min="4100" max="4100" width="27.85546875" style="178" customWidth="1"/>
    <col min="4101" max="4101" width="26.140625" style="178" customWidth="1"/>
    <col min="4102" max="4102" width="26.85546875" style="178" customWidth="1"/>
    <col min="4103" max="4103" width="34.5703125" style="178" customWidth="1"/>
    <col min="4104" max="4104" width="23.28515625" style="178" customWidth="1"/>
    <col min="4105" max="4105" width="25.140625" style="178" customWidth="1"/>
    <col min="4106" max="4106" width="24.85546875" style="178" customWidth="1"/>
    <col min="4107" max="4107" width="22" style="178" customWidth="1"/>
    <col min="4108" max="4108" width="25.7109375" style="178" customWidth="1"/>
    <col min="4109" max="4109" width="26.140625" style="178" customWidth="1"/>
    <col min="4110" max="4110" width="27.5703125" style="178" customWidth="1"/>
    <col min="4111" max="4111" width="27.140625" style="178" customWidth="1"/>
    <col min="4112" max="4112" width="32.85546875" style="178" customWidth="1"/>
    <col min="4113" max="4113" width="22.42578125" style="178" customWidth="1"/>
    <col min="4114" max="4114" width="28.140625" style="178" customWidth="1"/>
    <col min="4115" max="4115" width="52.42578125" style="178" customWidth="1"/>
    <col min="4116" max="4116" width="32.42578125" style="178" customWidth="1"/>
    <col min="4117" max="4117" width="24.5703125" style="178" customWidth="1"/>
    <col min="4118" max="4118" width="35" style="178" customWidth="1"/>
    <col min="4119" max="4119" width="35.140625" style="178" customWidth="1"/>
    <col min="4120" max="4120" width="41.140625" style="178" customWidth="1"/>
    <col min="4121" max="4121" width="16.42578125" style="178" customWidth="1"/>
    <col min="4122" max="4122" width="21.42578125" style="178" customWidth="1"/>
    <col min="4123" max="4123" width="31.42578125" style="178" customWidth="1"/>
    <col min="4124" max="4124" width="18.140625" style="178" customWidth="1"/>
    <col min="4125" max="4352" width="9.140625" style="178"/>
    <col min="4353" max="4353" width="9.28515625" style="178" customWidth="1"/>
    <col min="4354" max="4354" width="12.85546875" style="178" customWidth="1"/>
    <col min="4355" max="4355" width="167.42578125" style="178" customWidth="1"/>
    <col min="4356" max="4356" width="27.85546875" style="178" customWidth="1"/>
    <col min="4357" max="4357" width="26.140625" style="178" customWidth="1"/>
    <col min="4358" max="4358" width="26.85546875" style="178" customWidth="1"/>
    <col min="4359" max="4359" width="34.5703125" style="178" customWidth="1"/>
    <col min="4360" max="4360" width="23.28515625" style="178" customWidth="1"/>
    <col min="4361" max="4361" width="25.140625" style="178" customWidth="1"/>
    <col min="4362" max="4362" width="24.85546875" style="178" customWidth="1"/>
    <col min="4363" max="4363" width="22" style="178" customWidth="1"/>
    <col min="4364" max="4364" width="25.7109375" style="178" customWidth="1"/>
    <col min="4365" max="4365" width="26.140625" style="178" customWidth="1"/>
    <col min="4366" max="4366" width="27.5703125" style="178" customWidth="1"/>
    <col min="4367" max="4367" width="27.140625" style="178" customWidth="1"/>
    <col min="4368" max="4368" width="32.85546875" style="178" customWidth="1"/>
    <col min="4369" max="4369" width="22.42578125" style="178" customWidth="1"/>
    <col min="4370" max="4370" width="28.140625" style="178" customWidth="1"/>
    <col min="4371" max="4371" width="52.42578125" style="178" customWidth="1"/>
    <col min="4372" max="4372" width="32.42578125" style="178" customWidth="1"/>
    <col min="4373" max="4373" width="24.5703125" style="178" customWidth="1"/>
    <col min="4374" max="4374" width="35" style="178" customWidth="1"/>
    <col min="4375" max="4375" width="35.140625" style="178" customWidth="1"/>
    <col min="4376" max="4376" width="41.140625" style="178" customWidth="1"/>
    <col min="4377" max="4377" width="16.42578125" style="178" customWidth="1"/>
    <col min="4378" max="4378" width="21.42578125" style="178" customWidth="1"/>
    <col min="4379" max="4379" width="31.42578125" style="178" customWidth="1"/>
    <col min="4380" max="4380" width="18.140625" style="178" customWidth="1"/>
    <col min="4381" max="4608" width="9.140625" style="178"/>
    <col min="4609" max="4609" width="9.28515625" style="178" customWidth="1"/>
    <col min="4610" max="4610" width="12.85546875" style="178" customWidth="1"/>
    <col min="4611" max="4611" width="167.42578125" style="178" customWidth="1"/>
    <col min="4612" max="4612" width="27.85546875" style="178" customWidth="1"/>
    <col min="4613" max="4613" width="26.140625" style="178" customWidth="1"/>
    <col min="4614" max="4614" width="26.85546875" style="178" customWidth="1"/>
    <col min="4615" max="4615" width="34.5703125" style="178" customWidth="1"/>
    <col min="4616" max="4616" width="23.28515625" style="178" customWidth="1"/>
    <col min="4617" max="4617" width="25.140625" style="178" customWidth="1"/>
    <col min="4618" max="4618" width="24.85546875" style="178" customWidth="1"/>
    <col min="4619" max="4619" width="22" style="178" customWidth="1"/>
    <col min="4620" max="4620" width="25.7109375" style="178" customWidth="1"/>
    <col min="4621" max="4621" width="26.140625" style="178" customWidth="1"/>
    <col min="4622" max="4622" width="27.5703125" style="178" customWidth="1"/>
    <col min="4623" max="4623" width="27.140625" style="178" customWidth="1"/>
    <col min="4624" max="4624" width="32.85546875" style="178" customWidth="1"/>
    <col min="4625" max="4625" width="22.42578125" style="178" customWidth="1"/>
    <col min="4626" max="4626" width="28.140625" style="178" customWidth="1"/>
    <col min="4627" max="4627" width="52.42578125" style="178" customWidth="1"/>
    <col min="4628" max="4628" width="32.42578125" style="178" customWidth="1"/>
    <col min="4629" max="4629" width="24.5703125" style="178" customWidth="1"/>
    <col min="4630" max="4630" width="35" style="178" customWidth="1"/>
    <col min="4631" max="4631" width="35.140625" style="178" customWidth="1"/>
    <col min="4632" max="4632" width="41.140625" style="178" customWidth="1"/>
    <col min="4633" max="4633" width="16.42578125" style="178" customWidth="1"/>
    <col min="4634" max="4634" width="21.42578125" style="178" customWidth="1"/>
    <col min="4635" max="4635" width="31.42578125" style="178" customWidth="1"/>
    <col min="4636" max="4636" width="18.140625" style="178" customWidth="1"/>
    <col min="4637" max="4864" width="9.140625" style="178"/>
    <col min="4865" max="4865" width="9.28515625" style="178" customWidth="1"/>
    <col min="4866" max="4866" width="12.85546875" style="178" customWidth="1"/>
    <col min="4867" max="4867" width="167.42578125" style="178" customWidth="1"/>
    <col min="4868" max="4868" width="27.85546875" style="178" customWidth="1"/>
    <col min="4869" max="4869" width="26.140625" style="178" customWidth="1"/>
    <col min="4870" max="4870" width="26.85546875" style="178" customWidth="1"/>
    <col min="4871" max="4871" width="34.5703125" style="178" customWidth="1"/>
    <col min="4872" max="4872" width="23.28515625" style="178" customWidth="1"/>
    <col min="4873" max="4873" width="25.140625" style="178" customWidth="1"/>
    <col min="4874" max="4874" width="24.85546875" style="178" customWidth="1"/>
    <col min="4875" max="4875" width="22" style="178" customWidth="1"/>
    <col min="4876" max="4876" width="25.7109375" style="178" customWidth="1"/>
    <col min="4877" max="4877" width="26.140625" style="178" customWidth="1"/>
    <col min="4878" max="4878" width="27.5703125" style="178" customWidth="1"/>
    <col min="4879" max="4879" width="27.140625" style="178" customWidth="1"/>
    <col min="4880" max="4880" width="32.85546875" style="178" customWidth="1"/>
    <col min="4881" max="4881" width="22.42578125" style="178" customWidth="1"/>
    <col min="4882" max="4882" width="28.140625" style="178" customWidth="1"/>
    <col min="4883" max="4883" width="52.42578125" style="178" customWidth="1"/>
    <col min="4884" max="4884" width="32.42578125" style="178" customWidth="1"/>
    <col min="4885" max="4885" width="24.5703125" style="178" customWidth="1"/>
    <col min="4886" max="4886" width="35" style="178" customWidth="1"/>
    <col min="4887" max="4887" width="35.140625" style="178" customWidth="1"/>
    <col min="4888" max="4888" width="41.140625" style="178" customWidth="1"/>
    <col min="4889" max="4889" width="16.42578125" style="178" customWidth="1"/>
    <col min="4890" max="4890" width="21.42578125" style="178" customWidth="1"/>
    <col min="4891" max="4891" width="31.42578125" style="178" customWidth="1"/>
    <col min="4892" max="4892" width="18.140625" style="178" customWidth="1"/>
    <col min="4893" max="5120" width="9.140625" style="178"/>
    <col min="5121" max="5121" width="9.28515625" style="178" customWidth="1"/>
    <col min="5122" max="5122" width="12.85546875" style="178" customWidth="1"/>
    <col min="5123" max="5123" width="167.42578125" style="178" customWidth="1"/>
    <col min="5124" max="5124" width="27.85546875" style="178" customWidth="1"/>
    <col min="5125" max="5125" width="26.140625" style="178" customWidth="1"/>
    <col min="5126" max="5126" width="26.85546875" style="178" customWidth="1"/>
    <col min="5127" max="5127" width="34.5703125" style="178" customWidth="1"/>
    <col min="5128" max="5128" width="23.28515625" style="178" customWidth="1"/>
    <col min="5129" max="5129" width="25.140625" style="178" customWidth="1"/>
    <col min="5130" max="5130" width="24.85546875" style="178" customWidth="1"/>
    <col min="5131" max="5131" width="22" style="178" customWidth="1"/>
    <col min="5132" max="5132" width="25.7109375" style="178" customWidth="1"/>
    <col min="5133" max="5133" width="26.140625" style="178" customWidth="1"/>
    <col min="5134" max="5134" width="27.5703125" style="178" customWidth="1"/>
    <col min="5135" max="5135" width="27.140625" style="178" customWidth="1"/>
    <col min="5136" max="5136" width="32.85546875" style="178" customWidth="1"/>
    <col min="5137" max="5137" width="22.42578125" style="178" customWidth="1"/>
    <col min="5138" max="5138" width="28.140625" style="178" customWidth="1"/>
    <col min="5139" max="5139" width="52.42578125" style="178" customWidth="1"/>
    <col min="5140" max="5140" width="32.42578125" style="178" customWidth="1"/>
    <col min="5141" max="5141" width="24.5703125" style="178" customWidth="1"/>
    <col min="5142" max="5142" width="35" style="178" customWidth="1"/>
    <col min="5143" max="5143" width="35.140625" style="178" customWidth="1"/>
    <col min="5144" max="5144" width="41.140625" style="178" customWidth="1"/>
    <col min="5145" max="5145" width="16.42578125" style="178" customWidth="1"/>
    <col min="5146" max="5146" width="21.42578125" style="178" customWidth="1"/>
    <col min="5147" max="5147" width="31.42578125" style="178" customWidth="1"/>
    <col min="5148" max="5148" width="18.140625" style="178" customWidth="1"/>
    <col min="5149" max="5376" width="9.140625" style="178"/>
    <col min="5377" max="5377" width="9.28515625" style="178" customWidth="1"/>
    <col min="5378" max="5378" width="12.85546875" style="178" customWidth="1"/>
    <col min="5379" max="5379" width="167.42578125" style="178" customWidth="1"/>
    <col min="5380" max="5380" width="27.85546875" style="178" customWidth="1"/>
    <col min="5381" max="5381" width="26.140625" style="178" customWidth="1"/>
    <col min="5382" max="5382" width="26.85546875" style="178" customWidth="1"/>
    <col min="5383" max="5383" width="34.5703125" style="178" customWidth="1"/>
    <col min="5384" max="5384" width="23.28515625" style="178" customWidth="1"/>
    <col min="5385" max="5385" width="25.140625" style="178" customWidth="1"/>
    <col min="5386" max="5386" width="24.85546875" style="178" customWidth="1"/>
    <col min="5387" max="5387" width="22" style="178" customWidth="1"/>
    <col min="5388" max="5388" width="25.7109375" style="178" customWidth="1"/>
    <col min="5389" max="5389" width="26.140625" style="178" customWidth="1"/>
    <col min="5390" max="5390" width="27.5703125" style="178" customWidth="1"/>
    <col min="5391" max="5391" width="27.140625" style="178" customWidth="1"/>
    <col min="5392" max="5392" width="32.85546875" style="178" customWidth="1"/>
    <col min="5393" max="5393" width="22.42578125" style="178" customWidth="1"/>
    <col min="5394" max="5394" width="28.140625" style="178" customWidth="1"/>
    <col min="5395" max="5395" width="52.42578125" style="178" customWidth="1"/>
    <col min="5396" max="5396" width="32.42578125" style="178" customWidth="1"/>
    <col min="5397" max="5397" width="24.5703125" style="178" customWidth="1"/>
    <col min="5398" max="5398" width="35" style="178" customWidth="1"/>
    <col min="5399" max="5399" width="35.140625" style="178" customWidth="1"/>
    <col min="5400" max="5400" width="41.140625" style="178" customWidth="1"/>
    <col min="5401" max="5401" width="16.42578125" style="178" customWidth="1"/>
    <col min="5402" max="5402" width="21.42578125" style="178" customWidth="1"/>
    <col min="5403" max="5403" width="31.42578125" style="178" customWidth="1"/>
    <col min="5404" max="5404" width="18.140625" style="178" customWidth="1"/>
    <col min="5405" max="5632" width="9.140625" style="178"/>
    <col min="5633" max="5633" width="9.28515625" style="178" customWidth="1"/>
    <col min="5634" max="5634" width="12.85546875" style="178" customWidth="1"/>
    <col min="5635" max="5635" width="167.42578125" style="178" customWidth="1"/>
    <col min="5636" max="5636" width="27.85546875" style="178" customWidth="1"/>
    <col min="5637" max="5637" width="26.140625" style="178" customWidth="1"/>
    <col min="5638" max="5638" width="26.85546875" style="178" customWidth="1"/>
    <col min="5639" max="5639" width="34.5703125" style="178" customWidth="1"/>
    <col min="5640" max="5640" width="23.28515625" style="178" customWidth="1"/>
    <col min="5641" max="5641" width="25.140625" style="178" customWidth="1"/>
    <col min="5642" max="5642" width="24.85546875" style="178" customWidth="1"/>
    <col min="5643" max="5643" width="22" style="178" customWidth="1"/>
    <col min="5644" max="5644" width="25.7109375" style="178" customWidth="1"/>
    <col min="5645" max="5645" width="26.140625" style="178" customWidth="1"/>
    <col min="5646" max="5646" width="27.5703125" style="178" customWidth="1"/>
    <col min="5647" max="5647" width="27.140625" style="178" customWidth="1"/>
    <col min="5648" max="5648" width="32.85546875" style="178" customWidth="1"/>
    <col min="5649" max="5649" width="22.42578125" style="178" customWidth="1"/>
    <col min="5650" max="5650" width="28.140625" style="178" customWidth="1"/>
    <col min="5651" max="5651" width="52.42578125" style="178" customWidth="1"/>
    <col min="5652" max="5652" width="32.42578125" style="178" customWidth="1"/>
    <col min="5653" max="5653" width="24.5703125" style="178" customWidth="1"/>
    <col min="5654" max="5654" width="35" style="178" customWidth="1"/>
    <col min="5655" max="5655" width="35.140625" style="178" customWidth="1"/>
    <col min="5656" max="5656" width="41.140625" style="178" customWidth="1"/>
    <col min="5657" max="5657" width="16.42578125" style="178" customWidth="1"/>
    <col min="5658" max="5658" width="21.42578125" style="178" customWidth="1"/>
    <col min="5659" max="5659" width="31.42578125" style="178" customWidth="1"/>
    <col min="5660" max="5660" width="18.140625" style="178" customWidth="1"/>
    <col min="5661" max="5888" width="9.140625" style="178"/>
    <col min="5889" max="5889" width="9.28515625" style="178" customWidth="1"/>
    <col min="5890" max="5890" width="12.85546875" style="178" customWidth="1"/>
    <col min="5891" max="5891" width="167.42578125" style="178" customWidth="1"/>
    <col min="5892" max="5892" width="27.85546875" style="178" customWidth="1"/>
    <col min="5893" max="5893" width="26.140625" style="178" customWidth="1"/>
    <col min="5894" max="5894" width="26.85546875" style="178" customWidth="1"/>
    <col min="5895" max="5895" width="34.5703125" style="178" customWidth="1"/>
    <col min="5896" max="5896" width="23.28515625" style="178" customWidth="1"/>
    <col min="5897" max="5897" width="25.140625" style="178" customWidth="1"/>
    <col min="5898" max="5898" width="24.85546875" style="178" customWidth="1"/>
    <col min="5899" max="5899" width="22" style="178" customWidth="1"/>
    <col min="5900" max="5900" width="25.7109375" style="178" customWidth="1"/>
    <col min="5901" max="5901" width="26.140625" style="178" customWidth="1"/>
    <col min="5902" max="5902" width="27.5703125" style="178" customWidth="1"/>
    <col min="5903" max="5903" width="27.140625" style="178" customWidth="1"/>
    <col min="5904" max="5904" width="32.85546875" style="178" customWidth="1"/>
    <col min="5905" max="5905" width="22.42578125" style="178" customWidth="1"/>
    <col min="5906" max="5906" width="28.140625" style="178" customWidth="1"/>
    <col min="5907" max="5907" width="52.42578125" style="178" customWidth="1"/>
    <col min="5908" max="5908" width="32.42578125" style="178" customWidth="1"/>
    <col min="5909" max="5909" width="24.5703125" style="178" customWidth="1"/>
    <col min="5910" max="5910" width="35" style="178" customWidth="1"/>
    <col min="5911" max="5911" width="35.140625" style="178" customWidth="1"/>
    <col min="5912" max="5912" width="41.140625" style="178" customWidth="1"/>
    <col min="5913" max="5913" width="16.42578125" style="178" customWidth="1"/>
    <col min="5914" max="5914" width="21.42578125" style="178" customWidth="1"/>
    <col min="5915" max="5915" width="31.42578125" style="178" customWidth="1"/>
    <col min="5916" max="5916" width="18.140625" style="178" customWidth="1"/>
    <col min="5917" max="6144" width="9.140625" style="178"/>
    <col min="6145" max="6145" width="9.28515625" style="178" customWidth="1"/>
    <col min="6146" max="6146" width="12.85546875" style="178" customWidth="1"/>
    <col min="6147" max="6147" width="167.42578125" style="178" customWidth="1"/>
    <col min="6148" max="6148" width="27.85546875" style="178" customWidth="1"/>
    <col min="6149" max="6149" width="26.140625" style="178" customWidth="1"/>
    <col min="6150" max="6150" width="26.85546875" style="178" customWidth="1"/>
    <col min="6151" max="6151" width="34.5703125" style="178" customWidth="1"/>
    <col min="6152" max="6152" width="23.28515625" style="178" customWidth="1"/>
    <col min="6153" max="6153" width="25.140625" style="178" customWidth="1"/>
    <col min="6154" max="6154" width="24.85546875" style="178" customWidth="1"/>
    <col min="6155" max="6155" width="22" style="178" customWidth="1"/>
    <col min="6156" max="6156" width="25.7109375" style="178" customWidth="1"/>
    <col min="6157" max="6157" width="26.140625" style="178" customWidth="1"/>
    <col min="6158" max="6158" width="27.5703125" style="178" customWidth="1"/>
    <col min="6159" max="6159" width="27.140625" style="178" customWidth="1"/>
    <col min="6160" max="6160" width="32.85546875" style="178" customWidth="1"/>
    <col min="6161" max="6161" width="22.42578125" style="178" customWidth="1"/>
    <col min="6162" max="6162" width="28.140625" style="178" customWidth="1"/>
    <col min="6163" max="6163" width="52.42578125" style="178" customWidth="1"/>
    <col min="6164" max="6164" width="32.42578125" style="178" customWidth="1"/>
    <col min="6165" max="6165" width="24.5703125" style="178" customWidth="1"/>
    <col min="6166" max="6166" width="35" style="178" customWidth="1"/>
    <col min="6167" max="6167" width="35.140625" style="178" customWidth="1"/>
    <col min="6168" max="6168" width="41.140625" style="178" customWidth="1"/>
    <col min="6169" max="6169" width="16.42578125" style="178" customWidth="1"/>
    <col min="6170" max="6170" width="21.42578125" style="178" customWidth="1"/>
    <col min="6171" max="6171" width="31.42578125" style="178" customWidth="1"/>
    <col min="6172" max="6172" width="18.140625" style="178" customWidth="1"/>
    <col min="6173" max="6400" width="9.140625" style="178"/>
    <col min="6401" max="6401" width="9.28515625" style="178" customWidth="1"/>
    <col min="6402" max="6402" width="12.85546875" style="178" customWidth="1"/>
    <col min="6403" max="6403" width="167.42578125" style="178" customWidth="1"/>
    <col min="6404" max="6404" width="27.85546875" style="178" customWidth="1"/>
    <col min="6405" max="6405" width="26.140625" style="178" customWidth="1"/>
    <col min="6406" max="6406" width="26.85546875" style="178" customWidth="1"/>
    <col min="6407" max="6407" width="34.5703125" style="178" customWidth="1"/>
    <col min="6408" max="6408" width="23.28515625" style="178" customWidth="1"/>
    <col min="6409" max="6409" width="25.140625" style="178" customWidth="1"/>
    <col min="6410" max="6410" width="24.85546875" style="178" customWidth="1"/>
    <col min="6411" max="6411" width="22" style="178" customWidth="1"/>
    <col min="6412" max="6412" width="25.7109375" style="178" customWidth="1"/>
    <col min="6413" max="6413" width="26.140625" style="178" customWidth="1"/>
    <col min="6414" max="6414" width="27.5703125" style="178" customWidth="1"/>
    <col min="6415" max="6415" width="27.140625" style="178" customWidth="1"/>
    <col min="6416" max="6416" width="32.85546875" style="178" customWidth="1"/>
    <col min="6417" max="6417" width="22.42578125" style="178" customWidth="1"/>
    <col min="6418" max="6418" width="28.140625" style="178" customWidth="1"/>
    <col min="6419" max="6419" width="52.42578125" style="178" customWidth="1"/>
    <col min="6420" max="6420" width="32.42578125" style="178" customWidth="1"/>
    <col min="6421" max="6421" width="24.5703125" style="178" customWidth="1"/>
    <col min="6422" max="6422" width="35" style="178" customWidth="1"/>
    <col min="6423" max="6423" width="35.140625" style="178" customWidth="1"/>
    <col min="6424" max="6424" width="41.140625" style="178" customWidth="1"/>
    <col min="6425" max="6425" width="16.42578125" style="178" customWidth="1"/>
    <col min="6426" max="6426" width="21.42578125" style="178" customWidth="1"/>
    <col min="6427" max="6427" width="31.42578125" style="178" customWidth="1"/>
    <col min="6428" max="6428" width="18.140625" style="178" customWidth="1"/>
    <col min="6429" max="6656" width="9.140625" style="178"/>
    <col min="6657" max="6657" width="9.28515625" style="178" customWidth="1"/>
    <col min="6658" max="6658" width="12.85546875" style="178" customWidth="1"/>
    <col min="6659" max="6659" width="167.42578125" style="178" customWidth="1"/>
    <col min="6660" max="6660" width="27.85546875" style="178" customWidth="1"/>
    <col min="6661" max="6661" width="26.140625" style="178" customWidth="1"/>
    <col min="6662" max="6662" width="26.85546875" style="178" customWidth="1"/>
    <col min="6663" max="6663" width="34.5703125" style="178" customWidth="1"/>
    <col min="6664" max="6664" width="23.28515625" style="178" customWidth="1"/>
    <col min="6665" max="6665" width="25.140625" style="178" customWidth="1"/>
    <col min="6666" max="6666" width="24.85546875" style="178" customWidth="1"/>
    <col min="6667" max="6667" width="22" style="178" customWidth="1"/>
    <col min="6668" max="6668" width="25.7109375" style="178" customWidth="1"/>
    <col min="6669" max="6669" width="26.140625" style="178" customWidth="1"/>
    <col min="6670" max="6670" width="27.5703125" style="178" customWidth="1"/>
    <col min="6671" max="6671" width="27.140625" style="178" customWidth="1"/>
    <col min="6672" max="6672" width="32.85546875" style="178" customWidth="1"/>
    <col min="6673" max="6673" width="22.42578125" style="178" customWidth="1"/>
    <col min="6674" max="6674" width="28.140625" style="178" customWidth="1"/>
    <col min="6675" max="6675" width="52.42578125" style="178" customWidth="1"/>
    <col min="6676" max="6676" width="32.42578125" style="178" customWidth="1"/>
    <col min="6677" max="6677" width="24.5703125" style="178" customWidth="1"/>
    <col min="6678" max="6678" width="35" style="178" customWidth="1"/>
    <col min="6679" max="6679" width="35.140625" style="178" customWidth="1"/>
    <col min="6680" max="6680" width="41.140625" style="178" customWidth="1"/>
    <col min="6681" max="6681" width="16.42578125" style="178" customWidth="1"/>
    <col min="6682" max="6682" width="21.42578125" style="178" customWidth="1"/>
    <col min="6683" max="6683" width="31.42578125" style="178" customWidth="1"/>
    <col min="6684" max="6684" width="18.140625" style="178" customWidth="1"/>
    <col min="6685" max="6912" width="9.140625" style="178"/>
    <col min="6913" max="6913" width="9.28515625" style="178" customWidth="1"/>
    <col min="6914" max="6914" width="12.85546875" style="178" customWidth="1"/>
    <col min="6915" max="6915" width="167.42578125" style="178" customWidth="1"/>
    <col min="6916" max="6916" width="27.85546875" style="178" customWidth="1"/>
    <col min="6917" max="6917" width="26.140625" style="178" customWidth="1"/>
    <col min="6918" max="6918" width="26.85546875" style="178" customWidth="1"/>
    <col min="6919" max="6919" width="34.5703125" style="178" customWidth="1"/>
    <col min="6920" max="6920" width="23.28515625" style="178" customWidth="1"/>
    <col min="6921" max="6921" width="25.140625" style="178" customWidth="1"/>
    <col min="6922" max="6922" width="24.85546875" style="178" customWidth="1"/>
    <col min="6923" max="6923" width="22" style="178" customWidth="1"/>
    <col min="6924" max="6924" width="25.7109375" style="178" customWidth="1"/>
    <col min="6925" max="6925" width="26.140625" style="178" customWidth="1"/>
    <col min="6926" max="6926" width="27.5703125" style="178" customWidth="1"/>
    <col min="6927" max="6927" width="27.140625" style="178" customWidth="1"/>
    <col min="6928" max="6928" width="32.85546875" style="178" customWidth="1"/>
    <col min="6929" max="6929" width="22.42578125" style="178" customWidth="1"/>
    <col min="6930" max="6930" width="28.140625" style="178" customWidth="1"/>
    <col min="6931" max="6931" width="52.42578125" style="178" customWidth="1"/>
    <col min="6932" max="6932" width="32.42578125" style="178" customWidth="1"/>
    <col min="6933" max="6933" width="24.5703125" style="178" customWidth="1"/>
    <col min="6934" max="6934" width="35" style="178" customWidth="1"/>
    <col min="6935" max="6935" width="35.140625" style="178" customWidth="1"/>
    <col min="6936" max="6936" width="41.140625" style="178" customWidth="1"/>
    <col min="6937" max="6937" width="16.42578125" style="178" customWidth="1"/>
    <col min="6938" max="6938" width="21.42578125" style="178" customWidth="1"/>
    <col min="6939" max="6939" width="31.42578125" style="178" customWidth="1"/>
    <col min="6940" max="6940" width="18.140625" style="178" customWidth="1"/>
    <col min="6941" max="7168" width="9.140625" style="178"/>
    <col min="7169" max="7169" width="9.28515625" style="178" customWidth="1"/>
    <col min="7170" max="7170" width="12.85546875" style="178" customWidth="1"/>
    <col min="7171" max="7171" width="167.42578125" style="178" customWidth="1"/>
    <col min="7172" max="7172" width="27.85546875" style="178" customWidth="1"/>
    <col min="7173" max="7173" width="26.140625" style="178" customWidth="1"/>
    <col min="7174" max="7174" width="26.85546875" style="178" customWidth="1"/>
    <col min="7175" max="7175" width="34.5703125" style="178" customWidth="1"/>
    <col min="7176" max="7176" width="23.28515625" style="178" customWidth="1"/>
    <col min="7177" max="7177" width="25.140625" style="178" customWidth="1"/>
    <col min="7178" max="7178" width="24.85546875" style="178" customWidth="1"/>
    <col min="7179" max="7179" width="22" style="178" customWidth="1"/>
    <col min="7180" max="7180" width="25.7109375" style="178" customWidth="1"/>
    <col min="7181" max="7181" width="26.140625" style="178" customWidth="1"/>
    <col min="7182" max="7182" width="27.5703125" style="178" customWidth="1"/>
    <col min="7183" max="7183" width="27.140625" style="178" customWidth="1"/>
    <col min="7184" max="7184" width="32.85546875" style="178" customWidth="1"/>
    <col min="7185" max="7185" width="22.42578125" style="178" customWidth="1"/>
    <col min="7186" max="7186" width="28.140625" style="178" customWidth="1"/>
    <col min="7187" max="7187" width="52.42578125" style="178" customWidth="1"/>
    <col min="7188" max="7188" width="32.42578125" style="178" customWidth="1"/>
    <col min="7189" max="7189" width="24.5703125" style="178" customWidth="1"/>
    <col min="7190" max="7190" width="35" style="178" customWidth="1"/>
    <col min="7191" max="7191" width="35.140625" style="178" customWidth="1"/>
    <col min="7192" max="7192" width="41.140625" style="178" customWidth="1"/>
    <col min="7193" max="7193" width="16.42578125" style="178" customWidth="1"/>
    <col min="7194" max="7194" width="21.42578125" style="178" customWidth="1"/>
    <col min="7195" max="7195" width="31.42578125" style="178" customWidth="1"/>
    <col min="7196" max="7196" width="18.140625" style="178" customWidth="1"/>
    <col min="7197" max="7424" width="9.140625" style="178"/>
    <col min="7425" max="7425" width="9.28515625" style="178" customWidth="1"/>
    <col min="7426" max="7426" width="12.85546875" style="178" customWidth="1"/>
    <col min="7427" max="7427" width="167.42578125" style="178" customWidth="1"/>
    <col min="7428" max="7428" width="27.85546875" style="178" customWidth="1"/>
    <col min="7429" max="7429" width="26.140625" style="178" customWidth="1"/>
    <col min="7430" max="7430" width="26.85546875" style="178" customWidth="1"/>
    <col min="7431" max="7431" width="34.5703125" style="178" customWidth="1"/>
    <col min="7432" max="7432" width="23.28515625" style="178" customWidth="1"/>
    <col min="7433" max="7433" width="25.140625" style="178" customWidth="1"/>
    <col min="7434" max="7434" width="24.85546875" style="178" customWidth="1"/>
    <col min="7435" max="7435" width="22" style="178" customWidth="1"/>
    <col min="7436" max="7436" width="25.7109375" style="178" customWidth="1"/>
    <col min="7437" max="7437" width="26.140625" style="178" customWidth="1"/>
    <col min="7438" max="7438" width="27.5703125" style="178" customWidth="1"/>
    <col min="7439" max="7439" width="27.140625" style="178" customWidth="1"/>
    <col min="7440" max="7440" width="32.85546875" style="178" customWidth="1"/>
    <col min="7441" max="7441" width="22.42578125" style="178" customWidth="1"/>
    <col min="7442" max="7442" width="28.140625" style="178" customWidth="1"/>
    <col min="7443" max="7443" width="52.42578125" style="178" customWidth="1"/>
    <col min="7444" max="7444" width="32.42578125" style="178" customWidth="1"/>
    <col min="7445" max="7445" width="24.5703125" style="178" customWidth="1"/>
    <col min="7446" max="7446" width="35" style="178" customWidth="1"/>
    <col min="7447" max="7447" width="35.140625" style="178" customWidth="1"/>
    <col min="7448" max="7448" width="41.140625" style="178" customWidth="1"/>
    <col min="7449" max="7449" width="16.42578125" style="178" customWidth="1"/>
    <col min="7450" max="7450" width="21.42578125" style="178" customWidth="1"/>
    <col min="7451" max="7451" width="31.42578125" style="178" customWidth="1"/>
    <col min="7452" max="7452" width="18.140625" style="178" customWidth="1"/>
    <col min="7453" max="7680" width="9.140625" style="178"/>
    <col min="7681" max="7681" width="9.28515625" style="178" customWidth="1"/>
    <col min="7682" max="7682" width="12.85546875" style="178" customWidth="1"/>
    <col min="7683" max="7683" width="167.42578125" style="178" customWidth="1"/>
    <col min="7684" max="7684" width="27.85546875" style="178" customWidth="1"/>
    <col min="7685" max="7685" width="26.140625" style="178" customWidth="1"/>
    <col min="7686" max="7686" width="26.85546875" style="178" customWidth="1"/>
    <col min="7687" max="7687" width="34.5703125" style="178" customWidth="1"/>
    <col min="7688" max="7688" width="23.28515625" style="178" customWidth="1"/>
    <col min="7689" max="7689" width="25.140625" style="178" customWidth="1"/>
    <col min="7690" max="7690" width="24.85546875" style="178" customWidth="1"/>
    <col min="7691" max="7691" width="22" style="178" customWidth="1"/>
    <col min="7692" max="7692" width="25.7109375" style="178" customWidth="1"/>
    <col min="7693" max="7693" width="26.140625" style="178" customWidth="1"/>
    <col min="7694" max="7694" width="27.5703125" style="178" customWidth="1"/>
    <col min="7695" max="7695" width="27.140625" style="178" customWidth="1"/>
    <col min="7696" max="7696" width="32.85546875" style="178" customWidth="1"/>
    <col min="7697" max="7697" width="22.42578125" style="178" customWidth="1"/>
    <col min="7698" max="7698" width="28.140625" style="178" customWidth="1"/>
    <col min="7699" max="7699" width="52.42578125" style="178" customWidth="1"/>
    <col min="7700" max="7700" width="32.42578125" style="178" customWidth="1"/>
    <col min="7701" max="7701" width="24.5703125" style="178" customWidth="1"/>
    <col min="7702" max="7702" width="35" style="178" customWidth="1"/>
    <col min="7703" max="7703" width="35.140625" style="178" customWidth="1"/>
    <col min="7704" max="7704" width="41.140625" style="178" customWidth="1"/>
    <col min="7705" max="7705" width="16.42578125" style="178" customWidth="1"/>
    <col min="7706" max="7706" width="21.42578125" style="178" customWidth="1"/>
    <col min="7707" max="7707" width="31.42578125" style="178" customWidth="1"/>
    <col min="7708" max="7708" width="18.140625" style="178" customWidth="1"/>
    <col min="7709" max="7936" width="9.140625" style="178"/>
    <col min="7937" max="7937" width="9.28515625" style="178" customWidth="1"/>
    <col min="7938" max="7938" width="12.85546875" style="178" customWidth="1"/>
    <col min="7939" max="7939" width="167.42578125" style="178" customWidth="1"/>
    <col min="7940" max="7940" width="27.85546875" style="178" customWidth="1"/>
    <col min="7941" max="7941" width="26.140625" style="178" customWidth="1"/>
    <col min="7942" max="7942" width="26.85546875" style="178" customWidth="1"/>
    <col min="7943" max="7943" width="34.5703125" style="178" customWidth="1"/>
    <col min="7944" max="7944" width="23.28515625" style="178" customWidth="1"/>
    <col min="7945" max="7945" width="25.140625" style="178" customWidth="1"/>
    <col min="7946" max="7946" width="24.85546875" style="178" customWidth="1"/>
    <col min="7947" max="7947" width="22" style="178" customWidth="1"/>
    <col min="7948" max="7948" width="25.7109375" style="178" customWidth="1"/>
    <col min="7949" max="7949" width="26.140625" style="178" customWidth="1"/>
    <col min="7950" max="7950" width="27.5703125" style="178" customWidth="1"/>
    <col min="7951" max="7951" width="27.140625" style="178" customWidth="1"/>
    <col min="7952" max="7952" width="32.85546875" style="178" customWidth="1"/>
    <col min="7953" max="7953" width="22.42578125" style="178" customWidth="1"/>
    <col min="7954" max="7954" width="28.140625" style="178" customWidth="1"/>
    <col min="7955" max="7955" width="52.42578125" style="178" customWidth="1"/>
    <col min="7956" max="7956" width="32.42578125" style="178" customWidth="1"/>
    <col min="7957" max="7957" width="24.5703125" style="178" customWidth="1"/>
    <col min="7958" max="7958" width="35" style="178" customWidth="1"/>
    <col min="7959" max="7959" width="35.140625" style="178" customWidth="1"/>
    <col min="7960" max="7960" width="41.140625" style="178" customWidth="1"/>
    <col min="7961" max="7961" width="16.42578125" style="178" customWidth="1"/>
    <col min="7962" max="7962" width="21.42578125" style="178" customWidth="1"/>
    <col min="7963" max="7963" width="31.42578125" style="178" customWidth="1"/>
    <col min="7964" max="7964" width="18.140625" style="178" customWidth="1"/>
    <col min="7965" max="8192" width="9.140625" style="178"/>
    <col min="8193" max="8193" width="9.28515625" style="178" customWidth="1"/>
    <col min="8194" max="8194" width="12.85546875" style="178" customWidth="1"/>
    <col min="8195" max="8195" width="167.42578125" style="178" customWidth="1"/>
    <col min="8196" max="8196" width="27.85546875" style="178" customWidth="1"/>
    <col min="8197" max="8197" width="26.140625" style="178" customWidth="1"/>
    <col min="8198" max="8198" width="26.85546875" style="178" customWidth="1"/>
    <col min="8199" max="8199" width="34.5703125" style="178" customWidth="1"/>
    <col min="8200" max="8200" width="23.28515625" style="178" customWidth="1"/>
    <col min="8201" max="8201" width="25.140625" style="178" customWidth="1"/>
    <col min="8202" max="8202" width="24.85546875" style="178" customWidth="1"/>
    <col min="8203" max="8203" width="22" style="178" customWidth="1"/>
    <col min="8204" max="8204" width="25.7109375" style="178" customWidth="1"/>
    <col min="8205" max="8205" width="26.140625" style="178" customWidth="1"/>
    <col min="8206" max="8206" width="27.5703125" style="178" customWidth="1"/>
    <col min="8207" max="8207" width="27.140625" style="178" customWidth="1"/>
    <col min="8208" max="8208" width="32.85546875" style="178" customWidth="1"/>
    <col min="8209" max="8209" width="22.42578125" style="178" customWidth="1"/>
    <col min="8210" max="8210" width="28.140625" style="178" customWidth="1"/>
    <col min="8211" max="8211" width="52.42578125" style="178" customWidth="1"/>
    <col min="8212" max="8212" width="32.42578125" style="178" customWidth="1"/>
    <col min="8213" max="8213" width="24.5703125" style="178" customWidth="1"/>
    <col min="8214" max="8214" width="35" style="178" customWidth="1"/>
    <col min="8215" max="8215" width="35.140625" style="178" customWidth="1"/>
    <col min="8216" max="8216" width="41.140625" style="178" customWidth="1"/>
    <col min="8217" max="8217" width="16.42578125" style="178" customWidth="1"/>
    <col min="8218" max="8218" width="21.42578125" style="178" customWidth="1"/>
    <col min="8219" max="8219" width="31.42578125" style="178" customWidth="1"/>
    <col min="8220" max="8220" width="18.140625" style="178" customWidth="1"/>
    <col min="8221" max="8448" width="9.140625" style="178"/>
    <col min="8449" max="8449" width="9.28515625" style="178" customWidth="1"/>
    <col min="8450" max="8450" width="12.85546875" style="178" customWidth="1"/>
    <col min="8451" max="8451" width="167.42578125" style="178" customWidth="1"/>
    <col min="8452" max="8452" width="27.85546875" style="178" customWidth="1"/>
    <col min="8453" max="8453" width="26.140625" style="178" customWidth="1"/>
    <col min="8454" max="8454" width="26.85546875" style="178" customWidth="1"/>
    <col min="8455" max="8455" width="34.5703125" style="178" customWidth="1"/>
    <col min="8456" max="8456" width="23.28515625" style="178" customWidth="1"/>
    <col min="8457" max="8457" width="25.140625" style="178" customWidth="1"/>
    <col min="8458" max="8458" width="24.85546875" style="178" customWidth="1"/>
    <col min="8459" max="8459" width="22" style="178" customWidth="1"/>
    <col min="8460" max="8460" width="25.7109375" style="178" customWidth="1"/>
    <col min="8461" max="8461" width="26.140625" style="178" customWidth="1"/>
    <col min="8462" max="8462" width="27.5703125" style="178" customWidth="1"/>
    <col min="8463" max="8463" width="27.140625" style="178" customWidth="1"/>
    <col min="8464" max="8464" width="32.85546875" style="178" customWidth="1"/>
    <col min="8465" max="8465" width="22.42578125" style="178" customWidth="1"/>
    <col min="8466" max="8466" width="28.140625" style="178" customWidth="1"/>
    <col min="8467" max="8467" width="52.42578125" style="178" customWidth="1"/>
    <col min="8468" max="8468" width="32.42578125" style="178" customWidth="1"/>
    <col min="8469" max="8469" width="24.5703125" style="178" customWidth="1"/>
    <col min="8470" max="8470" width="35" style="178" customWidth="1"/>
    <col min="8471" max="8471" width="35.140625" style="178" customWidth="1"/>
    <col min="8472" max="8472" width="41.140625" style="178" customWidth="1"/>
    <col min="8473" max="8473" width="16.42578125" style="178" customWidth="1"/>
    <col min="8474" max="8474" width="21.42578125" style="178" customWidth="1"/>
    <col min="8475" max="8475" width="31.42578125" style="178" customWidth="1"/>
    <col min="8476" max="8476" width="18.140625" style="178" customWidth="1"/>
    <col min="8477" max="8704" width="9.140625" style="178"/>
    <col min="8705" max="8705" width="9.28515625" style="178" customWidth="1"/>
    <col min="8706" max="8706" width="12.85546875" style="178" customWidth="1"/>
    <col min="8707" max="8707" width="167.42578125" style="178" customWidth="1"/>
    <col min="8708" max="8708" width="27.85546875" style="178" customWidth="1"/>
    <col min="8709" max="8709" width="26.140625" style="178" customWidth="1"/>
    <col min="8710" max="8710" width="26.85546875" style="178" customWidth="1"/>
    <col min="8711" max="8711" width="34.5703125" style="178" customWidth="1"/>
    <col min="8712" max="8712" width="23.28515625" style="178" customWidth="1"/>
    <col min="8713" max="8713" width="25.140625" style="178" customWidth="1"/>
    <col min="8714" max="8714" width="24.85546875" style="178" customWidth="1"/>
    <col min="8715" max="8715" width="22" style="178" customWidth="1"/>
    <col min="8716" max="8716" width="25.7109375" style="178" customWidth="1"/>
    <col min="8717" max="8717" width="26.140625" style="178" customWidth="1"/>
    <col min="8718" max="8718" width="27.5703125" style="178" customWidth="1"/>
    <col min="8719" max="8719" width="27.140625" style="178" customWidth="1"/>
    <col min="8720" max="8720" width="32.85546875" style="178" customWidth="1"/>
    <col min="8721" max="8721" width="22.42578125" style="178" customWidth="1"/>
    <col min="8722" max="8722" width="28.140625" style="178" customWidth="1"/>
    <col min="8723" max="8723" width="52.42578125" style="178" customWidth="1"/>
    <col min="8724" max="8724" width="32.42578125" style="178" customWidth="1"/>
    <col min="8725" max="8725" width="24.5703125" style="178" customWidth="1"/>
    <col min="8726" max="8726" width="35" style="178" customWidth="1"/>
    <col min="8727" max="8727" width="35.140625" style="178" customWidth="1"/>
    <col min="8728" max="8728" width="41.140625" style="178" customWidth="1"/>
    <col min="8729" max="8729" width="16.42578125" style="178" customWidth="1"/>
    <col min="8730" max="8730" width="21.42578125" style="178" customWidth="1"/>
    <col min="8731" max="8731" width="31.42578125" style="178" customWidth="1"/>
    <col min="8732" max="8732" width="18.140625" style="178" customWidth="1"/>
    <col min="8733" max="8960" width="9.140625" style="178"/>
    <col min="8961" max="8961" width="9.28515625" style="178" customWidth="1"/>
    <col min="8962" max="8962" width="12.85546875" style="178" customWidth="1"/>
    <col min="8963" max="8963" width="167.42578125" style="178" customWidth="1"/>
    <col min="8964" max="8964" width="27.85546875" style="178" customWidth="1"/>
    <col min="8965" max="8965" width="26.140625" style="178" customWidth="1"/>
    <col min="8966" max="8966" width="26.85546875" style="178" customWidth="1"/>
    <col min="8967" max="8967" width="34.5703125" style="178" customWidth="1"/>
    <col min="8968" max="8968" width="23.28515625" style="178" customWidth="1"/>
    <col min="8969" max="8969" width="25.140625" style="178" customWidth="1"/>
    <col min="8970" max="8970" width="24.85546875" style="178" customWidth="1"/>
    <col min="8971" max="8971" width="22" style="178" customWidth="1"/>
    <col min="8972" max="8972" width="25.7109375" style="178" customWidth="1"/>
    <col min="8973" max="8973" width="26.140625" style="178" customWidth="1"/>
    <col min="8974" max="8974" width="27.5703125" style="178" customWidth="1"/>
    <col min="8975" max="8975" width="27.140625" style="178" customWidth="1"/>
    <col min="8976" max="8976" width="32.85546875" style="178" customWidth="1"/>
    <col min="8977" max="8977" width="22.42578125" style="178" customWidth="1"/>
    <col min="8978" max="8978" width="28.140625" style="178" customWidth="1"/>
    <col min="8979" max="8979" width="52.42578125" style="178" customWidth="1"/>
    <col min="8980" max="8980" width="32.42578125" style="178" customWidth="1"/>
    <col min="8981" max="8981" width="24.5703125" style="178" customWidth="1"/>
    <col min="8982" max="8982" width="35" style="178" customWidth="1"/>
    <col min="8983" max="8983" width="35.140625" style="178" customWidth="1"/>
    <col min="8984" max="8984" width="41.140625" style="178" customWidth="1"/>
    <col min="8985" max="8985" width="16.42578125" style="178" customWidth="1"/>
    <col min="8986" max="8986" width="21.42578125" style="178" customWidth="1"/>
    <col min="8987" max="8987" width="31.42578125" style="178" customWidth="1"/>
    <col min="8988" max="8988" width="18.140625" style="178" customWidth="1"/>
    <col min="8989" max="9216" width="9.140625" style="178"/>
    <col min="9217" max="9217" width="9.28515625" style="178" customWidth="1"/>
    <col min="9218" max="9218" width="12.85546875" style="178" customWidth="1"/>
    <col min="9219" max="9219" width="167.42578125" style="178" customWidth="1"/>
    <col min="9220" max="9220" width="27.85546875" style="178" customWidth="1"/>
    <col min="9221" max="9221" width="26.140625" style="178" customWidth="1"/>
    <col min="9222" max="9222" width="26.85546875" style="178" customWidth="1"/>
    <col min="9223" max="9223" width="34.5703125" style="178" customWidth="1"/>
    <col min="9224" max="9224" width="23.28515625" style="178" customWidth="1"/>
    <col min="9225" max="9225" width="25.140625" style="178" customWidth="1"/>
    <col min="9226" max="9226" width="24.85546875" style="178" customWidth="1"/>
    <col min="9227" max="9227" width="22" style="178" customWidth="1"/>
    <col min="9228" max="9228" width="25.7109375" style="178" customWidth="1"/>
    <col min="9229" max="9229" width="26.140625" style="178" customWidth="1"/>
    <col min="9230" max="9230" width="27.5703125" style="178" customWidth="1"/>
    <col min="9231" max="9231" width="27.140625" style="178" customWidth="1"/>
    <col min="9232" max="9232" width="32.85546875" style="178" customWidth="1"/>
    <col min="9233" max="9233" width="22.42578125" style="178" customWidth="1"/>
    <col min="9234" max="9234" width="28.140625" style="178" customWidth="1"/>
    <col min="9235" max="9235" width="52.42578125" style="178" customWidth="1"/>
    <col min="9236" max="9236" width="32.42578125" style="178" customWidth="1"/>
    <col min="9237" max="9237" width="24.5703125" style="178" customWidth="1"/>
    <col min="9238" max="9238" width="35" style="178" customWidth="1"/>
    <col min="9239" max="9239" width="35.140625" style="178" customWidth="1"/>
    <col min="9240" max="9240" width="41.140625" style="178" customWidth="1"/>
    <col min="9241" max="9241" width="16.42578125" style="178" customWidth="1"/>
    <col min="9242" max="9242" width="21.42578125" style="178" customWidth="1"/>
    <col min="9243" max="9243" width="31.42578125" style="178" customWidth="1"/>
    <col min="9244" max="9244" width="18.140625" style="178" customWidth="1"/>
    <col min="9245" max="9472" width="9.140625" style="178"/>
    <col min="9473" max="9473" width="9.28515625" style="178" customWidth="1"/>
    <col min="9474" max="9474" width="12.85546875" style="178" customWidth="1"/>
    <col min="9475" max="9475" width="167.42578125" style="178" customWidth="1"/>
    <col min="9476" max="9476" width="27.85546875" style="178" customWidth="1"/>
    <col min="9477" max="9477" width="26.140625" style="178" customWidth="1"/>
    <col min="9478" max="9478" width="26.85546875" style="178" customWidth="1"/>
    <col min="9479" max="9479" width="34.5703125" style="178" customWidth="1"/>
    <col min="9480" max="9480" width="23.28515625" style="178" customWidth="1"/>
    <col min="9481" max="9481" width="25.140625" style="178" customWidth="1"/>
    <col min="9482" max="9482" width="24.85546875" style="178" customWidth="1"/>
    <col min="9483" max="9483" width="22" style="178" customWidth="1"/>
    <col min="9484" max="9484" width="25.7109375" style="178" customWidth="1"/>
    <col min="9485" max="9485" width="26.140625" style="178" customWidth="1"/>
    <col min="9486" max="9486" width="27.5703125" style="178" customWidth="1"/>
    <col min="9487" max="9487" width="27.140625" style="178" customWidth="1"/>
    <col min="9488" max="9488" width="32.85546875" style="178" customWidth="1"/>
    <col min="9489" max="9489" width="22.42578125" style="178" customWidth="1"/>
    <col min="9490" max="9490" width="28.140625" style="178" customWidth="1"/>
    <col min="9491" max="9491" width="52.42578125" style="178" customWidth="1"/>
    <col min="9492" max="9492" width="32.42578125" style="178" customWidth="1"/>
    <col min="9493" max="9493" width="24.5703125" style="178" customWidth="1"/>
    <col min="9494" max="9494" width="35" style="178" customWidth="1"/>
    <col min="9495" max="9495" width="35.140625" style="178" customWidth="1"/>
    <col min="9496" max="9496" width="41.140625" style="178" customWidth="1"/>
    <col min="9497" max="9497" width="16.42578125" style="178" customWidth="1"/>
    <col min="9498" max="9498" width="21.42578125" style="178" customWidth="1"/>
    <col min="9499" max="9499" width="31.42578125" style="178" customWidth="1"/>
    <col min="9500" max="9500" width="18.140625" style="178" customWidth="1"/>
    <col min="9501" max="9728" width="9.140625" style="178"/>
    <col min="9729" max="9729" width="9.28515625" style="178" customWidth="1"/>
    <col min="9730" max="9730" width="12.85546875" style="178" customWidth="1"/>
    <col min="9731" max="9731" width="167.42578125" style="178" customWidth="1"/>
    <col min="9732" max="9732" width="27.85546875" style="178" customWidth="1"/>
    <col min="9733" max="9733" width="26.140625" style="178" customWidth="1"/>
    <col min="9734" max="9734" width="26.85546875" style="178" customWidth="1"/>
    <col min="9735" max="9735" width="34.5703125" style="178" customWidth="1"/>
    <col min="9736" max="9736" width="23.28515625" style="178" customWidth="1"/>
    <col min="9737" max="9737" width="25.140625" style="178" customWidth="1"/>
    <col min="9738" max="9738" width="24.85546875" style="178" customWidth="1"/>
    <col min="9739" max="9739" width="22" style="178" customWidth="1"/>
    <col min="9740" max="9740" width="25.7109375" style="178" customWidth="1"/>
    <col min="9741" max="9741" width="26.140625" style="178" customWidth="1"/>
    <col min="9742" max="9742" width="27.5703125" style="178" customWidth="1"/>
    <col min="9743" max="9743" width="27.140625" style="178" customWidth="1"/>
    <col min="9744" max="9744" width="32.85546875" style="178" customWidth="1"/>
    <col min="9745" max="9745" width="22.42578125" style="178" customWidth="1"/>
    <col min="9746" max="9746" width="28.140625" style="178" customWidth="1"/>
    <col min="9747" max="9747" width="52.42578125" style="178" customWidth="1"/>
    <col min="9748" max="9748" width="32.42578125" style="178" customWidth="1"/>
    <col min="9749" max="9749" width="24.5703125" style="178" customWidth="1"/>
    <col min="9750" max="9750" width="35" style="178" customWidth="1"/>
    <col min="9751" max="9751" width="35.140625" style="178" customWidth="1"/>
    <col min="9752" max="9752" width="41.140625" style="178" customWidth="1"/>
    <col min="9753" max="9753" width="16.42578125" style="178" customWidth="1"/>
    <col min="9754" max="9754" width="21.42578125" style="178" customWidth="1"/>
    <col min="9755" max="9755" width="31.42578125" style="178" customWidth="1"/>
    <col min="9756" max="9756" width="18.140625" style="178" customWidth="1"/>
    <col min="9757" max="9984" width="9.140625" style="178"/>
    <col min="9985" max="9985" width="9.28515625" style="178" customWidth="1"/>
    <col min="9986" max="9986" width="12.85546875" style="178" customWidth="1"/>
    <col min="9987" max="9987" width="167.42578125" style="178" customWidth="1"/>
    <col min="9988" max="9988" width="27.85546875" style="178" customWidth="1"/>
    <col min="9989" max="9989" width="26.140625" style="178" customWidth="1"/>
    <col min="9990" max="9990" width="26.85546875" style="178" customWidth="1"/>
    <col min="9991" max="9991" width="34.5703125" style="178" customWidth="1"/>
    <col min="9992" max="9992" width="23.28515625" style="178" customWidth="1"/>
    <col min="9993" max="9993" width="25.140625" style="178" customWidth="1"/>
    <col min="9994" max="9994" width="24.85546875" style="178" customWidth="1"/>
    <col min="9995" max="9995" width="22" style="178" customWidth="1"/>
    <col min="9996" max="9996" width="25.7109375" style="178" customWidth="1"/>
    <col min="9997" max="9997" width="26.140625" style="178" customWidth="1"/>
    <col min="9998" max="9998" width="27.5703125" style="178" customWidth="1"/>
    <col min="9999" max="9999" width="27.140625" style="178" customWidth="1"/>
    <col min="10000" max="10000" width="32.85546875" style="178" customWidth="1"/>
    <col min="10001" max="10001" width="22.42578125" style="178" customWidth="1"/>
    <col min="10002" max="10002" width="28.140625" style="178" customWidth="1"/>
    <col min="10003" max="10003" width="52.42578125" style="178" customWidth="1"/>
    <col min="10004" max="10004" width="32.42578125" style="178" customWidth="1"/>
    <col min="10005" max="10005" width="24.5703125" style="178" customWidth="1"/>
    <col min="10006" max="10006" width="35" style="178" customWidth="1"/>
    <col min="10007" max="10007" width="35.140625" style="178" customWidth="1"/>
    <col min="10008" max="10008" width="41.140625" style="178" customWidth="1"/>
    <col min="10009" max="10009" width="16.42578125" style="178" customWidth="1"/>
    <col min="10010" max="10010" width="21.42578125" style="178" customWidth="1"/>
    <col min="10011" max="10011" width="31.42578125" style="178" customWidth="1"/>
    <col min="10012" max="10012" width="18.140625" style="178" customWidth="1"/>
    <col min="10013" max="10240" width="9.140625" style="178"/>
    <col min="10241" max="10241" width="9.28515625" style="178" customWidth="1"/>
    <col min="10242" max="10242" width="12.85546875" style="178" customWidth="1"/>
    <col min="10243" max="10243" width="167.42578125" style="178" customWidth="1"/>
    <col min="10244" max="10244" width="27.85546875" style="178" customWidth="1"/>
    <col min="10245" max="10245" width="26.140625" style="178" customWidth="1"/>
    <col min="10246" max="10246" width="26.85546875" style="178" customWidth="1"/>
    <col min="10247" max="10247" width="34.5703125" style="178" customWidth="1"/>
    <col min="10248" max="10248" width="23.28515625" style="178" customWidth="1"/>
    <col min="10249" max="10249" width="25.140625" style="178" customWidth="1"/>
    <col min="10250" max="10250" width="24.85546875" style="178" customWidth="1"/>
    <col min="10251" max="10251" width="22" style="178" customWidth="1"/>
    <col min="10252" max="10252" width="25.7109375" style="178" customWidth="1"/>
    <col min="10253" max="10253" width="26.140625" style="178" customWidth="1"/>
    <col min="10254" max="10254" width="27.5703125" style="178" customWidth="1"/>
    <col min="10255" max="10255" width="27.140625" style="178" customWidth="1"/>
    <col min="10256" max="10256" width="32.85546875" style="178" customWidth="1"/>
    <col min="10257" max="10257" width="22.42578125" style="178" customWidth="1"/>
    <col min="10258" max="10258" width="28.140625" style="178" customWidth="1"/>
    <col min="10259" max="10259" width="52.42578125" style="178" customWidth="1"/>
    <col min="10260" max="10260" width="32.42578125" style="178" customWidth="1"/>
    <col min="10261" max="10261" width="24.5703125" style="178" customWidth="1"/>
    <col min="10262" max="10262" width="35" style="178" customWidth="1"/>
    <col min="10263" max="10263" width="35.140625" style="178" customWidth="1"/>
    <col min="10264" max="10264" width="41.140625" style="178" customWidth="1"/>
    <col min="10265" max="10265" width="16.42578125" style="178" customWidth="1"/>
    <col min="10266" max="10266" width="21.42578125" style="178" customWidth="1"/>
    <col min="10267" max="10267" width="31.42578125" style="178" customWidth="1"/>
    <col min="10268" max="10268" width="18.140625" style="178" customWidth="1"/>
    <col min="10269" max="10496" width="9.140625" style="178"/>
    <col min="10497" max="10497" width="9.28515625" style="178" customWidth="1"/>
    <col min="10498" max="10498" width="12.85546875" style="178" customWidth="1"/>
    <col min="10499" max="10499" width="167.42578125" style="178" customWidth="1"/>
    <col min="10500" max="10500" width="27.85546875" style="178" customWidth="1"/>
    <col min="10501" max="10501" width="26.140625" style="178" customWidth="1"/>
    <col min="10502" max="10502" width="26.85546875" style="178" customWidth="1"/>
    <col min="10503" max="10503" width="34.5703125" style="178" customWidth="1"/>
    <col min="10504" max="10504" width="23.28515625" style="178" customWidth="1"/>
    <col min="10505" max="10505" width="25.140625" style="178" customWidth="1"/>
    <col min="10506" max="10506" width="24.85546875" style="178" customWidth="1"/>
    <col min="10507" max="10507" width="22" style="178" customWidth="1"/>
    <col min="10508" max="10508" width="25.7109375" style="178" customWidth="1"/>
    <col min="10509" max="10509" width="26.140625" style="178" customWidth="1"/>
    <col min="10510" max="10510" width="27.5703125" style="178" customWidth="1"/>
    <col min="10511" max="10511" width="27.140625" style="178" customWidth="1"/>
    <col min="10512" max="10512" width="32.85546875" style="178" customWidth="1"/>
    <col min="10513" max="10513" width="22.42578125" style="178" customWidth="1"/>
    <col min="10514" max="10514" width="28.140625" style="178" customWidth="1"/>
    <col min="10515" max="10515" width="52.42578125" style="178" customWidth="1"/>
    <col min="10516" max="10516" width="32.42578125" style="178" customWidth="1"/>
    <col min="10517" max="10517" width="24.5703125" style="178" customWidth="1"/>
    <col min="10518" max="10518" width="35" style="178" customWidth="1"/>
    <col min="10519" max="10519" width="35.140625" style="178" customWidth="1"/>
    <col min="10520" max="10520" width="41.140625" style="178" customWidth="1"/>
    <col min="10521" max="10521" width="16.42578125" style="178" customWidth="1"/>
    <col min="10522" max="10522" width="21.42578125" style="178" customWidth="1"/>
    <col min="10523" max="10523" width="31.42578125" style="178" customWidth="1"/>
    <col min="10524" max="10524" width="18.140625" style="178" customWidth="1"/>
    <col min="10525" max="10752" width="9.140625" style="178"/>
    <col min="10753" max="10753" width="9.28515625" style="178" customWidth="1"/>
    <col min="10754" max="10754" width="12.85546875" style="178" customWidth="1"/>
    <col min="10755" max="10755" width="167.42578125" style="178" customWidth="1"/>
    <col min="10756" max="10756" width="27.85546875" style="178" customWidth="1"/>
    <col min="10757" max="10757" width="26.140625" style="178" customWidth="1"/>
    <col min="10758" max="10758" width="26.85546875" style="178" customWidth="1"/>
    <col min="10759" max="10759" width="34.5703125" style="178" customWidth="1"/>
    <col min="10760" max="10760" width="23.28515625" style="178" customWidth="1"/>
    <col min="10761" max="10761" width="25.140625" style="178" customWidth="1"/>
    <col min="10762" max="10762" width="24.85546875" style="178" customWidth="1"/>
    <col min="10763" max="10763" width="22" style="178" customWidth="1"/>
    <col min="10764" max="10764" width="25.7109375" style="178" customWidth="1"/>
    <col min="10765" max="10765" width="26.140625" style="178" customWidth="1"/>
    <col min="10766" max="10766" width="27.5703125" style="178" customWidth="1"/>
    <col min="10767" max="10767" width="27.140625" style="178" customWidth="1"/>
    <col min="10768" max="10768" width="32.85546875" style="178" customWidth="1"/>
    <col min="10769" max="10769" width="22.42578125" style="178" customWidth="1"/>
    <col min="10770" max="10770" width="28.140625" style="178" customWidth="1"/>
    <col min="10771" max="10771" width="52.42578125" style="178" customWidth="1"/>
    <col min="10772" max="10772" width="32.42578125" style="178" customWidth="1"/>
    <col min="10773" max="10773" width="24.5703125" style="178" customWidth="1"/>
    <col min="10774" max="10774" width="35" style="178" customWidth="1"/>
    <col min="10775" max="10775" width="35.140625" style="178" customWidth="1"/>
    <col min="10776" max="10776" width="41.140625" style="178" customWidth="1"/>
    <col min="10777" max="10777" width="16.42578125" style="178" customWidth="1"/>
    <col min="10778" max="10778" width="21.42578125" style="178" customWidth="1"/>
    <col min="10779" max="10779" width="31.42578125" style="178" customWidth="1"/>
    <col min="10780" max="10780" width="18.140625" style="178" customWidth="1"/>
    <col min="10781" max="11008" width="9.140625" style="178"/>
    <col min="11009" max="11009" width="9.28515625" style="178" customWidth="1"/>
    <col min="11010" max="11010" width="12.85546875" style="178" customWidth="1"/>
    <col min="11011" max="11011" width="167.42578125" style="178" customWidth="1"/>
    <col min="11012" max="11012" width="27.85546875" style="178" customWidth="1"/>
    <col min="11013" max="11013" width="26.140625" style="178" customWidth="1"/>
    <col min="11014" max="11014" width="26.85546875" style="178" customWidth="1"/>
    <col min="11015" max="11015" width="34.5703125" style="178" customWidth="1"/>
    <col min="11016" max="11016" width="23.28515625" style="178" customWidth="1"/>
    <col min="11017" max="11017" width="25.140625" style="178" customWidth="1"/>
    <col min="11018" max="11018" width="24.85546875" style="178" customWidth="1"/>
    <col min="11019" max="11019" width="22" style="178" customWidth="1"/>
    <col min="11020" max="11020" width="25.7109375" style="178" customWidth="1"/>
    <col min="11021" max="11021" width="26.140625" style="178" customWidth="1"/>
    <col min="11022" max="11022" width="27.5703125" style="178" customWidth="1"/>
    <col min="11023" max="11023" width="27.140625" style="178" customWidth="1"/>
    <col min="11024" max="11024" width="32.85546875" style="178" customWidth="1"/>
    <col min="11025" max="11025" width="22.42578125" style="178" customWidth="1"/>
    <col min="11026" max="11026" width="28.140625" style="178" customWidth="1"/>
    <col min="11027" max="11027" width="52.42578125" style="178" customWidth="1"/>
    <col min="11028" max="11028" width="32.42578125" style="178" customWidth="1"/>
    <col min="11029" max="11029" width="24.5703125" style="178" customWidth="1"/>
    <col min="11030" max="11030" width="35" style="178" customWidth="1"/>
    <col min="11031" max="11031" width="35.140625" style="178" customWidth="1"/>
    <col min="11032" max="11032" width="41.140625" style="178" customWidth="1"/>
    <col min="11033" max="11033" width="16.42578125" style="178" customWidth="1"/>
    <col min="11034" max="11034" width="21.42578125" style="178" customWidth="1"/>
    <col min="11035" max="11035" width="31.42578125" style="178" customWidth="1"/>
    <col min="11036" max="11036" width="18.140625" style="178" customWidth="1"/>
    <col min="11037" max="11264" width="9.140625" style="178"/>
    <col min="11265" max="11265" width="9.28515625" style="178" customWidth="1"/>
    <col min="11266" max="11266" width="12.85546875" style="178" customWidth="1"/>
    <col min="11267" max="11267" width="167.42578125" style="178" customWidth="1"/>
    <col min="11268" max="11268" width="27.85546875" style="178" customWidth="1"/>
    <col min="11269" max="11269" width="26.140625" style="178" customWidth="1"/>
    <col min="11270" max="11270" width="26.85546875" style="178" customWidth="1"/>
    <col min="11271" max="11271" width="34.5703125" style="178" customWidth="1"/>
    <col min="11272" max="11272" width="23.28515625" style="178" customWidth="1"/>
    <col min="11273" max="11273" width="25.140625" style="178" customWidth="1"/>
    <col min="11274" max="11274" width="24.85546875" style="178" customWidth="1"/>
    <col min="11275" max="11275" width="22" style="178" customWidth="1"/>
    <col min="11276" max="11276" width="25.7109375" style="178" customWidth="1"/>
    <col min="11277" max="11277" width="26.140625" style="178" customWidth="1"/>
    <col min="11278" max="11278" width="27.5703125" style="178" customWidth="1"/>
    <col min="11279" max="11279" width="27.140625" style="178" customWidth="1"/>
    <col min="11280" max="11280" width="32.85546875" style="178" customWidth="1"/>
    <col min="11281" max="11281" width="22.42578125" style="178" customWidth="1"/>
    <col min="11282" max="11282" width="28.140625" style="178" customWidth="1"/>
    <col min="11283" max="11283" width="52.42578125" style="178" customWidth="1"/>
    <col min="11284" max="11284" width="32.42578125" style="178" customWidth="1"/>
    <col min="11285" max="11285" width="24.5703125" style="178" customWidth="1"/>
    <col min="11286" max="11286" width="35" style="178" customWidth="1"/>
    <col min="11287" max="11287" width="35.140625" style="178" customWidth="1"/>
    <col min="11288" max="11288" width="41.140625" style="178" customWidth="1"/>
    <col min="11289" max="11289" width="16.42578125" style="178" customWidth="1"/>
    <col min="11290" max="11290" width="21.42578125" style="178" customWidth="1"/>
    <col min="11291" max="11291" width="31.42578125" style="178" customWidth="1"/>
    <col min="11292" max="11292" width="18.140625" style="178" customWidth="1"/>
    <col min="11293" max="11520" width="9.140625" style="178"/>
    <col min="11521" max="11521" width="9.28515625" style="178" customWidth="1"/>
    <col min="11522" max="11522" width="12.85546875" style="178" customWidth="1"/>
    <col min="11523" max="11523" width="167.42578125" style="178" customWidth="1"/>
    <col min="11524" max="11524" width="27.85546875" style="178" customWidth="1"/>
    <col min="11525" max="11525" width="26.140625" style="178" customWidth="1"/>
    <col min="11526" max="11526" width="26.85546875" style="178" customWidth="1"/>
    <col min="11527" max="11527" width="34.5703125" style="178" customWidth="1"/>
    <col min="11528" max="11528" width="23.28515625" style="178" customWidth="1"/>
    <col min="11529" max="11529" width="25.140625" style="178" customWidth="1"/>
    <col min="11530" max="11530" width="24.85546875" style="178" customWidth="1"/>
    <col min="11531" max="11531" width="22" style="178" customWidth="1"/>
    <col min="11532" max="11532" width="25.7109375" style="178" customWidth="1"/>
    <col min="11533" max="11533" width="26.140625" style="178" customWidth="1"/>
    <col min="11534" max="11534" width="27.5703125" style="178" customWidth="1"/>
    <col min="11535" max="11535" width="27.140625" style="178" customWidth="1"/>
    <col min="11536" max="11536" width="32.85546875" style="178" customWidth="1"/>
    <col min="11537" max="11537" width="22.42578125" style="178" customWidth="1"/>
    <col min="11538" max="11538" width="28.140625" style="178" customWidth="1"/>
    <col min="11539" max="11539" width="52.42578125" style="178" customWidth="1"/>
    <col min="11540" max="11540" width="32.42578125" style="178" customWidth="1"/>
    <col min="11541" max="11541" width="24.5703125" style="178" customWidth="1"/>
    <col min="11542" max="11542" width="35" style="178" customWidth="1"/>
    <col min="11543" max="11543" width="35.140625" style="178" customWidth="1"/>
    <col min="11544" max="11544" width="41.140625" style="178" customWidth="1"/>
    <col min="11545" max="11545" width="16.42578125" style="178" customWidth="1"/>
    <col min="11546" max="11546" width="21.42578125" style="178" customWidth="1"/>
    <col min="11547" max="11547" width="31.42578125" style="178" customWidth="1"/>
    <col min="11548" max="11548" width="18.140625" style="178" customWidth="1"/>
    <col min="11549" max="11776" width="9.140625" style="178"/>
    <col min="11777" max="11777" width="9.28515625" style="178" customWidth="1"/>
    <col min="11778" max="11778" width="12.85546875" style="178" customWidth="1"/>
    <col min="11779" max="11779" width="167.42578125" style="178" customWidth="1"/>
    <col min="11780" max="11780" width="27.85546875" style="178" customWidth="1"/>
    <col min="11781" max="11781" width="26.140625" style="178" customWidth="1"/>
    <col min="11782" max="11782" width="26.85546875" style="178" customWidth="1"/>
    <col min="11783" max="11783" width="34.5703125" style="178" customWidth="1"/>
    <col min="11784" max="11784" width="23.28515625" style="178" customWidth="1"/>
    <col min="11785" max="11785" width="25.140625" style="178" customWidth="1"/>
    <col min="11786" max="11786" width="24.85546875" style="178" customWidth="1"/>
    <col min="11787" max="11787" width="22" style="178" customWidth="1"/>
    <col min="11788" max="11788" width="25.7109375" style="178" customWidth="1"/>
    <col min="11789" max="11789" width="26.140625" style="178" customWidth="1"/>
    <col min="11790" max="11790" width="27.5703125" style="178" customWidth="1"/>
    <col min="11791" max="11791" width="27.140625" style="178" customWidth="1"/>
    <col min="11792" max="11792" width="32.85546875" style="178" customWidth="1"/>
    <col min="11793" max="11793" width="22.42578125" style="178" customWidth="1"/>
    <col min="11794" max="11794" width="28.140625" style="178" customWidth="1"/>
    <col min="11795" max="11795" width="52.42578125" style="178" customWidth="1"/>
    <col min="11796" max="11796" width="32.42578125" style="178" customWidth="1"/>
    <col min="11797" max="11797" width="24.5703125" style="178" customWidth="1"/>
    <col min="11798" max="11798" width="35" style="178" customWidth="1"/>
    <col min="11799" max="11799" width="35.140625" style="178" customWidth="1"/>
    <col min="11800" max="11800" width="41.140625" style="178" customWidth="1"/>
    <col min="11801" max="11801" width="16.42578125" style="178" customWidth="1"/>
    <col min="11802" max="11802" width="21.42578125" style="178" customWidth="1"/>
    <col min="11803" max="11803" width="31.42578125" style="178" customWidth="1"/>
    <col min="11804" max="11804" width="18.140625" style="178" customWidth="1"/>
    <col min="11805" max="12032" width="9.140625" style="178"/>
    <col min="12033" max="12033" width="9.28515625" style="178" customWidth="1"/>
    <col min="12034" max="12034" width="12.85546875" style="178" customWidth="1"/>
    <col min="12035" max="12035" width="167.42578125" style="178" customWidth="1"/>
    <col min="12036" max="12036" width="27.85546875" style="178" customWidth="1"/>
    <col min="12037" max="12037" width="26.140625" style="178" customWidth="1"/>
    <col min="12038" max="12038" width="26.85546875" style="178" customWidth="1"/>
    <col min="12039" max="12039" width="34.5703125" style="178" customWidth="1"/>
    <col min="12040" max="12040" width="23.28515625" style="178" customWidth="1"/>
    <col min="12041" max="12041" width="25.140625" style="178" customWidth="1"/>
    <col min="12042" max="12042" width="24.85546875" style="178" customWidth="1"/>
    <col min="12043" max="12043" width="22" style="178" customWidth="1"/>
    <col min="12044" max="12044" width="25.7109375" style="178" customWidth="1"/>
    <col min="12045" max="12045" width="26.140625" style="178" customWidth="1"/>
    <col min="12046" max="12046" width="27.5703125" style="178" customWidth="1"/>
    <col min="12047" max="12047" width="27.140625" style="178" customWidth="1"/>
    <col min="12048" max="12048" width="32.85546875" style="178" customWidth="1"/>
    <col min="12049" max="12049" width="22.42578125" style="178" customWidth="1"/>
    <col min="12050" max="12050" width="28.140625" style="178" customWidth="1"/>
    <col min="12051" max="12051" width="52.42578125" style="178" customWidth="1"/>
    <col min="12052" max="12052" width="32.42578125" style="178" customWidth="1"/>
    <col min="12053" max="12053" width="24.5703125" style="178" customWidth="1"/>
    <col min="12054" max="12054" width="35" style="178" customWidth="1"/>
    <col min="12055" max="12055" width="35.140625" style="178" customWidth="1"/>
    <col min="12056" max="12056" width="41.140625" style="178" customWidth="1"/>
    <col min="12057" max="12057" width="16.42578125" style="178" customWidth="1"/>
    <col min="12058" max="12058" width="21.42578125" style="178" customWidth="1"/>
    <col min="12059" max="12059" width="31.42578125" style="178" customWidth="1"/>
    <col min="12060" max="12060" width="18.140625" style="178" customWidth="1"/>
    <col min="12061" max="12288" width="9.140625" style="178"/>
    <col min="12289" max="12289" width="9.28515625" style="178" customWidth="1"/>
    <col min="12290" max="12290" width="12.85546875" style="178" customWidth="1"/>
    <col min="12291" max="12291" width="167.42578125" style="178" customWidth="1"/>
    <col min="12292" max="12292" width="27.85546875" style="178" customWidth="1"/>
    <col min="12293" max="12293" width="26.140625" style="178" customWidth="1"/>
    <col min="12294" max="12294" width="26.85546875" style="178" customWidth="1"/>
    <col min="12295" max="12295" width="34.5703125" style="178" customWidth="1"/>
    <col min="12296" max="12296" width="23.28515625" style="178" customWidth="1"/>
    <col min="12297" max="12297" width="25.140625" style="178" customWidth="1"/>
    <col min="12298" max="12298" width="24.85546875" style="178" customWidth="1"/>
    <col min="12299" max="12299" width="22" style="178" customWidth="1"/>
    <col min="12300" max="12300" width="25.7109375" style="178" customWidth="1"/>
    <col min="12301" max="12301" width="26.140625" style="178" customWidth="1"/>
    <col min="12302" max="12302" width="27.5703125" style="178" customWidth="1"/>
    <col min="12303" max="12303" width="27.140625" style="178" customWidth="1"/>
    <col min="12304" max="12304" width="32.85546875" style="178" customWidth="1"/>
    <col min="12305" max="12305" width="22.42578125" style="178" customWidth="1"/>
    <col min="12306" max="12306" width="28.140625" style="178" customWidth="1"/>
    <col min="12307" max="12307" width="52.42578125" style="178" customWidth="1"/>
    <col min="12308" max="12308" width="32.42578125" style="178" customWidth="1"/>
    <col min="12309" max="12309" width="24.5703125" style="178" customWidth="1"/>
    <col min="12310" max="12310" width="35" style="178" customWidth="1"/>
    <col min="12311" max="12311" width="35.140625" style="178" customWidth="1"/>
    <col min="12312" max="12312" width="41.140625" style="178" customWidth="1"/>
    <col min="12313" max="12313" width="16.42578125" style="178" customWidth="1"/>
    <col min="12314" max="12314" width="21.42578125" style="178" customWidth="1"/>
    <col min="12315" max="12315" width="31.42578125" style="178" customWidth="1"/>
    <col min="12316" max="12316" width="18.140625" style="178" customWidth="1"/>
    <col min="12317" max="12544" width="9.140625" style="178"/>
    <col min="12545" max="12545" width="9.28515625" style="178" customWidth="1"/>
    <col min="12546" max="12546" width="12.85546875" style="178" customWidth="1"/>
    <col min="12547" max="12547" width="167.42578125" style="178" customWidth="1"/>
    <col min="12548" max="12548" width="27.85546875" style="178" customWidth="1"/>
    <col min="12549" max="12549" width="26.140625" style="178" customWidth="1"/>
    <col min="12550" max="12550" width="26.85546875" style="178" customWidth="1"/>
    <col min="12551" max="12551" width="34.5703125" style="178" customWidth="1"/>
    <col min="12552" max="12552" width="23.28515625" style="178" customWidth="1"/>
    <col min="12553" max="12553" width="25.140625" style="178" customWidth="1"/>
    <col min="12554" max="12554" width="24.85546875" style="178" customWidth="1"/>
    <col min="12555" max="12555" width="22" style="178" customWidth="1"/>
    <col min="12556" max="12556" width="25.7109375" style="178" customWidth="1"/>
    <col min="12557" max="12557" width="26.140625" style="178" customWidth="1"/>
    <col min="12558" max="12558" width="27.5703125" style="178" customWidth="1"/>
    <col min="12559" max="12559" width="27.140625" style="178" customWidth="1"/>
    <col min="12560" max="12560" width="32.85546875" style="178" customWidth="1"/>
    <col min="12561" max="12561" width="22.42578125" style="178" customWidth="1"/>
    <col min="12562" max="12562" width="28.140625" style="178" customWidth="1"/>
    <col min="12563" max="12563" width="52.42578125" style="178" customWidth="1"/>
    <col min="12564" max="12564" width="32.42578125" style="178" customWidth="1"/>
    <col min="12565" max="12565" width="24.5703125" style="178" customWidth="1"/>
    <col min="12566" max="12566" width="35" style="178" customWidth="1"/>
    <col min="12567" max="12567" width="35.140625" style="178" customWidth="1"/>
    <col min="12568" max="12568" width="41.140625" style="178" customWidth="1"/>
    <col min="12569" max="12569" width="16.42578125" style="178" customWidth="1"/>
    <col min="12570" max="12570" width="21.42578125" style="178" customWidth="1"/>
    <col min="12571" max="12571" width="31.42578125" style="178" customWidth="1"/>
    <col min="12572" max="12572" width="18.140625" style="178" customWidth="1"/>
    <col min="12573" max="12800" width="9.140625" style="178"/>
    <col min="12801" max="12801" width="9.28515625" style="178" customWidth="1"/>
    <col min="12802" max="12802" width="12.85546875" style="178" customWidth="1"/>
    <col min="12803" max="12803" width="167.42578125" style="178" customWidth="1"/>
    <col min="12804" max="12804" width="27.85546875" style="178" customWidth="1"/>
    <col min="12805" max="12805" width="26.140625" style="178" customWidth="1"/>
    <col min="12806" max="12806" width="26.85546875" style="178" customWidth="1"/>
    <col min="12807" max="12807" width="34.5703125" style="178" customWidth="1"/>
    <col min="12808" max="12808" width="23.28515625" style="178" customWidth="1"/>
    <col min="12809" max="12809" width="25.140625" style="178" customWidth="1"/>
    <col min="12810" max="12810" width="24.85546875" style="178" customWidth="1"/>
    <col min="12811" max="12811" width="22" style="178" customWidth="1"/>
    <col min="12812" max="12812" width="25.7109375" style="178" customWidth="1"/>
    <col min="12813" max="12813" width="26.140625" style="178" customWidth="1"/>
    <col min="12814" max="12814" width="27.5703125" style="178" customWidth="1"/>
    <col min="12815" max="12815" width="27.140625" style="178" customWidth="1"/>
    <col min="12816" max="12816" width="32.85546875" style="178" customWidth="1"/>
    <col min="12817" max="12817" width="22.42578125" style="178" customWidth="1"/>
    <col min="12818" max="12818" width="28.140625" style="178" customWidth="1"/>
    <col min="12819" max="12819" width="52.42578125" style="178" customWidth="1"/>
    <col min="12820" max="12820" width="32.42578125" style="178" customWidth="1"/>
    <col min="12821" max="12821" width="24.5703125" style="178" customWidth="1"/>
    <col min="12822" max="12822" width="35" style="178" customWidth="1"/>
    <col min="12823" max="12823" width="35.140625" style="178" customWidth="1"/>
    <col min="12824" max="12824" width="41.140625" style="178" customWidth="1"/>
    <col min="12825" max="12825" width="16.42578125" style="178" customWidth="1"/>
    <col min="12826" max="12826" width="21.42578125" style="178" customWidth="1"/>
    <col min="12827" max="12827" width="31.42578125" style="178" customWidth="1"/>
    <col min="12828" max="12828" width="18.140625" style="178" customWidth="1"/>
    <col min="12829" max="13056" width="9.140625" style="178"/>
    <col min="13057" max="13057" width="9.28515625" style="178" customWidth="1"/>
    <col min="13058" max="13058" width="12.85546875" style="178" customWidth="1"/>
    <col min="13059" max="13059" width="167.42578125" style="178" customWidth="1"/>
    <col min="13060" max="13060" width="27.85546875" style="178" customWidth="1"/>
    <col min="13061" max="13061" width="26.140625" style="178" customWidth="1"/>
    <col min="13062" max="13062" width="26.85546875" style="178" customWidth="1"/>
    <col min="13063" max="13063" width="34.5703125" style="178" customWidth="1"/>
    <col min="13064" max="13064" width="23.28515625" style="178" customWidth="1"/>
    <col min="13065" max="13065" width="25.140625" style="178" customWidth="1"/>
    <col min="13066" max="13066" width="24.85546875" style="178" customWidth="1"/>
    <col min="13067" max="13067" width="22" style="178" customWidth="1"/>
    <col min="13068" max="13068" width="25.7109375" style="178" customWidth="1"/>
    <col min="13069" max="13069" width="26.140625" style="178" customWidth="1"/>
    <col min="13070" max="13070" width="27.5703125" style="178" customWidth="1"/>
    <col min="13071" max="13071" width="27.140625" style="178" customWidth="1"/>
    <col min="13072" max="13072" width="32.85546875" style="178" customWidth="1"/>
    <col min="13073" max="13073" width="22.42578125" style="178" customWidth="1"/>
    <col min="13074" max="13074" width="28.140625" style="178" customWidth="1"/>
    <col min="13075" max="13075" width="52.42578125" style="178" customWidth="1"/>
    <col min="13076" max="13076" width="32.42578125" style="178" customWidth="1"/>
    <col min="13077" max="13077" width="24.5703125" style="178" customWidth="1"/>
    <col min="13078" max="13078" width="35" style="178" customWidth="1"/>
    <col min="13079" max="13079" width="35.140625" style="178" customWidth="1"/>
    <col min="13080" max="13080" width="41.140625" style="178" customWidth="1"/>
    <col min="13081" max="13081" width="16.42578125" style="178" customWidth="1"/>
    <col min="13082" max="13082" width="21.42578125" style="178" customWidth="1"/>
    <col min="13083" max="13083" width="31.42578125" style="178" customWidth="1"/>
    <col min="13084" max="13084" width="18.140625" style="178" customWidth="1"/>
    <col min="13085" max="13312" width="9.140625" style="178"/>
    <col min="13313" max="13313" width="9.28515625" style="178" customWidth="1"/>
    <col min="13314" max="13314" width="12.85546875" style="178" customWidth="1"/>
    <col min="13315" max="13315" width="167.42578125" style="178" customWidth="1"/>
    <col min="13316" max="13316" width="27.85546875" style="178" customWidth="1"/>
    <col min="13317" max="13317" width="26.140625" style="178" customWidth="1"/>
    <col min="13318" max="13318" width="26.85546875" style="178" customWidth="1"/>
    <col min="13319" max="13319" width="34.5703125" style="178" customWidth="1"/>
    <col min="13320" max="13320" width="23.28515625" style="178" customWidth="1"/>
    <col min="13321" max="13321" width="25.140625" style="178" customWidth="1"/>
    <col min="13322" max="13322" width="24.85546875" style="178" customWidth="1"/>
    <col min="13323" max="13323" width="22" style="178" customWidth="1"/>
    <col min="13324" max="13324" width="25.7109375" style="178" customWidth="1"/>
    <col min="13325" max="13325" width="26.140625" style="178" customWidth="1"/>
    <col min="13326" max="13326" width="27.5703125" style="178" customWidth="1"/>
    <col min="13327" max="13327" width="27.140625" style="178" customWidth="1"/>
    <col min="13328" max="13328" width="32.85546875" style="178" customWidth="1"/>
    <col min="13329" max="13329" width="22.42578125" style="178" customWidth="1"/>
    <col min="13330" max="13330" width="28.140625" style="178" customWidth="1"/>
    <col min="13331" max="13331" width="52.42578125" style="178" customWidth="1"/>
    <col min="13332" max="13332" width="32.42578125" style="178" customWidth="1"/>
    <col min="13333" max="13333" width="24.5703125" style="178" customWidth="1"/>
    <col min="13334" max="13334" width="35" style="178" customWidth="1"/>
    <col min="13335" max="13335" width="35.140625" style="178" customWidth="1"/>
    <col min="13336" max="13336" width="41.140625" style="178" customWidth="1"/>
    <col min="13337" max="13337" width="16.42578125" style="178" customWidth="1"/>
    <col min="13338" max="13338" width="21.42578125" style="178" customWidth="1"/>
    <col min="13339" max="13339" width="31.42578125" style="178" customWidth="1"/>
    <col min="13340" max="13340" width="18.140625" style="178" customWidth="1"/>
    <col min="13341" max="13568" width="9.140625" style="178"/>
    <col min="13569" max="13569" width="9.28515625" style="178" customWidth="1"/>
    <col min="13570" max="13570" width="12.85546875" style="178" customWidth="1"/>
    <col min="13571" max="13571" width="167.42578125" style="178" customWidth="1"/>
    <col min="13572" max="13572" width="27.85546875" style="178" customWidth="1"/>
    <col min="13573" max="13573" width="26.140625" style="178" customWidth="1"/>
    <col min="13574" max="13574" width="26.85546875" style="178" customWidth="1"/>
    <col min="13575" max="13575" width="34.5703125" style="178" customWidth="1"/>
    <col min="13576" max="13576" width="23.28515625" style="178" customWidth="1"/>
    <col min="13577" max="13577" width="25.140625" style="178" customWidth="1"/>
    <col min="13578" max="13578" width="24.85546875" style="178" customWidth="1"/>
    <col min="13579" max="13579" width="22" style="178" customWidth="1"/>
    <col min="13580" max="13580" width="25.7109375" style="178" customWidth="1"/>
    <col min="13581" max="13581" width="26.140625" style="178" customWidth="1"/>
    <col min="13582" max="13582" width="27.5703125" style="178" customWidth="1"/>
    <col min="13583" max="13583" width="27.140625" style="178" customWidth="1"/>
    <col min="13584" max="13584" width="32.85546875" style="178" customWidth="1"/>
    <col min="13585" max="13585" width="22.42578125" style="178" customWidth="1"/>
    <col min="13586" max="13586" width="28.140625" style="178" customWidth="1"/>
    <col min="13587" max="13587" width="52.42578125" style="178" customWidth="1"/>
    <col min="13588" max="13588" width="32.42578125" style="178" customWidth="1"/>
    <col min="13589" max="13589" width="24.5703125" style="178" customWidth="1"/>
    <col min="13590" max="13590" width="35" style="178" customWidth="1"/>
    <col min="13591" max="13591" width="35.140625" style="178" customWidth="1"/>
    <col min="13592" max="13592" width="41.140625" style="178" customWidth="1"/>
    <col min="13593" max="13593" width="16.42578125" style="178" customWidth="1"/>
    <col min="13594" max="13594" width="21.42578125" style="178" customWidth="1"/>
    <col min="13595" max="13595" width="31.42578125" style="178" customWidth="1"/>
    <col min="13596" max="13596" width="18.140625" style="178" customWidth="1"/>
    <col min="13597" max="13824" width="9.140625" style="178"/>
    <col min="13825" max="13825" width="9.28515625" style="178" customWidth="1"/>
    <col min="13826" max="13826" width="12.85546875" style="178" customWidth="1"/>
    <col min="13827" max="13827" width="167.42578125" style="178" customWidth="1"/>
    <col min="13828" max="13828" width="27.85546875" style="178" customWidth="1"/>
    <col min="13829" max="13829" width="26.140625" style="178" customWidth="1"/>
    <col min="13830" max="13830" width="26.85546875" style="178" customWidth="1"/>
    <col min="13831" max="13831" width="34.5703125" style="178" customWidth="1"/>
    <col min="13832" max="13832" width="23.28515625" style="178" customWidth="1"/>
    <col min="13833" max="13833" width="25.140625" style="178" customWidth="1"/>
    <col min="13834" max="13834" width="24.85546875" style="178" customWidth="1"/>
    <col min="13835" max="13835" width="22" style="178" customWidth="1"/>
    <col min="13836" max="13836" width="25.7109375" style="178" customWidth="1"/>
    <col min="13837" max="13837" width="26.140625" style="178" customWidth="1"/>
    <col min="13838" max="13838" width="27.5703125" style="178" customWidth="1"/>
    <col min="13839" max="13839" width="27.140625" style="178" customWidth="1"/>
    <col min="13840" max="13840" width="32.85546875" style="178" customWidth="1"/>
    <col min="13841" max="13841" width="22.42578125" style="178" customWidth="1"/>
    <col min="13842" max="13842" width="28.140625" style="178" customWidth="1"/>
    <col min="13843" max="13843" width="52.42578125" style="178" customWidth="1"/>
    <col min="13844" max="13844" width="32.42578125" style="178" customWidth="1"/>
    <col min="13845" max="13845" width="24.5703125" style="178" customWidth="1"/>
    <col min="13846" max="13846" width="35" style="178" customWidth="1"/>
    <col min="13847" max="13847" width="35.140625" style="178" customWidth="1"/>
    <col min="13848" max="13848" width="41.140625" style="178" customWidth="1"/>
    <col min="13849" max="13849" width="16.42578125" style="178" customWidth="1"/>
    <col min="13850" max="13850" width="21.42578125" style="178" customWidth="1"/>
    <col min="13851" max="13851" width="31.42578125" style="178" customWidth="1"/>
    <col min="13852" max="13852" width="18.140625" style="178" customWidth="1"/>
    <col min="13853" max="14080" width="9.140625" style="178"/>
    <col min="14081" max="14081" width="9.28515625" style="178" customWidth="1"/>
    <col min="14082" max="14082" width="12.85546875" style="178" customWidth="1"/>
    <col min="14083" max="14083" width="167.42578125" style="178" customWidth="1"/>
    <col min="14084" max="14084" width="27.85546875" style="178" customWidth="1"/>
    <col min="14085" max="14085" width="26.140625" style="178" customWidth="1"/>
    <col min="14086" max="14086" width="26.85546875" style="178" customWidth="1"/>
    <col min="14087" max="14087" width="34.5703125" style="178" customWidth="1"/>
    <col min="14088" max="14088" width="23.28515625" style="178" customWidth="1"/>
    <col min="14089" max="14089" width="25.140625" style="178" customWidth="1"/>
    <col min="14090" max="14090" width="24.85546875" style="178" customWidth="1"/>
    <col min="14091" max="14091" width="22" style="178" customWidth="1"/>
    <col min="14092" max="14092" width="25.7109375" style="178" customWidth="1"/>
    <col min="14093" max="14093" width="26.140625" style="178" customWidth="1"/>
    <col min="14094" max="14094" width="27.5703125" style="178" customWidth="1"/>
    <col min="14095" max="14095" width="27.140625" style="178" customWidth="1"/>
    <col min="14096" max="14096" width="32.85546875" style="178" customWidth="1"/>
    <col min="14097" max="14097" width="22.42578125" style="178" customWidth="1"/>
    <col min="14098" max="14098" width="28.140625" style="178" customWidth="1"/>
    <col min="14099" max="14099" width="52.42578125" style="178" customWidth="1"/>
    <col min="14100" max="14100" width="32.42578125" style="178" customWidth="1"/>
    <col min="14101" max="14101" width="24.5703125" style="178" customWidth="1"/>
    <col min="14102" max="14102" width="35" style="178" customWidth="1"/>
    <col min="14103" max="14103" width="35.140625" style="178" customWidth="1"/>
    <col min="14104" max="14104" width="41.140625" style="178" customWidth="1"/>
    <col min="14105" max="14105" width="16.42578125" style="178" customWidth="1"/>
    <col min="14106" max="14106" width="21.42578125" style="178" customWidth="1"/>
    <col min="14107" max="14107" width="31.42578125" style="178" customWidth="1"/>
    <col min="14108" max="14108" width="18.140625" style="178" customWidth="1"/>
    <col min="14109" max="14336" width="9.140625" style="178"/>
    <col min="14337" max="14337" width="9.28515625" style="178" customWidth="1"/>
    <col min="14338" max="14338" width="12.85546875" style="178" customWidth="1"/>
    <col min="14339" max="14339" width="167.42578125" style="178" customWidth="1"/>
    <col min="14340" max="14340" width="27.85546875" style="178" customWidth="1"/>
    <col min="14341" max="14341" width="26.140625" style="178" customWidth="1"/>
    <col min="14342" max="14342" width="26.85546875" style="178" customWidth="1"/>
    <col min="14343" max="14343" width="34.5703125" style="178" customWidth="1"/>
    <col min="14344" max="14344" width="23.28515625" style="178" customWidth="1"/>
    <col min="14345" max="14345" width="25.140625" style="178" customWidth="1"/>
    <col min="14346" max="14346" width="24.85546875" style="178" customWidth="1"/>
    <col min="14347" max="14347" width="22" style="178" customWidth="1"/>
    <col min="14348" max="14348" width="25.7109375" style="178" customWidth="1"/>
    <col min="14349" max="14349" width="26.140625" style="178" customWidth="1"/>
    <col min="14350" max="14350" width="27.5703125" style="178" customWidth="1"/>
    <col min="14351" max="14351" width="27.140625" style="178" customWidth="1"/>
    <col min="14352" max="14352" width="32.85546875" style="178" customWidth="1"/>
    <col min="14353" max="14353" width="22.42578125" style="178" customWidth="1"/>
    <col min="14354" max="14354" width="28.140625" style="178" customWidth="1"/>
    <col min="14355" max="14355" width="52.42578125" style="178" customWidth="1"/>
    <col min="14356" max="14356" width="32.42578125" style="178" customWidth="1"/>
    <col min="14357" max="14357" width="24.5703125" style="178" customWidth="1"/>
    <col min="14358" max="14358" width="35" style="178" customWidth="1"/>
    <col min="14359" max="14359" width="35.140625" style="178" customWidth="1"/>
    <col min="14360" max="14360" width="41.140625" style="178" customWidth="1"/>
    <col min="14361" max="14361" width="16.42578125" style="178" customWidth="1"/>
    <col min="14362" max="14362" width="21.42578125" style="178" customWidth="1"/>
    <col min="14363" max="14363" width="31.42578125" style="178" customWidth="1"/>
    <col min="14364" max="14364" width="18.140625" style="178" customWidth="1"/>
    <col min="14365" max="14592" width="9.140625" style="178"/>
    <col min="14593" max="14593" width="9.28515625" style="178" customWidth="1"/>
    <col min="14594" max="14594" width="12.85546875" style="178" customWidth="1"/>
    <col min="14595" max="14595" width="167.42578125" style="178" customWidth="1"/>
    <col min="14596" max="14596" width="27.85546875" style="178" customWidth="1"/>
    <col min="14597" max="14597" width="26.140625" style="178" customWidth="1"/>
    <col min="14598" max="14598" width="26.85546875" style="178" customWidth="1"/>
    <col min="14599" max="14599" width="34.5703125" style="178" customWidth="1"/>
    <col min="14600" max="14600" width="23.28515625" style="178" customWidth="1"/>
    <col min="14601" max="14601" width="25.140625" style="178" customWidth="1"/>
    <col min="14602" max="14602" width="24.85546875" style="178" customWidth="1"/>
    <col min="14603" max="14603" width="22" style="178" customWidth="1"/>
    <col min="14604" max="14604" width="25.7109375" style="178" customWidth="1"/>
    <col min="14605" max="14605" width="26.140625" style="178" customWidth="1"/>
    <col min="14606" max="14606" width="27.5703125" style="178" customWidth="1"/>
    <col min="14607" max="14607" width="27.140625" style="178" customWidth="1"/>
    <col min="14608" max="14608" width="32.85546875" style="178" customWidth="1"/>
    <col min="14609" max="14609" width="22.42578125" style="178" customWidth="1"/>
    <col min="14610" max="14610" width="28.140625" style="178" customWidth="1"/>
    <col min="14611" max="14611" width="52.42578125" style="178" customWidth="1"/>
    <col min="14612" max="14612" width="32.42578125" style="178" customWidth="1"/>
    <col min="14613" max="14613" width="24.5703125" style="178" customWidth="1"/>
    <col min="14614" max="14614" width="35" style="178" customWidth="1"/>
    <col min="14615" max="14615" width="35.140625" style="178" customWidth="1"/>
    <col min="14616" max="14616" width="41.140625" style="178" customWidth="1"/>
    <col min="14617" max="14617" width="16.42578125" style="178" customWidth="1"/>
    <col min="14618" max="14618" width="21.42578125" style="178" customWidth="1"/>
    <col min="14619" max="14619" width="31.42578125" style="178" customWidth="1"/>
    <col min="14620" max="14620" width="18.140625" style="178" customWidth="1"/>
    <col min="14621" max="14848" width="9.140625" style="178"/>
    <col min="14849" max="14849" width="9.28515625" style="178" customWidth="1"/>
    <col min="14850" max="14850" width="12.85546875" style="178" customWidth="1"/>
    <col min="14851" max="14851" width="167.42578125" style="178" customWidth="1"/>
    <col min="14852" max="14852" width="27.85546875" style="178" customWidth="1"/>
    <col min="14853" max="14853" width="26.140625" style="178" customWidth="1"/>
    <col min="14854" max="14854" width="26.85546875" style="178" customWidth="1"/>
    <col min="14855" max="14855" width="34.5703125" style="178" customWidth="1"/>
    <col min="14856" max="14856" width="23.28515625" style="178" customWidth="1"/>
    <col min="14857" max="14857" width="25.140625" style="178" customWidth="1"/>
    <col min="14858" max="14858" width="24.85546875" style="178" customWidth="1"/>
    <col min="14859" max="14859" width="22" style="178" customWidth="1"/>
    <col min="14860" max="14860" width="25.7109375" style="178" customWidth="1"/>
    <col min="14861" max="14861" width="26.140625" style="178" customWidth="1"/>
    <col min="14862" max="14862" width="27.5703125" style="178" customWidth="1"/>
    <col min="14863" max="14863" width="27.140625" style="178" customWidth="1"/>
    <col min="14864" max="14864" width="32.85546875" style="178" customWidth="1"/>
    <col min="14865" max="14865" width="22.42578125" style="178" customWidth="1"/>
    <col min="14866" max="14866" width="28.140625" style="178" customWidth="1"/>
    <col min="14867" max="14867" width="52.42578125" style="178" customWidth="1"/>
    <col min="14868" max="14868" width="32.42578125" style="178" customWidth="1"/>
    <col min="14869" max="14869" width="24.5703125" style="178" customWidth="1"/>
    <col min="14870" max="14870" width="35" style="178" customWidth="1"/>
    <col min="14871" max="14871" width="35.140625" style="178" customWidth="1"/>
    <col min="14872" max="14872" width="41.140625" style="178" customWidth="1"/>
    <col min="14873" max="14873" width="16.42578125" style="178" customWidth="1"/>
    <col min="14874" max="14874" width="21.42578125" style="178" customWidth="1"/>
    <col min="14875" max="14875" width="31.42578125" style="178" customWidth="1"/>
    <col min="14876" max="14876" width="18.140625" style="178" customWidth="1"/>
    <col min="14877" max="15104" width="9.140625" style="178"/>
    <col min="15105" max="15105" width="9.28515625" style="178" customWidth="1"/>
    <col min="15106" max="15106" width="12.85546875" style="178" customWidth="1"/>
    <col min="15107" max="15107" width="167.42578125" style="178" customWidth="1"/>
    <col min="15108" max="15108" width="27.85546875" style="178" customWidth="1"/>
    <col min="15109" max="15109" width="26.140625" style="178" customWidth="1"/>
    <col min="15110" max="15110" width="26.85546875" style="178" customWidth="1"/>
    <col min="15111" max="15111" width="34.5703125" style="178" customWidth="1"/>
    <col min="15112" max="15112" width="23.28515625" style="178" customWidth="1"/>
    <col min="15113" max="15113" width="25.140625" style="178" customWidth="1"/>
    <col min="15114" max="15114" width="24.85546875" style="178" customWidth="1"/>
    <col min="15115" max="15115" width="22" style="178" customWidth="1"/>
    <col min="15116" max="15116" width="25.7109375" style="178" customWidth="1"/>
    <col min="15117" max="15117" width="26.140625" style="178" customWidth="1"/>
    <col min="15118" max="15118" width="27.5703125" style="178" customWidth="1"/>
    <col min="15119" max="15119" width="27.140625" style="178" customWidth="1"/>
    <col min="15120" max="15120" width="32.85546875" style="178" customWidth="1"/>
    <col min="15121" max="15121" width="22.42578125" style="178" customWidth="1"/>
    <col min="15122" max="15122" width="28.140625" style="178" customWidth="1"/>
    <col min="15123" max="15123" width="52.42578125" style="178" customWidth="1"/>
    <col min="15124" max="15124" width="32.42578125" style="178" customWidth="1"/>
    <col min="15125" max="15125" width="24.5703125" style="178" customWidth="1"/>
    <col min="15126" max="15126" width="35" style="178" customWidth="1"/>
    <col min="15127" max="15127" width="35.140625" style="178" customWidth="1"/>
    <col min="15128" max="15128" width="41.140625" style="178" customWidth="1"/>
    <col min="15129" max="15129" width="16.42578125" style="178" customWidth="1"/>
    <col min="15130" max="15130" width="21.42578125" style="178" customWidth="1"/>
    <col min="15131" max="15131" width="31.42578125" style="178" customWidth="1"/>
    <col min="15132" max="15132" width="18.140625" style="178" customWidth="1"/>
    <col min="15133" max="15360" width="9.140625" style="178"/>
    <col min="15361" max="15361" width="9.28515625" style="178" customWidth="1"/>
    <col min="15362" max="15362" width="12.85546875" style="178" customWidth="1"/>
    <col min="15363" max="15363" width="167.42578125" style="178" customWidth="1"/>
    <col min="15364" max="15364" width="27.85546875" style="178" customWidth="1"/>
    <col min="15365" max="15365" width="26.140625" style="178" customWidth="1"/>
    <col min="15366" max="15366" width="26.85546875" style="178" customWidth="1"/>
    <col min="15367" max="15367" width="34.5703125" style="178" customWidth="1"/>
    <col min="15368" max="15368" width="23.28515625" style="178" customWidth="1"/>
    <col min="15369" max="15369" width="25.140625" style="178" customWidth="1"/>
    <col min="15370" max="15370" width="24.85546875" style="178" customWidth="1"/>
    <col min="15371" max="15371" width="22" style="178" customWidth="1"/>
    <col min="15372" max="15372" width="25.7109375" style="178" customWidth="1"/>
    <col min="15373" max="15373" width="26.140625" style="178" customWidth="1"/>
    <col min="15374" max="15374" width="27.5703125" style="178" customWidth="1"/>
    <col min="15375" max="15375" width="27.140625" style="178" customWidth="1"/>
    <col min="15376" max="15376" width="32.85546875" style="178" customWidth="1"/>
    <col min="15377" max="15377" width="22.42578125" style="178" customWidth="1"/>
    <col min="15378" max="15378" width="28.140625" style="178" customWidth="1"/>
    <col min="15379" max="15379" width="52.42578125" style="178" customWidth="1"/>
    <col min="15380" max="15380" width="32.42578125" style="178" customWidth="1"/>
    <col min="15381" max="15381" width="24.5703125" style="178" customWidth="1"/>
    <col min="15382" max="15382" width="35" style="178" customWidth="1"/>
    <col min="15383" max="15383" width="35.140625" style="178" customWidth="1"/>
    <col min="15384" max="15384" width="41.140625" style="178" customWidth="1"/>
    <col min="15385" max="15385" width="16.42578125" style="178" customWidth="1"/>
    <col min="15386" max="15386" width="21.42578125" style="178" customWidth="1"/>
    <col min="15387" max="15387" width="31.42578125" style="178" customWidth="1"/>
    <col min="15388" max="15388" width="18.140625" style="178" customWidth="1"/>
    <col min="15389" max="15616" width="9.140625" style="178"/>
    <col min="15617" max="15617" width="9.28515625" style="178" customWidth="1"/>
    <col min="15618" max="15618" width="12.85546875" style="178" customWidth="1"/>
    <col min="15619" max="15619" width="167.42578125" style="178" customWidth="1"/>
    <col min="15620" max="15620" width="27.85546875" style="178" customWidth="1"/>
    <col min="15621" max="15621" width="26.140625" style="178" customWidth="1"/>
    <col min="15622" max="15622" width="26.85546875" style="178" customWidth="1"/>
    <col min="15623" max="15623" width="34.5703125" style="178" customWidth="1"/>
    <col min="15624" max="15624" width="23.28515625" style="178" customWidth="1"/>
    <col min="15625" max="15625" width="25.140625" style="178" customWidth="1"/>
    <col min="15626" max="15626" width="24.85546875" style="178" customWidth="1"/>
    <col min="15627" max="15627" width="22" style="178" customWidth="1"/>
    <col min="15628" max="15628" width="25.7109375" style="178" customWidth="1"/>
    <col min="15629" max="15629" width="26.140625" style="178" customWidth="1"/>
    <col min="15630" max="15630" width="27.5703125" style="178" customWidth="1"/>
    <col min="15631" max="15631" width="27.140625" style="178" customWidth="1"/>
    <col min="15632" max="15632" width="32.85546875" style="178" customWidth="1"/>
    <col min="15633" max="15633" width="22.42578125" style="178" customWidth="1"/>
    <col min="15634" max="15634" width="28.140625" style="178" customWidth="1"/>
    <col min="15635" max="15635" width="52.42578125" style="178" customWidth="1"/>
    <col min="15636" max="15636" width="32.42578125" style="178" customWidth="1"/>
    <col min="15637" max="15637" width="24.5703125" style="178" customWidth="1"/>
    <col min="15638" max="15638" width="35" style="178" customWidth="1"/>
    <col min="15639" max="15639" width="35.140625" style="178" customWidth="1"/>
    <col min="15640" max="15640" width="41.140625" style="178" customWidth="1"/>
    <col min="15641" max="15641" width="16.42578125" style="178" customWidth="1"/>
    <col min="15642" max="15642" width="21.42578125" style="178" customWidth="1"/>
    <col min="15643" max="15643" width="31.42578125" style="178" customWidth="1"/>
    <col min="15644" max="15644" width="18.140625" style="178" customWidth="1"/>
    <col min="15645" max="15872" width="9.140625" style="178"/>
    <col min="15873" max="15873" width="9.28515625" style="178" customWidth="1"/>
    <col min="15874" max="15874" width="12.85546875" style="178" customWidth="1"/>
    <col min="15875" max="15875" width="167.42578125" style="178" customWidth="1"/>
    <col min="15876" max="15876" width="27.85546875" style="178" customWidth="1"/>
    <col min="15877" max="15877" width="26.140625" style="178" customWidth="1"/>
    <col min="15878" max="15878" width="26.85546875" style="178" customWidth="1"/>
    <col min="15879" max="15879" width="34.5703125" style="178" customWidth="1"/>
    <col min="15880" max="15880" width="23.28515625" style="178" customWidth="1"/>
    <col min="15881" max="15881" width="25.140625" style="178" customWidth="1"/>
    <col min="15882" max="15882" width="24.85546875" style="178" customWidth="1"/>
    <col min="15883" max="15883" width="22" style="178" customWidth="1"/>
    <col min="15884" max="15884" width="25.7109375" style="178" customWidth="1"/>
    <col min="15885" max="15885" width="26.140625" style="178" customWidth="1"/>
    <col min="15886" max="15886" width="27.5703125" style="178" customWidth="1"/>
    <col min="15887" max="15887" width="27.140625" style="178" customWidth="1"/>
    <col min="15888" max="15888" width="32.85546875" style="178" customWidth="1"/>
    <col min="15889" max="15889" width="22.42578125" style="178" customWidth="1"/>
    <col min="15890" max="15890" width="28.140625" style="178" customWidth="1"/>
    <col min="15891" max="15891" width="52.42578125" style="178" customWidth="1"/>
    <col min="15892" max="15892" width="32.42578125" style="178" customWidth="1"/>
    <col min="15893" max="15893" width="24.5703125" style="178" customWidth="1"/>
    <col min="15894" max="15894" width="35" style="178" customWidth="1"/>
    <col min="15895" max="15895" width="35.140625" style="178" customWidth="1"/>
    <col min="15896" max="15896" width="41.140625" style="178" customWidth="1"/>
    <col min="15897" max="15897" width="16.42578125" style="178" customWidth="1"/>
    <col min="15898" max="15898" width="21.42578125" style="178" customWidth="1"/>
    <col min="15899" max="15899" width="31.42578125" style="178" customWidth="1"/>
    <col min="15900" max="15900" width="18.140625" style="178" customWidth="1"/>
    <col min="15901" max="16128" width="9.140625" style="178"/>
    <col min="16129" max="16129" width="9.28515625" style="178" customWidth="1"/>
    <col min="16130" max="16130" width="12.85546875" style="178" customWidth="1"/>
    <col min="16131" max="16131" width="167.42578125" style="178" customWidth="1"/>
    <col min="16132" max="16132" width="27.85546875" style="178" customWidth="1"/>
    <col min="16133" max="16133" width="26.140625" style="178" customWidth="1"/>
    <col min="16134" max="16134" width="26.85546875" style="178" customWidth="1"/>
    <col min="16135" max="16135" width="34.5703125" style="178" customWidth="1"/>
    <col min="16136" max="16136" width="23.28515625" style="178" customWidth="1"/>
    <col min="16137" max="16137" width="25.140625" style="178" customWidth="1"/>
    <col min="16138" max="16138" width="24.85546875" style="178" customWidth="1"/>
    <col min="16139" max="16139" width="22" style="178" customWidth="1"/>
    <col min="16140" max="16140" width="25.7109375" style="178" customWidth="1"/>
    <col min="16141" max="16141" width="26.140625" style="178" customWidth="1"/>
    <col min="16142" max="16142" width="27.5703125" style="178" customWidth="1"/>
    <col min="16143" max="16143" width="27.140625" style="178" customWidth="1"/>
    <col min="16144" max="16144" width="32.85546875" style="178" customWidth="1"/>
    <col min="16145" max="16145" width="22.42578125" style="178" customWidth="1"/>
    <col min="16146" max="16146" width="28.140625" style="178" customWidth="1"/>
    <col min="16147" max="16147" width="52.42578125" style="178" customWidth="1"/>
    <col min="16148" max="16148" width="32.42578125" style="178" customWidth="1"/>
    <col min="16149" max="16149" width="24.5703125" style="178" customWidth="1"/>
    <col min="16150" max="16150" width="35" style="178" customWidth="1"/>
    <col min="16151" max="16151" width="35.140625" style="178" customWidth="1"/>
    <col min="16152" max="16152" width="41.140625" style="178" customWidth="1"/>
    <col min="16153" max="16153" width="16.42578125" style="178" customWidth="1"/>
    <col min="16154" max="16154" width="21.42578125" style="178" customWidth="1"/>
    <col min="16155" max="16155" width="31.42578125" style="178" customWidth="1"/>
    <col min="16156" max="16156" width="18.140625" style="178" customWidth="1"/>
    <col min="16157" max="16384" width="9.140625" style="178"/>
  </cols>
  <sheetData>
    <row r="1" spans="1:28" s="171" customFormat="1" ht="186.75" customHeight="1" x14ac:dyDescent="0.25">
      <c r="A1" s="354" t="s">
        <v>1889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4"/>
      <c r="AA1" s="354"/>
      <c r="AB1" s="354"/>
    </row>
    <row r="2" spans="1:28" s="172" customFormat="1" ht="63.75" customHeight="1" x14ac:dyDescent="0.4">
      <c r="B2" s="355" t="s">
        <v>6</v>
      </c>
      <c r="C2" s="355" t="s">
        <v>7</v>
      </c>
      <c r="D2" s="356" t="s">
        <v>8</v>
      </c>
      <c r="E2" s="355" t="s">
        <v>990</v>
      </c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9" t="s">
        <v>9</v>
      </c>
      <c r="R2" s="360"/>
      <c r="S2" s="360"/>
      <c r="T2" s="360"/>
      <c r="U2" s="360"/>
      <c r="V2" s="360"/>
      <c r="W2" s="360"/>
      <c r="X2" s="360"/>
      <c r="Y2" s="360"/>
      <c r="Z2" s="360"/>
      <c r="AA2" s="361"/>
      <c r="AB2" s="362" t="s">
        <v>1736</v>
      </c>
    </row>
    <row r="3" spans="1:28" s="172" customFormat="1" ht="40.5" customHeight="1" x14ac:dyDescent="0.4">
      <c r="B3" s="355"/>
      <c r="C3" s="355"/>
      <c r="D3" s="357"/>
      <c r="E3" s="355" t="s">
        <v>13</v>
      </c>
      <c r="F3" s="355"/>
      <c r="G3" s="355"/>
      <c r="H3" s="355"/>
      <c r="I3" s="355"/>
      <c r="J3" s="355"/>
      <c r="K3" s="363" t="s">
        <v>14</v>
      </c>
      <c r="L3" s="363"/>
      <c r="M3" s="363" t="s">
        <v>15</v>
      </c>
      <c r="N3" s="363" t="s">
        <v>16</v>
      </c>
      <c r="O3" s="363" t="s">
        <v>17</v>
      </c>
      <c r="P3" s="363" t="s">
        <v>18</v>
      </c>
      <c r="Q3" s="353" t="s">
        <v>1737</v>
      </c>
      <c r="R3" s="353" t="s">
        <v>20</v>
      </c>
      <c r="S3" s="353" t="s">
        <v>1738</v>
      </c>
      <c r="T3" s="353" t="s">
        <v>22</v>
      </c>
      <c r="U3" s="353" t="s">
        <v>23</v>
      </c>
      <c r="V3" s="353" t="s">
        <v>24</v>
      </c>
      <c r="W3" s="353" t="s">
        <v>1739</v>
      </c>
      <c r="X3" s="353" t="s">
        <v>1740</v>
      </c>
      <c r="Y3" s="353" t="s">
        <v>27</v>
      </c>
      <c r="Z3" s="353" t="s">
        <v>28</v>
      </c>
      <c r="AA3" s="353" t="s">
        <v>1741</v>
      </c>
      <c r="AB3" s="362"/>
    </row>
    <row r="4" spans="1:28" s="172" customFormat="1" ht="409.6" customHeight="1" x14ac:dyDescent="0.4">
      <c r="B4" s="355"/>
      <c r="C4" s="355"/>
      <c r="D4" s="358"/>
      <c r="E4" s="173" t="s">
        <v>30</v>
      </c>
      <c r="F4" s="173" t="s">
        <v>31</v>
      </c>
      <c r="G4" s="173" t="s">
        <v>32</v>
      </c>
      <c r="H4" s="173" t="s">
        <v>33</v>
      </c>
      <c r="I4" s="173" t="s">
        <v>34</v>
      </c>
      <c r="J4" s="173" t="s">
        <v>35</v>
      </c>
      <c r="K4" s="363"/>
      <c r="L4" s="363"/>
      <c r="M4" s="363"/>
      <c r="N4" s="363"/>
      <c r="O4" s="363"/>
      <c r="P4" s="363"/>
      <c r="Q4" s="353"/>
      <c r="R4" s="353"/>
      <c r="S4" s="353"/>
      <c r="T4" s="353"/>
      <c r="U4" s="353"/>
      <c r="V4" s="353"/>
      <c r="W4" s="353"/>
      <c r="X4" s="353"/>
      <c r="Y4" s="353"/>
      <c r="Z4" s="353"/>
      <c r="AA4" s="353"/>
      <c r="AB4" s="362"/>
    </row>
    <row r="5" spans="1:28" s="174" customFormat="1" ht="39.75" customHeight="1" x14ac:dyDescent="0.25">
      <c r="B5" s="355"/>
      <c r="C5" s="355"/>
      <c r="D5" s="175" t="s">
        <v>36</v>
      </c>
      <c r="E5" s="238" t="s">
        <v>36</v>
      </c>
      <c r="F5" s="238" t="s">
        <v>36</v>
      </c>
      <c r="G5" s="238" t="s">
        <v>36</v>
      </c>
      <c r="H5" s="238" t="s">
        <v>36</v>
      </c>
      <c r="I5" s="238" t="s">
        <v>36</v>
      </c>
      <c r="J5" s="238" t="s">
        <v>36</v>
      </c>
      <c r="K5" s="238" t="s">
        <v>37</v>
      </c>
      <c r="L5" s="238" t="s">
        <v>36</v>
      </c>
      <c r="M5" s="238" t="s">
        <v>36</v>
      </c>
      <c r="N5" s="238" t="s">
        <v>36</v>
      </c>
      <c r="O5" s="238" t="s">
        <v>36</v>
      </c>
      <c r="P5" s="238" t="s">
        <v>36</v>
      </c>
      <c r="Q5" s="238" t="s">
        <v>36</v>
      </c>
      <c r="R5" s="238" t="s">
        <v>36</v>
      </c>
      <c r="S5" s="238" t="s">
        <v>36</v>
      </c>
      <c r="T5" s="238" t="s">
        <v>36</v>
      </c>
      <c r="U5" s="238" t="s">
        <v>36</v>
      </c>
      <c r="V5" s="238" t="s">
        <v>36</v>
      </c>
      <c r="W5" s="238" t="s">
        <v>36</v>
      </c>
      <c r="X5" s="238" t="s">
        <v>36</v>
      </c>
      <c r="Y5" s="238" t="s">
        <v>36</v>
      </c>
      <c r="Z5" s="238" t="s">
        <v>36</v>
      </c>
      <c r="AA5" s="238" t="s">
        <v>36</v>
      </c>
      <c r="AB5" s="362"/>
    </row>
    <row r="6" spans="1:28" s="172" customFormat="1" ht="26.25" x14ac:dyDescent="0.4">
      <c r="B6" s="176">
        <v>1</v>
      </c>
      <c r="C6" s="176">
        <v>2</v>
      </c>
      <c r="D6" s="176">
        <f>C6+1</f>
        <v>3</v>
      </c>
      <c r="E6" s="176">
        <f>D6+1</f>
        <v>4</v>
      </c>
      <c r="F6" s="176">
        <v>5</v>
      </c>
      <c r="G6" s="176">
        <v>6</v>
      </c>
      <c r="H6" s="176">
        <v>7</v>
      </c>
      <c r="I6" s="176">
        <v>8</v>
      </c>
      <c r="J6" s="176">
        <v>9</v>
      </c>
      <c r="K6" s="176">
        <v>10</v>
      </c>
      <c r="L6" s="176">
        <v>11</v>
      </c>
      <c r="M6" s="176">
        <v>12</v>
      </c>
      <c r="N6" s="176">
        <v>13</v>
      </c>
      <c r="O6" s="176">
        <v>14</v>
      </c>
      <c r="P6" s="176">
        <v>15</v>
      </c>
      <c r="Q6" s="176">
        <v>16</v>
      </c>
      <c r="R6" s="176">
        <v>17</v>
      </c>
      <c r="S6" s="176">
        <v>18</v>
      </c>
      <c r="T6" s="176">
        <v>19</v>
      </c>
      <c r="U6" s="176">
        <v>20</v>
      </c>
      <c r="V6" s="176">
        <v>21</v>
      </c>
      <c r="W6" s="176">
        <v>22</v>
      </c>
      <c r="X6" s="176">
        <v>23</v>
      </c>
      <c r="Y6" s="176">
        <v>24</v>
      </c>
      <c r="Z6" s="176">
        <v>25</v>
      </c>
      <c r="AA6" s="176">
        <v>26</v>
      </c>
      <c r="AB6" s="177">
        <v>27</v>
      </c>
    </row>
    <row r="7" spans="1:28" s="6" customFormat="1" ht="35.25" x14ac:dyDescent="0.5">
      <c r="B7" s="269" t="s">
        <v>1731</v>
      </c>
      <c r="C7" s="270"/>
      <c r="D7" s="271">
        <f>D8+D183+D200+D220+D330+D337+D339+D372+D418+D420+D422+D425+D433+D440+D447+D451+D335+D454+D456+D458+D462+D470+D474+D479+D486+D489</f>
        <v>328753841.81999999</v>
      </c>
      <c r="E7" s="271">
        <f t="shared" ref="E7:AA7" si="0">E8+E183+E200+E220+E330+E337+E339+E372+E418+E420+E422</f>
        <v>6749524.3400000008</v>
      </c>
      <c r="F7" s="271">
        <f t="shared" si="0"/>
        <v>10448873.149999999</v>
      </c>
      <c r="G7" s="271">
        <f t="shared" si="0"/>
        <v>23120371.759999998</v>
      </c>
      <c r="H7" s="271">
        <f t="shared" si="0"/>
        <v>2038544.88</v>
      </c>
      <c r="I7" s="271">
        <f t="shared" si="0"/>
        <v>7890956.3800000008</v>
      </c>
      <c r="J7" s="271">
        <f t="shared" si="0"/>
        <v>88420.66</v>
      </c>
      <c r="K7" s="272">
        <f t="shared" si="0"/>
        <v>74</v>
      </c>
      <c r="L7" s="271">
        <f t="shared" si="0"/>
        <v>72541512.859999999</v>
      </c>
      <c r="M7" s="271">
        <f t="shared" si="0"/>
        <v>105593588.75</v>
      </c>
      <c r="N7" s="271">
        <f t="shared" si="0"/>
        <v>6073487.46</v>
      </c>
      <c r="O7" s="271">
        <f t="shared" si="0"/>
        <v>57078653.270000011</v>
      </c>
      <c r="P7" s="271">
        <f t="shared" si="0"/>
        <v>3909823.97</v>
      </c>
      <c r="Q7" s="271">
        <f t="shared" si="0"/>
        <v>0</v>
      </c>
      <c r="R7" s="271">
        <f t="shared" si="0"/>
        <v>0</v>
      </c>
      <c r="S7" s="271">
        <f t="shared" si="0"/>
        <v>0</v>
      </c>
      <c r="T7" s="271">
        <f t="shared" si="0"/>
        <v>0</v>
      </c>
      <c r="U7" s="271">
        <f t="shared" si="0"/>
        <v>0</v>
      </c>
      <c r="V7" s="271">
        <f t="shared" si="0"/>
        <v>0</v>
      </c>
      <c r="W7" s="271">
        <f t="shared" si="0"/>
        <v>0</v>
      </c>
      <c r="X7" s="271">
        <f t="shared" si="0"/>
        <v>0</v>
      </c>
      <c r="Y7" s="271">
        <f t="shared" si="0"/>
        <v>0</v>
      </c>
      <c r="Z7" s="271">
        <f t="shared" si="0"/>
        <v>139000</v>
      </c>
      <c r="AA7" s="271">
        <f t="shared" si="0"/>
        <v>0</v>
      </c>
      <c r="AB7" s="273" t="s">
        <v>896</v>
      </c>
    </row>
    <row r="8" spans="1:28" s="6" customFormat="1" ht="35.25" customHeight="1" x14ac:dyDescent="0.5">
      <c r="B8" s="269" t="s">
        <v>1051</v>
      </c>
      <c r="C8" s="270"/>
      <c r="D8" s="271">
        <f t="shared" ref="D8:AA8" si="1">SUM(D9:D182)</f>
        <v>125022021.07999994</v>
      </c>
      <c r="E8" s="271">
        <f t="shared" si="1"/>
        <v>4810750.66</v>
      </c>
      <c r="F8" s="271">
        <f t="shared" si="1"/>
        <v>7885160.2000000002</v>
      </c>
      <c r="G8" s="271">
        <f t="shared" si="1"/>
        <v>6175323.2000000002</v>
      </c>
      <c r="H8" s="271">
        <f t="shared" si="1"/>
        <v>740861.25</v>
      </c>
      <c r="I8" s="271">
        <f t="shared" si="1"/>
        <v>3034020.53</v>
      </c>
      <c r="J8" s="271">
        <f t="shared" si="1"/>
        <v>0</v>
      </c>
      <c r="K8" s="272">
        <f t="shared" si="1"/>
        <v>38</v>
      </c>
      <c r="L8" s="271">
        <f t="shared" si="1"/>
        <v>19848391.299999997</v>
      </c>
      <c r="M8" s="271">
        <f t="shared" si="1"/>
        <v>52950929.969999999</v>
      </c>
      <c r="N8" s="271">
        <f t="shared" si="1"/>
        <v>3156145.79</v>
      </c>
      <c r="O8" s="271">
        <f t="shared" si="1"/>
        <v>24127492.560000002</v>
      </c>
      <c r="P8" s="271">
        <f t="shared" si="1"/>
        <v>2153945.62</v>
      </c>
      <c r="Q8" s="271">
        <f t="shared" si="1"/>
        <v>0</v>
      </c>
      <c r="R8" s="271">
        <f t="shared" si="1"/>
        <v>0</v>
      </c>
      <c r="S8" s="271">
        <f t="shared" si="1"/>
        <v>0</v>
      </c>
      <c r="T8" s="271">
        <f t="shared" si="1"/>
        <v>0</v>
      </c>
      <c r="U8" s="271">
        <f t="shared" si="1"/>
        <v>0</v>
      </c>
      <c r="V8" s="271">
        <f t="shared" si="1"/>
        <v>0</v>
      </c>
      <c r="W8" s="271">
        <f t="shared" si="1"/>
        <v>0</v>
      </c>
      <c r="X8" s="271">
        <f t="shared" si="1"/>
        <v>0</v>
      </c>
      <c r="Y8" s="271">
        <f t="shared" si="1"/>
        <v>0</v>
      </c>
      <c r="Z8" s="271">
        <f t="shared" si="1"/>
        <v>139000</v>
      </c>
      <c r="AA8" s="271">
        <f t="shared" si="1"/>
        <v>0</v>
      </c>
      <c r="AB8" s="273" t="s">
        <v>896</v>
      </c>
    </row>
    <row r="9" spans="1:28" s="6" customFormat="1" ht="35.25" customHeight="1" x14ac:dyDescent="0.5">
      <c r="A9" s="6">
        <v>1</v>
      </c>
      <c r="B9" s="135">
        <f>SUBTOTAL(103,$A$7:A9)</f>
        <v>1</v>
      </c>
      <c r="C9" s="270" t="s">
        <v>1743</v>
      </c>
      <c r="D9" s="271">
        <f t="shared" ref="D9:D28" si="2">E9+F9+G9+H9+I9+J9+L9+M9+N9+O9+P9+Q9+R9+S9+T9+U9+V9+W9+X9+Y9+Z9+AA9</f>
        <v>259217</v>
      </c>
      <c r="E9" s="274">
        <v>0</v>
      </c>
      <c r="F9" s="274">
        <v>0</v>
      </c>
      <c r="G9" s="274">
        <v>259217</v>
      </c>
      <c r="H9" s="274">
        <v>0</v>
      </c>
      <c r="I9" s="274">
        <v>0</v>
      </c>
      <c r="J9" s="274">
        <v>0</v>
      </c>
      <c r="K9" s="275">
        <v>0</v>
      </c>
      <c r="L9" s="274">
        <v>0</v>
      </c>
      <c r="M9" s="274">
        <v>0</v>
      </c>
      <c r="N9" s="274">
        <v>0</v>
      </c>
      <c r="O9" s="274">
        <v>0</v>
      </c>
      <c r="P9" s="274">
        <v>0</v>
      </c>
      <c r="Q9" s="274">
        <v>0</v>
      </c>
      <c r="R9" s="274">
        <v>0</v>
      </c>
      <c r="S9" s="274">
        <v>0</v>
      </c>
      <c r="T9" s="274">
        <v>0</v>
      </c>
      <c r="U9" s="274">
        <v>0</v>
      </c>
      <c r="V9" s="274">
        <v>0</v>
      </c>
      <c r="W9" s="274">
        <v>0</v>
      </c>
      <c r="X9" s="274">
        <v>0</v>
      </c>
      <c r="Y9" s="274">
        <v>0</v>
      </c>
      <c r="Z9" s="274">
        <v>0</v>
      </c>
      <c r="AA9" s="274">
        <v>0</v>
      </c>
      <c r="AB9" s="276">
        <v>2020</v>
      </c>
    </row>
    <row r="10" spans="1:28" s="6" customFormat="1" ht="35.25" x14ac:dyDescent="0.5">
      <c r="A10" s="6">
        <v>1</v>
      </c>
      <c r="B10" s="135">
        <f>SUBTOTAL(103,$A$7:A10)</f>
        <v>2</v>
      </c>
      <c r="C10" s="270" t="s">
        <v>1744</v>
      </c>
      <c r="D10" s="271">
        <f t="shared" si="2"/>
        <v>389342</v>
      </c>
      <c r="E10" s="277">
        <v>0</v>
      </c>
      <c r="F10" s="277">
        <v>0</v>
      </c>
      <c r="G10" s="277">
        <v>0</v>
      </c>
      <c r="H10" s="277">
        <v>0</v>
      </c>
      <c r="I10" s="277">
        <v>0</v>
      </c>
      <c r="J10" s="277">
        <v>0</v>
      </c>
      <c r="K10" s="278">
        <v>0</v>
      </c>
      <c r="L10" s="277">
        <v>0</v>
      </c>
      <c r="M10" s="277">
        <v>0</v>
      </c>
      <c r="N10" s="277">
        <v>0</v>
      </c>
      <c r="O10" s="277">
        <f>116802.6+272539.4</f>
        <v>389342</v>
      </c>
      <c r="P10" s="277">
        <v>0</v>
      </c>
      <c r="Q10" s="277">
        <v>0</v>
      </c>
      <c r="R10" s="277">
        <v>0</v>
      </c>
      <c r="S10" s="277">
        <v>0</v>
      </c>
      <c r="T10" s="277">
        <v>0</v>
      </c>
      <c r="U10" s="277">
        <v>0</v>
      </c>
      <c r="V10" s="277">
        <v>0</v>
      </c>
      <c r="W10" s="277">
        <v>0</v>
      </c>
      <c r="X10" s="277">
        <v>0</v>
      </c>
      <c r="Y10" s="277">
        <v>0</v>
      </c>
      <c r="Z10" s="277">
        <v>0</v>
      </c>
      <c r="AA10" s="277">
        <v>0</v>
      </c>
      <c r="AB10" s="276">
        <v>2020</v>
      </c>
    </row>
    <row r="11" spans="1:28" s="6" customFormat="1" ht="35.25" x14ac:dyDescent="0.5">
      <c r="A11" s="6">
        <v>1</v>
      </c>
      <c r="B11" s="135">
        <f>SUBTOTAL(103,$A$7:A11)</f>
        <v>3</v>
      </c>
      <c r="C11" s="270" t="s">
        <v>1745</v>
      </c>
      <c r="D11" s="271">
        <f t="shared" si="2"/>
        <v>611403</v>
      </c>
      <c r="E11" s="274">
        <v>0</v>
      </c>
      <c r="F11" s="274">
        <v>0</v>
      </c>
      <c r="G11" s="274">
        <v>0</v>
      </c>
      <c r="H11" s="274">
        <v>0</v>
      </c>
      <c r="I11" s="274">
        <v>0</v>
      </c>
      <c r="J11" s="274">
        <v>0</v>
      </c>
      <c r="K11" s="275">
        <v>0</v>
      </c>
      <c r="L11" s="274">
        <v>0</v>
      </c>
      <c r="M11" s="274">
        <v>0</v>
      </c>
      <c r="N11" s="274">
        <v>0</v>
      </c>
      <c r="O11" s="274">
        <f>90148+521255</f>
        <v>611403</v>
      </c>
      <c r="P11" s="274">
        <v>0</v>
      </c>
      <c r="Q11" s="274">
        <v>0</v>
      </c>
      <c r="R11" s="274">
        <v>0</v>
      </c>
      <c r="S11" s="274">
        <v>0</v>
      </c>
      <c r="T11" s="274">
        <v>0</v>
      </c>
      <c r="U11" s="274">
        <v>0</v>
      </c>
      <c r="V11" s="274">
        <v>0</v>
      </c>
      <c r="W11" s="274">
        <v>0</v>
      </c>
      <c r="X11" s="274">
        <v>0</v>
      </c>
      <c r="Y11" s="274">
        <v>0</v>
      </c>
      <c r="Z11" s="274">
        <v>0</v>
      </c>
      <c r="AA11" s="274">
        <v>0</v>
      </c>
      <c r="AB11" s="276">
        <v>2020</v>
      </c>
    </row>
    <row r="12" spans="1:28" s="6" customFormat="1" ht="35.25" x14ac:dyDescent="0.5">
      <c r="A12" s="6">
        <v>1</v>
      </c>
      <c r="B12" s="135">
        <f>SUBTOTAL(103,$A$7:A12)</f>
        <v>4</v>
      </c>
      <c r="C12" s="270" t="s">
        <v>1746</v>
      </c>
      <c r="D12" s="271">
        <f t="shared" si="2"/>
        <v>238788.19999999998</v>
      </c>
      <c r="E12" s="274">
        <v>0</v>
      </c>
      <c r="F12" s="274">
        <v>0</v>
      </c>
      <c r="G12" s="274">
        <v>0</v>
      </c>
      <c r="H12" s="274">
        <v>0</v>
      </c>
      <c r="I12" s="274">
        <v>0</v>
      </c>
      <c r="J12" s="274">
        <v>0</v>
      </c>
      <c r="K12" s="275">
        <v>0</v>
      </c>
      <c r="L12" s="274">
        <v>0</v>
      </c>
      <c r="M12" s="274">
        <v>0</v>
      </c>
      <c r="N12" s="274">
        <v>150788.79999999999</v>
      </c>
      <c r="O12" s="274">
        <v>87999.4</v>
      </c>
      <c r="P12" s="274">
        <v>0</v>
      </c>
      <c r="Q12" s="274">
        <v>0</v>
      </c>
      <c r="R12" s="274">
        <v>0</v>
      </c>
      <c r="S12" s="274">
        <v>0</v>
      </c>
      <c r="T12" s="274">
        <v>0</v>
      </c>
      <c r="U12" s="274">
        <v>0</v>
      </c>
      <c r="V12" s="274">
        <v>0</v>
      </c>
      <c r="W12" s="274">
        <v>0</v>
      </c>
      <c r="X12" s="274">
        <v>0</v>
      </c>
      <c r="Y12" s="274">
        <v>0</v>
      </c>
      <c r="Z12" s="274">
        <v>0</v>
      </c>
      <c r="AA12" s="274">
        <v>0</v>
      </c>
      <c r="AB12" s="276">
        <v>2020</v>
      </c>
    </row>
    <row r="13" spans="1:28" s="6" customFormat="1" ht="35.25" x14ac:dyDescent="0.5">
      <c r="A13" s="6">
        <v>1</v>
      </c>
      <c r="B13" s="135">
        <f>SUBTOTAL(103,$A$7:A13)</f>
        <v>5</v>
      </c>
      <c r="C13" s="270" t="s">
        <v>1747</v>
      </c>
      <c r="D13" s="271">
        <f t="shared" si="2"/>
        <v>620000</v>
      </c>
      <c r="E13" s="274">
        <v>0</v>
      </c>
      <c r="F13" s="274">
        <v>0</v>
      </c>
      <c r="G13" s="274">
        <v>0</v>
      </c>
      <c r="H13" s="274">
        <v>0</v>
      </c>
      <c r="I13" s="274">
        <f>210000+410000</f>
        <v>620000</v>
      </c>
      <c r="J13" s="274">
        <v>0</v>
      </c>
      <c r="K13" s="275">
        <v>0</v>
      </c>
      <c r="L13" s="274">
        <v>0</v>
      </c>
      <c r="M13" s="274">
        <v>0</v>
      </c>
      <c r="N13" s="274">
        <v>0</v>
      </c>
      <c r="O13" s="274">
        <v>0</v>
      </c>
      <c r="P13" s="274">
        <v>0</v>
      </c>
      <c r="Q13" s="274">
        <v>0</v>
      </c>
      <c r="R13" s="274">
        <v>0</v>
      </c>
      <c r="S13" s="274">
        <v>0</v>
      </c>
      <c r="T13" s="274">
        <v>0</v>
      </c>
      <c r="U13" s="274">
        <v>0</v>
      </c>
      <c r="V13" s="274">
        <v>0</v>
      </c>
      <c r="W13" s="274">
        <v>0</v>
      </c>
      <c r="X13" s="274">
        <v>0</v>
      </c>
      <c r="Y13" s="274">
        <v>0</v>
      </c>
      <c r="Z13" s="274">
        <v>0</v>
      </c>
      <c r="AA13" s="274">
        <v>0</v>
      </c>
      <c r="AB13" s="276">
        <v>2020</v>
      </c>
    </row>
    <row r="14" spans="1:28" s="6" customFormat="1" ht="35.25" x14ac:dyDescent="0.5">
      <c r="A14" s="6">
        <v>1</v>
      </c>
      <c r="B14" s="135">
        <f>SUBTOTAL(103,$A$7:A14)</f>
        <v>6</v>
      </c>
      <c r="C14" s="270" t="s">
        <v>1748</v>
      </c>
      <c r="D14" s="271">
        <f t="shared" si="2"/>
        <v>120500</v>
      </c>
      <c r="E14" s="274">
        <v>0</v>
      </c>
      <c r="F14" s="274">
        <v>0</v>
      </c>
      <c r="G14" s="274">
        <v>0</v>
      </c>
      <c r="H14" s="274">
        <v>0</v>
      </c>
      <c r="I14" s="274">
        <v>0</v>
      </c>
      <c r="J14" s="274">
        <v>0</v>
      </c>
      <c r="K14" s="275">
        <v>0</v>
      </c>
      <c r="L14" s="274">
        <v>0</v>
      </c>
      <c r="M14" s="274">
        <f>31500+89000</f>
        <v>120500</v>
      </c>
      <c r="N14" s="274">
        <v>0</v>
      </c>
      <c r="O14" s="274">
        <v>0</v>
      </c>
      <c r="P14" s="274">
        <v>0</v>
      </c>
      <c r="Q14" s="274">
        <v>0</v>
      </c>
      <c r="R14" s="274">
        <v>0</v>
      </c>
      <c r="S14" s="274">
        <v>0</v>
      </c>
      <c r="T14" s="274">
        <v>0</v>
      </c>
      <c r="U14" s="274">
        <v>0</v>
      </c>
      <c r="V14" s="274">
        <v>0</v>
      </c>
      <c r="W14" s="274">
        <v>0</v>
      </c>
      <c r="X14" s="274">
        <v>0</v>
      </c>
      <c r="Y14" s="274">
        <v>0</v>
      </c>
      <c r="Z14" s="274">
        <v>0</v>
      </c>
      <c r="AA14" s="274">
        <v>0</v>
      </c>
      <c r="AB14" s="276">
        <v>2020</v>
      </c>
    </row>
    <row r="15" spans="1:28" s="6" customFormat="1" ht="35.25" customHeight="1" x14ac:dyDescent="0.5">
      <c r="A15" s="6">
        <v>1</v>
      </c>
      <c r="B15" s="135">
        <f>SUBTOTAL(103,$A$7:A15)</f>
        <v>7</v>
      </c>
      <c r="C15" s="270" t="s">
        <v>1749</v>
      </c>
      <c r="D15" s="271">
        <f t="shared" si="2"/>
        <v>102980</v>
      </c>
      <c r="E15" s="274">
        <v>0</v>
      </c>
      <c r="F15" s="274">
        <v>0</v>
      </c>
      <c r="G15" s="274">
        <v>0</v>
      </c>
      <c r="H15" s="274">
        <v>0</v>
      </c>
      <c r="I15" s="274">
        <v>0</v>
      </c>
      <c r="J15" s="274">
        <v>0</v>
      </c>
      <c r="K15" s="275">
        <v>0</v>
      </c>
      <c r="L15" s="274">
        <v>0</v>
      </c>
      <c r="M15" s="274">
        <v>0</v>
      </c>
      <c r="N15" s="274">
        <v>0</v>
      </c>
      <c r="O15" s="274">
        <v>102980</v>
      </c>
      <c r="P15" s="274">
        <v>0</v>
      </c>
      <c r="Q15" s="274">
        <v>0</v>
      </c>
      <c r="R15" s="274">
        <v>0</v>
      </c>
      <c r="S15" s="274">
        <v>0</v>
      </c>
      <c r="T15" s="274">
        <v>0</v>
      </c>
      <c r="U15" s="274">
        <v>0</v>
      </c>
      <c r="V15" s="274">
        <v>0</v>
      </c>
      <c r="W15" s="274">
        <v>0</v>
      </c>
      <c r="X15" s="274">
        <v>0</v>
      </c>
      <c r="Y15" s="274">
        <v>0</v>
      </c>
      <c r="Z15" s="274">
        <v>0</v>
      </c>
      <c r="AA15" s="274">
        <v>0</v>
      </c>
      <c r="AB15" s="276">
        <v>2020</v>
      </c>
    </row>
    <row r="16" spans="1:28" s="6" customFormat="1" ht="35.25" customHeight="1" x14ac:dyDescent="0.5">
      <c r="A16" s="6">
        <v>1</v>
      </c>
      <c r="B16" s="135">
        <f>SUBTOTAL(103,$A$7:A16)</f>
        <v>8</v>
      </c>
      <c r="C16" s="270" t="s">
        <v>1750</v>
      </c>
      <c r="D16" s="271">
        <f t="shared" si="2"/>
        <v>548443</v>
      </c>
      <c r="E16" s="274">
        <v>0</v>
      </c>
      <c r="F16" s="274">
        <v>0</v>
      </c>
      <c r="G16" s="274">
        <v>0</v>
      </c>
      <c r="H16" s="274">
        <v>0</v>
      </c>
      <c r="I16" s="274">
        <v>0</v>
      </c>
      <c r="J16" s="274">
        <v>0</v>
      </c>
      <c r="K16" s="275">
        <v>0</v>
      </c>
      <c r="L16" s="274">
        <v>0</v>
      </c>
      <c r="M16" s="274">
        <v>0</v>
      </c>
      <c r="N16" s="274">
        <v>0</v>
      </c>
      <c r="O16" s="274">
        <v>548443</v>
      </c>
      <c r="P16" s="274">
        <v>0</v>
      </c>
      <c r="Q16" s="274">
        <v>0</v>
      </c>
      <c r="R16" s="274">
        <v>0</v>
      </c>
      <c r="S16" s="274">
        <v>0</v>
      </c>
      <c r="T16" s="274">
        <v>0</v>
      </c>
      <c r="U16" s="274">
        <v>0</v>
      </c>
      <c r="V16" s="274">
        <v>0</v>
      </c>
      <c r="W16" s="274">
        <v>0</v>
      </c>
      <c r="X16" s="274">
        <v>0</v>
      </c>
      <c r="Y16" s="274">
        <v>0</v>
      </c>
      <c r="Z16" s="274">
        <v>0</v>
      </c>
      <c r="AA16" s="274">
        <v>0</v>
      </c>
      <c r="AB16" s="276">
        <v>2020</v>
      </c>
    </row>
    <row r="17" spans="1:28" s="6" customFormat="1" ht="35.25" x14ac:dyDescent="0.5">
      <c r="A17" s="6">
        <v>1</v>
      </c>
      <c r="B17" s="135">
        <f>SUBTOTAL(103,$A$7:A17)</f>
        <v>9</v>
      </c>
      <c r="C17" s="270" t="s">
        <v>1751</v>
      </c>
      <c r="D17" s="271">
        <f t="shared" si="2"/>
        <v>302478.55</v>
      </c>
      <c r="E17" s="274">
        <v>0</v>
      </c>
      <c r="F17" s="274">
        <v>0</v>
      </c>
      <c r="G17" s="274">
        <v>0</v>
      </c>
      <c r="H17" s="274">
        <v>0</v>
      </c>
      <c r="I17" s="274">
        <v>0</v>
      </c>
      <c r="J17" s="274">
        <v>0</v>
      </c>
      <c r="K17" s="275">
        <v>0</v>
      </c>
      <c r="L17" s="274">
        <v>0</v>
      </c>
      <c r="M17" s="274">
        <v>0</v>
      </c>
      <c r="N17" s="274">
        <v>106078.31</v>
      </c>
      <c r="O17" s="274">
        <f>81255.24+34543.5</f>
        <v>115798.74</v>
      </c>
      <c r="P17" s="274">
        <v>80601.5</v>
      </c>
      <c r="Q17" s="274">
        <v>0</v>
      </c>
      <c r="R17" s="274">
        <v>0</v>
      </c>
      <c r="S17" s="274">
        <v>0</v>
      </c>
      <c r="T17" s="274">
        <v>0</v>
      </c>
      <c r="U17" s="274">
        <v>0</v>
      </c>
      <c r="V17" s="274">
        <v>0</v>
      </c>
      <c r="W17" s="274">
        <v>0</v>
      </c>
      <c r="X17" s="274">
        <v>0</v>
      </c>
      <c r="Y17" s="274">
        <v>0</v>
      </c>
      <c r="Z17" s="274">
        <v>0</v>
      </c>
      <c r="AA17" s="274">
        <v>0</v>
      </c>
      <c r="AB17" s="276">
        <v>2020</v>
      </c>
    </row>
    <row r="18" spans="1:28" s="6" customFormat="1" ht="35.25" x14ac:dyDescent="0.5">
      <c r="A18" s="6">
        <v>1</v>
      </c>
      <c r="B18" s="135">
        <f>SUBTOTAL(103,$A$7:A18)</f>
        <v>10</v>
      </c>
      <c r="C18" s="270" t="s">
        <v>1752</v>
      </c>
      <c r="D18" s="271">
        <f t="shared" si="2"/>
        <v>302059.34000000003</v>
      </c>
      <c r="E18" s="274">
        <v>0</v>
      </c>
      <c r="F18" s="274">
        <v>0</v>
      </c>
      <c r="G18" s="274">
        <f>75345.7+175806.64</f>
        <v>251152.34000000003</v>
      </c>
      <c r="H18" s="274">
        <v>0</v>
      </c>
      <c r="I18" s="274">
        <v>0</v>
      </c>
      <c r="J18" s="274">
        <v>0</v>
      </c>
      <c r="K18" s="275">
        <v>1</v>
      </c>
      <c r="L18" s="274">
        <v>50907</v>
      </c>
      <c r="M18" s="274">
        <v>0</v>
      </c>
      <c r="N18" s="274">
        <v>0</v>
      </c>
      <c r="O18" s="274">
        <v>0</v>
      </c>
      <c r="P18" s="274">
        <v>0</v>
      </c>
      <c r="Q18" s="274">
        <v>0</v>
      </c>
      <c r="R18" s="274">
        <v>0</v>
      </c>
      <c r="S18" s="274">
        <v>0</v>
      </c>
      <c r="T18" s="274">
        <v>0</v>
      </c>
      <c r="U18" s="274">
        <v>0</v>
      </c>
      <c r="V18" s="274">
        <v>0</v>
      </c>
      <c r="W18" s="274">
        <v>0</v>
      </c>
      <c r="X18" s="274">
        <v>0</v>
      </c>
      <c r="Y18" s="274">
        <v>0</v>
      </c>
      <c r="Z18" s="274">
        <v>0</v>
      </c>
      <c r="AA18" s="274">
        <v>0</v>
      </c>
      <c r="AB18" s="276">
        <v>2020</v>
      </c>
    </row>
    <row r="19" spans="1:28" s="6" customFormat="1" ht="35.25" customHeight="1" x14ac:dyDescent="0.5">
      <c r="A19" s="6">
        <v>1</v>
      </c>
      <c r="B19" s="135">
        <f>SUBTOTAL(103,$A$7:A19)</f>
        <v>11</v>
      </c>
      <c r="C19" s="270" t="s">
        <v>1754</v>
      </c>
      <c r="D19" s="271">
        <f t="shared" si="2"/>
        <v>1208460</v>
      </c>
      <c r="E19" s="274">
        <v>0</v>
      </c>
      <c r="F19" s="274">
        <v>0</v>
      </c>
      <c r="G19" s="274">
        <v>0</v>
      </c>
      <c r="H19" s="274">
        <v>0</v>
      </c>
      <c r="I19" s="274">
        <v>0</v>
      </c>
      <c r="J19" s="274">
        <v>0</v>
      </c>
      <c r="K19" s="275">
        <v>0</v>
      </c>
      <c r="L19" s="274">
        <v>0</v>
      </c>
      <c r="M19" s="274">
        <v>0</v>
      </c>
      <c r="N19" s="274">
        <v>0</v>
      </c>
      <c r="O19" s="274">
        <v>1208460</v>
      </c>
      <c r="P19" s="274">
        <v>0</v>
      </c>
      <c r="Q19" s="274">
        <v>0</v>
      </c>
      <c r="R19" s="274">
        <v>0</v>
      </c>
      <c r="S19" s="274">
        <v>0</v>
      </c>
      <c r="T19" s="274">
        <v>0</v>
      </c>
      <c r="U19" s="274">
        <v>0</v>
      </c>
      <c r="V19" s="274">
        <v>0</v>
      </c>
      <c r="W19" s="274">
        <v>0</v>
      </c>
      <c r="X19" s="274">
        <v>0</v>
      </c>
      <c r="Y19" s="274">
        <v>0</v>
      </c>
      <c r="Z19" s="274">
        <v>0</v>
      </c>
      <c r="AA19" s="274">
        <v>0</v>
      </c>
      <c r="AB19" s="276">
        <v>2020</v>
      </c>
    </row>
    <row r="20" spans="1:28" s="6" customFormat="1" ht="35.25" customHeight="1" x14ac:dyDescent="0.5">
      <c r="A20" s="6">
        <v>1</v>
      </c>
      <c r="B20" s="135">
        <f>SUBTOTAL(103,$A$7:A20)</f>
        <v>12</v>
      </c>
      <c r="C20" s="270" t="s">
        <v>1755</v>
      </c>
      <c r="D20" s="271">
        <f t="shared" si="2"/>
        <v>120351</v>
      </c>
      <c r="E20" s="274">
        <v>0</v>
      </c>
      <c r="F20" s="274">
        <v>0</v>
      </c>
      <c r="G20" s="274">
        <v>0</v>
      </c>
      <c r="H20" s="274">
        <v>0</v>
      </c>
      <c r="I20" s="274">
        <v>0</v>
      </c>
      <c r="J20" s="274">
        <v>0</v>
      </c>
      <c r="K20" s="275">
        <v>1</v>
      </c>
      <c r="L20" s="274">
        <f>36105.3+84245.7</f>
        <v>120351</v>
      </c>
      <c r="M20" s="274">
        <v>0</v>
      </c>
      <c r="N20" s="274">
        <v>0</v>
      </c>
      <c r="O20" s="274">
        <v>0</v>
      </c>
      <c r="P20" s="274">
        <v>0</v>
      </c>
      <c r="Q20" s="274">
        <v>0</v>
      </c>
      <c r="R20" s="274">
        <v>0</v>
      </c>
      <c r="S20" s="274">
        <v>0</v>
      </c>
      <c r="T20" s="274">
        <v>0</v>
      </c>
      <c r="U20" s="274">
        <v>0</v>
      </c>
      <c r="V20" s="274">
        <v>0</v>
      </c>
      <c r="W20" s="274">
        <v>0</v>
      </c>
      <c r="X20" s="274">
        <v>0</v>
      </c>
      <c r="Y20" s="274">
        <v>0</v>
      </c>
      <c r="Z20" s="274">
        <v>0</v>
      </c>
      <c r="AA20" s="274">
        <v>0</v>
      </c>
      <c r="AB20" s="276">
        <v>2020</v>
      </c>
    </row>
    <row r="21" spans="1:28" s="6" customFormat="1" ht="35.25" customHeight="1" x14ac:dyDescent="0.5">
      <c r="A21" s="6">
        <v>1</v>
      </c>
      <c r="B21" s="135">
        <f>SUBTOTAL(103,$A$7:A21)</f>
        <v>13</v>
      </c>
      <c r="C21" s="270" t="s">
        <v>1756</v>
      </c>
      <c r="D21" s="271">
        <f t="shared" si="2"/>
        <v>224568</v>
      </c>
      <c r="E21" s="274">
        <v>0</v>
      </c>
      <c r="F21" s="274">
        <v>0</v>
      </c>
      <c r="G21" s="274">
        <v>224568</v>
      </c>
      <c r="H21" s="274">
        <v>0</v>
      </c>
      <c r="I21" s="274">
        <v>0</v>
      </c>
      <c r="J21" s="274">
        <v>0</v>
      </c>
      <c r="K21" s="275">
        <v>0</v>
      </c>
      <c r="L21" s="274">
        <v>0</v>
      </c>
      <c r="M21" s="274">
        <v>0</v>
      </c>
      <c r="N21" s="274">
        <v>0</v>
      </c>
      <c r="O21" s="274">
        <v>0</v>
      </c>
      <c r="P21" s="274">
        <v>0</v>
      </c>
      <c r="Q21" s="274">
        <v>0</v>
      </c>
      <c r="R21" s="274">
        <v>0</v>
      </c>
      <c r="S21" s="274">
        <v>0</v>
      </c>
      <c r="T21" s="274">
        <v>0</v>
      </c>
      <c r="U21" s="274">
        <v>0</v>
      </c>
      <c r="V21" s="274">
        <v>0</v>
      </c>
      <c r="W21" s="274">
        <v>0</v>
      </c>
      <c r="X21" s="274">
        <v>0</v>
      </c>
      <c r="Y21" s="274">
        <v>0</v>
      </c>
      <c r="Z21" s="274">
        <v>0</v>
      </c>
      <c r="AA21" s="274">
        <v>0</v>
      </c>
      <c r="AB21" s="276">
        <v>2020</v>
      </c>
    </row>
    <row r="22" spans="1:28" s="6" customFormat="1" ht="35.25" customHeight="1" x14ac:dyDescent="0.5">
      <c r="A22" s="6">
        <v>1</v>
      </c>
      <c r="B22" s="135">
        <f>SUBTOTAL(103,$A$7:A22)</f>
        <v>14</v>
      </c>
      <c r="C22" s="270" t="s">
        <v>1757</v>
      </c>
      <c r="D22" s="271">
        <f>E22+F22+G22+H22+I22+J22+L22+M22+N22+O22+P22+Q22+R22+S22+T22+U22+V22+W22+X22+Y22+Z22+AA22</f>
        <v>107933</v>
      </c>
      <c r="E22" s="274">
        <v>0</v>
      </c>
      <c r="F22" s="274">
        <v>0</v>
      </c>
      <c r="G22" s="274">
        <v>0</v>
      </c>
      <c r="H22" s="274">
        <v>0</v>
      </c>
      <c r="I22" s="274">
        <v>0</v>
      </c>
      <c r="J22" s="274">
        <v>0</v>
      </c>
      <c r="K22" s="275">
        <v>1</v>
      </c>
      <c r="L22" s="274">
        <f>52379.9+55553.1</f>
        <v>107933</v>
      </c>
      <c r="M22" s="274">
        <v>0</v>
      </c>
      <c r="N22" s="274">
        <v>0</v>
      </c>
      <c r="O22" s="274">
        <v>0</v>
      </c>
      <c r="P22" s="274">
        <v>0</v>
      </c>
      <c r="Q22" s="274">
        <v>0</v>
      </c>
      <c r="R22" s="274">
        <v>0</v>
      </c>
      <c r="S22" s="274">
        <v>0</v>
      </c>
      <c r="T22" s="274">
        <v>0</v>
      </c>
      <c r="U22" s="274">
        <v>0</v>
      </c>
      <c r="V22" s="274">
        <v>0</v>
      </c>
      <c r="W22" s="274">
        <v>0</v>
      </c>
      <c r="X22" s="274">
        <v>0</v>
      </c>
      <c r="Y22" s="274">
        <v>0</v>
      </c>
      <c r="Z22" s="274">
        <v>0</v>
      </c>
      <c r="AA22" s="274">
        <v>0</v>
      </c>
      <c r="AB22" s="276">
        <v>2020</v>
      </c>
    </row>
    <row r="23" spans="1:28" s="6" customFormat="1" ht="35.25" x14ac:dyDescent="0.5">
      <c r="A23" s="6">
        <v>1</v>
      </c>
      <c r="B23" s="135">
        <f>SUBTOTAL(103,$A$7:A23)</f>
        <v>15</v>
      </c>
      <c r="C23" s="270" t="s">
        <v>1758</v>
      </c>
      <c r="D23" s="271">
        <f t="shared" si="2"/>
        <v>869766.7</v>
      </c>
      <c r="E23" s="274">
        <v>0</v>
      </c>
      <c r="F23" s="274">
        <v>677767</v>
      </c>
      <c r="G23" s="274">
        <v>0</v>
      </c>
      <c r="H23" s="274">
        <v>0</v>
      </c>
      <c r="I23" s="274">
        <v>0</v>
      </c>
      <c r="J23" s="274">
        <v>0</v>
      </c>
      <c r="K23" s="275">
        <v>0</v>
      </c>
      <c r="L23" s="274">
        <v>0</v>
      </c>
      <c r="M23" s="274">
        <v>0</v>
      </c>
      <c r="N23" s="274">
        <v>0</v>
      </c>
      <c r="O23" s="274">
        <v>0</v>
      </c>
      <c r="P23" s="274">
        <v>191999.7</v>
      </c>
      <c r="Q23" s="274">
        <v>0</v>
      </c>
      <c r="R23" s="274">
        <v>0</v>
      </c>
      <c r="S23" s="274">
        <v>0</v>
      </c>
      <c r="T23" s="274">
        <v>0</v>
      </c>
      <c r="U23" s="274">
        <v>0</v>
      </c>
      <c r="V23" s="274">
        <v>0</v>
      </c>
      <c r="W23" s="274">
        <v>0</v>
      </c>
      <c r="X23" s="274">
        <v>0</v>
      </c>
      <c r="Y23" s="274">
        <v>0</v>
      </c>
      <c r="Z23" s="274">
        <v>0</v>
      </c>
      <c r="AA23" s="274">
        <v>0</v>
      </c>
      <c r="AB23" s="276">
        <v>2020</v>
      </c>
    </row>
    <row r="24" spans="1:28" s="6" customFormat="1" ht="35.25" x14ac:dyDescent="0.5">
      <c r="A24" s="6">
        <v>1</v>
      </c>
      <c r="B24" s="135">
        <f>SUBTOTAL(103,$A$7:A24)</f>
        <v>16</v>
      </c>
      <c r="C24" s="270" t="s">
        <v>1759</v>
      </c>
      <c r="D24" s="271">
        <f t="shared" si="2"/>
        <v>54271</v>
      </c>
      <c r="E24" s="274">
        <v>0</v>
      </c>
      <c r="F24" s="274">
        <v>0</v>
      </c>
      <c r="G24" s="274">
        <v>0</v>
      </c>
      <c r="H24" s="274">
        <v>0</v>
      </c>
      <c r="I24" s="274">
        <v>0</v>
      </c>
      <c r="J24" s="274">
        <v>0</v>
      </c>
      <c r="K24" s="275">
        <v>1</v>
      </c>
      <c r="L24" s="274">
        <f>11188+43083</f>
        <v>54271</v>
      </c>
      <c r="M24" s="274">
        <v>0</v>
      </c>
      <c r="N24" s="274">
        <v>0</v>
      </c>
      <c r="O24" s="274">
        <v>0</v>
      </c>
      <c r="P24" s="274">
        <v>0</v>
      </c>
      <c r="Q24" s="274">
        <v>0</v>
      </c>
      <c r="R24" s="274">
        <v>0</v>
      </c>
      <c r="S24" s="274">
        <v>0</v>
      </c>
      <c r="T24" s="274">
        <v>0</v>
      </c>
      <c r="U24" s="274">
        <v>0</v>
      </c>
      <c r="V24" s="274">
        <v>0</v>
      </c>
      <c r="W24" s="274">
        <v>0</v>
      </c>
      <c r="X24" s="274">
        <v>0</v>
      </c>
      <c r="Y24" s="274">
        <v>0</v>
      </c>
      <c r="Z24" s="274">
        <v>0</v>
      </c>
      <c r="AA24" s="274">
        <v>0</v>
      </c>
      <c r="AB24" s="276">
        <v>2020</v>
      </c>
    </row>
    <row r="25" spans="1:28" s="6" customFormat="1" ht="35.25" x14ac:dyDescent="0.5">
      <c r="A25" s="6">
        <v>1</v>
      </c>
      <c r="B25" s="135">
        <f>SUBTOTAL(103,$A$7:A25)</f>
        <v>17</v>
      </c>
      <c r="C25" s="270" t="s">
        <v>1761</v>
      </c>
      <c r="D25" s="271">
        <f t="shared" si="2"/>
        <v>922851</v>
      </c>
      <c r="E25" s="274">
        <v>0</v>
      </c>
      <c r="F25" s="274">
        <v>0</v>
      </c>
      <c r="G25" s="274">
        <f>226595.6+581473</f>
        <v>808068.6</v>
      </c>
      <c r="H25" s="274">
        <v>0</v>
      </c>
      <c r="I25" s="274">
        <v>0</v>
      </c>
      <c r="J25" s="274">
        <v>0</v>
      </c>
      <c r="K25" s="275">
        <v>0</v>
      </c>
      <c r="L25" s="274">
        <v>0</v>
      </c>
      <c r="M25" s="274">
        <v>0</v>
      </c>
      <c r="N25" s="274">
        <v>0</v>
      </c>
      <c r="O25" s="274">
        <v>114782.39999999999</v>
      </c>
      <c r="P25" s="274">
        <v>0</v>
      </c>
      <c r="Q25" s="274">
        <v>0</v>
      </c>
      <c r="R25" s="274">
        <v>0</v>
      </c>
      <c r="S25" s="274">
        <v>0</v>
      </c>
      <c r="T25" s="274">
        <v>0</v>
      </c>
      <c r="U25" s="274">
        <v>0</v>
      </c>
      <c r="V25" s="274">
        <v>0</v>
      </c>
      <c r="W25" s="274">
        <v>0</v>
      </c>
      <c r="X25" s="274">
        <v>0</v>
      </c>
      <c r="Y25" s="274">
        <v>0</v>
      </c>
      <c r="Z25" s="274">
        <v>0</v>
      </c>
      <c r="AA25" s="274">
        <v>0</v>
      </c>
      <c r="AB25" s="276">
        <v>2020</v>
      </c>
    </row>
    <row r="26" spans="1:28" s="6" customFormat="1" ht="35.25" customHeight="1" x14ac:dyDescent="0.5">
      <c r="A26" s="6">
        <v>1</v>
      </c>
      <c r="B26" s="135">
        <f>SUBTOTAL(103,$A$7:A26)</f>
        <v>18</v>
      </c>
      <c r="C26" s="270" t="s">
        <v>1762</v>
      </c>
      <c r="D26" s="271">
        <f>E26+F26+G26+H26+I26+J26+L26+M26+N26+O26+P26+Q26+R26+S26+T26+U26+V26+W26+X26+Y26+Z26+AA26</f>
        <v>144000</v>
      </c>
      <c r="E26" s="274">
        <v>0</v>
      </c>
      <c r="F26" s="274">
        <v>0</v>
      </c>
      <c r="G26" s="274">
        <v>0</v>
      </c>
      <c r="H26" s="274">
        <v>0</v>
      </c>
      <c r="I26" s="274">
        <v>0</v>
      </c>
      <c r="J26" s="274">
        <v>0</v>
      </c>
      <c r="K26" s="275">
        <v>3</v>
      </c>
      <c r="L26" s="274">
        <f>43200+100800</f>
        <v>144000</v>
      </c>
      <c r="M26" s="274">
        <v>0</v>
      </c>
      <c r="N26" s="274">
        <v>0</v>
      </c>
      <c r="O26" s="274">
        <v>0</v>
      </c>
      <c r="P26" s="274">
        <v>0</v>
      </c>
      <c r="Q26" s="274">
        <v>0</v>
      </c>
      <c r="R26" s="274">
        <v>0</v>
      </c>
      <c r="S26" s="274">
        <v>0</v>
      </c>
      <c r="T26" s="274">
        <v>0</v>
      </c>
      <c r="U26" s="274">
        <v>0</v>
      </c>
      <c r="V26" s="274">
        <v>0</v>
      </c>
      <c r="W26" s="274">
        <v>0</v>
      </c>
      <c r="X26" s="274">
        <v>0</v>
      </c>
      <c r="Y26" s="274">
        <v>0</v>
      </c>
      <c r="Z26" s="274">
        <v>0</v>
      </c>
      <c r="AA26" s="274">
        <v>0</v>
      </c>
      <c r="AB26" s="276">
        <v>2020</v>
      </c>
    </row>
    <row r="27" spans="1:28" s="6" customFormat="1" ht="35.25" x14ac:dyDescent="0.5">
      <c r="A27" s="6">
        <v>1</v>
      </c>
      <c r="B27" s="135">
        <f>SUBTOTAL(103,$A$7:A27)</f>
        <v>19</v>
      </c>
      <c r="C27" s="270" t="s">
        <v>1763</v>
      </c>
      <c r="D27" s="271">
        <f t="shared" si="2"/>
        <v>1488582.1</v>
      </c>
      <c r="E27" s="274">
        <v>0</v>
      </c>
      <c r="F27" s="274">
        <v>0</v>
      </c>
      <c r="G27" s="274">
        <v>394253</v>
      </c>
      <c r="H27" s="274">
        <v>0</v>
      </c>
      <c r="I27" s="274">
        <v>60029.1</v>
      </c>
      <c r="J27" s="274">
        <v>0</v>
      </c>
      <c r="K27" s="275">
        <v>1</v>
      </c>
      <c r="L27" s="274">
        <v>180000</v>
      </c>
      <c r="M27" s="274">
        <v>854300</v>
      </c>
      <c r="N27" s="274">
        <v>0</v>
      </c>
      <c r="O27" s="274">
        <v>0</v>
      </c>
      <c r="P27" s="274">
        <v>0</v>
      </c>
      <c r="Q27" s="274">
        <v>0</v>
      </c>
      <c r="R27" s="274">
        <v>0</v>
      </c>
      <c r="S27" s="274">
        <v>0</v>
      </c>
      <c r="T27" s="274">
        <v>0</v>
      </c>
      <c r="U27" s="274">
        <v>0</v>
      </c>
      <c r="V27" s="274">
        <v>0</v>
      </c>
      <c r="W27" s="274">
        <v>0</v>
      </c>
      <c r="X27" s="274">
        <v>0</v>
      </c>
      <c r="Y27" s="274">
        <v>0</v>
      </c>
      <c r="Z27" s="274">
        <v>0</v>
      </c>
      <c r="AA27" s="274">
        <v>0</v>
      </c>
      <c r="AB27" s="276">
        <v>2020</v>
      </c>
    </row>
    <row r="28" spans="1:28" s="6" customFormat="1" ht="35.25" x14ac:dyDescent="0.5">
      <c r="A28" s="6">
        <v>1</v>
      </c>
      <c r="B28" s="135">
        <f>SUBTOTAL(103,$A$7:A28)</f>
        <v>20</v>
      </c>
      <c r="C28" s="270" t="s">
        <v>1764</v>
      </c>
      <c r="D28" s="271">
        <f t="shared" si="2"/>
        <v>939723.6</v>
      </c>
      <c r="E28" s="274">
        <v>0</v>
      </c>
      <c r="F28" s="274">
        <v>0</v>
      </c>
      <c r="G28" s="274">
        <v>0</v>
      </c>
      <c r="H28" s="274">
        <v>0</v>
      </c>
      <c r="I28" s="274">
        <v>0</v>
      </c>
      <c r="J28" s="274">
        <v>0</v>
      </c>
      <c r="K28" s="275">
        <v>1</v>
      </c>
      <c r="L28" s="274">
        <v>357151.2</v>
      </c>
      <c r="M28" s="274">
        <v>0</v>
      </c>
      <c r="N28" s="274">
        <v>240306</v>
      </c>
      <c r="O28" s="274">
        <v>342266.4</v>
      </c>
      <c r="P28" s="274">
        <v>0</v>
      </c>
      <c r="Q28" s="274">
        <v>0</v>
      </c>
      <c r="R28" s="274">
        <v>0</v>
      </c>
      <c r="S28" s="274">
        <v>0</v>
      </c>
      <c r="T28" s="274">
        <v>0</v>
      </c>
      <c r="U28" s="274">
        <v>0</v>
      </c>
      <c r="V28" s="274">
        <v>0</v>
      </c>
      <c r="W28" s="274">
        <v>0</v>
      </c>
      <c r="X28" s="274">
        <v>0</v>
      </c>
      <c r="Y28" s="274">
        <v>0</v>
      </c>
      <c r="Z28" s="274">
        <v>0</v>
      </c>
      <c r="AA28" s="274">
        <v>0</v>
      </c>
      <c r="AB28" s="276">
        <v>2020</v>
      </c>
    </row>
    <row r="29" spans="1:28" s="6" customFormat="1" ht="35.25" customHeight="1" x14ac:dyDescent="0.5">
      <c r="A29" s="6">
        <v>1</v>
      </c>
      <c r="B29" s="135">
        <f>SUBTOTAL(103,$A$7:A29)</f>
        <v>21</v>
      </c>
      <c r="C29" s="270" t="s">
        <v>1765</v>
      </c>
      <c r="D29" s="271">
        <f>E29+F29+G29+H29+I29+J29+L29+M29+N29+O29+P29+Q29+R29+S29+T29+U29+V29+W29+X29+Y29+Z29+AA29</f>
        <v>5100000</v>
      </c>
      <c r="E29" s="274">
        <v>0</v>
      </c>
      <c r="F29" s="274">
        <v>0</v>
      </c>
      <c r="G29" s="274">
        <v>0</v>
      </c>
      <c r="H29" s="274">
        <v>0</v>
      </c>
      <c r="I29" s="274">
        <v>0</v>
      </c>
      <c r="J29" s="274">
        <v>0</v>
      </c>
      <c r="K29" s="275">
        <v>3</v>
      </c>
      <c r="L29" s="274">
        <v>5100000</v>
      </c>
      <c r="M29" s="274">
        <v>0</v>
      </c>
      <c r="N29" s="274">
        <v>0</v>
      </c>
      <c r="O29" s="274">
        <v>0</v>
      </c>
      <c r="P29" s="274">
        <v>0</v>
      </c>
      <c r="Q29" s="274">
        <v>0</v>
      </c>
      <c r="R29" s="274">
        <v>0</v>
      </c>
      <c r="S29" s="274">
        <v>0</v>
      </c>
      <c r="T29" s="274">
        <v>0</v>
      </c>
      <c r="U29" s="274">
        <v>0</v>
      </c>
      <c r="V29" s="274">
        <v>0</v>
      </c>
      <c r="W29" s="274">
        <v>0</v>
      </c>
      <c r="X29" s="274">
        <v>0</v>
      </c>
      <c r="Y29" s="274">
        <v>0</v>
      </c>
      <c r="Z29" s="274">
        <v>0</v>
      </c>
      <c r="AA29" s="274">
        <v>0</v>
      </c>
      <c r="AB29" s="276">
        <v>2020</v>
      </c>
    </row>
    <row r="30" spans="1:28" s="6" customFormat="1" ht="35.25" customHeight="1" x14ac:dyDescent="0.5">
      <c r="A30" s="6">
        <v>1</v>
      </c>
      <c r="B30" s="135">
        <f>SUBTOTAL(103,$A$7:A30)</f>
        <v>22</v>
      </c>
      <c r="C30" s="270" t="s">
        <v>1766</v>
      </c>
      <c r="D30" s="271">
        <f t="shared" ref="D30:D74" si="3">E30+F30+G30+H30+I30+J30+L30+M30+N30+O30+P30+Q30+R30+S30+T30+U30+V30+W30+X30+Y30+Z30+AA30</f>
        <v>333729</v>
      </c>
      <c r="E30" s="274">
        <v>0</v>
      </c>
      <c r="F30" s="274">
        <v>0</v>
      </c>
      <c r="G30" s="274">
        <v>333729</v>
      </c>
      <c r="H30" s="274">
        <v>0</v>
      </c>
      <c r="I30" s="274">
        <v>0</v>
      </c>
      <c r="J30" s="274">
        <v>0</v>
      </c>
      <c r="K30" s="275">
        <v>0</v>
      </c>
      <c r="L30" s="274">
        <v>0</v>
      </c>
      <c r="M30" s="274">
        <v>0</v>
      </c>
      <c r="N30" s="274">
        <v>0</v>
      </c>
      <c r="O30" s="274">
        <v>0</v>
      </c>
      <c r="P30" s="274">
        <v>0</v>
      </c>
      <c r="Q30" s="274">
        <v>0</v>
      </c>
      <c r="R30" s="274">
        <v>0</v>
      </c>
      <c r="S30" s="274">
        <v>0</v>
      </c>
      <c r="T30" s="274">
        <v>0</v>
      </c>
      <c r="U30" s="274">
        <v>0</v>
      </c>
      <c r="V30" s="274">
        <v>0</v>
      </c>
      <c r="W30" s="274">
        <v>0</v>
      </c>
      <c r="X30" s="274">
        <v>0</v>
      </c>
      <c r="Y30" s="274">
        <v>0</v>
      </c>
      <c r="Z30" s="274">
        <v>0</v>
      </c>
      <c r="AA30" s="274">
        <v>0</v>
      </c>
      <c r="AB30" s="276">
        <v>2020</v>
      </c>
    </row>
    <row r="31" spans="1:28" s="6" customFormat="1" ht="35.25" x14ac:dyDescent="0.5">
      <c r="A31" s="6">
        <v>1</v>
      </c>
      <c r="B31" s="135">
        <f>SUBTOTAL(103,$A$7:A31)</f>
        <v>23</v>
      </c>
      <c r="C31" s="270" t="s">
        <v>1767</v>
      </c>
      <c r="D31" s="271">
        <f t="shared" si="3"/>
        <v>562422.5</v>
      </c>
      <c r="E31" s="274">
        <v>195422.5</v>
      </c>
      <c r="F31" s="274">
        <v>0</v>
      </c>
      <c r="G31" s="274">
        <v>322000</v>
      </c>
      <c r="H31" s="274">
        <v>45000</v>
      </c>
      <c r="I31" s="274">
        <v>0</v>
      </c>
      <c r="J31" s="274">
        <v>0</v>
      </c>
      <c r="K31" s="275">
        <v>0</v>
      </c>
      <c r="L31" s="274">
        <v>0</v>
      </c>
      <c r="M31" s="274">
        <v>0</v>
      </c>
      <c r="N31" s="274">
        <v>0</v>
      </c>
      <c r="O31" s="274">
        <v>0</v>
      </c>
      <c r="P31" s="274">
        <v>0</v>
      </c>
      <c r="Q31" s="274">
        <v>0</v>
      </c>
      <c r="R31" s="274">
        <v>0</v>
      </c>
      <c r="S31" s="274">
        <v>0</v>
      </c>
      <c r="T31" s="274">
        <v>0</v>
      </c>
      <c r="U31" s="274">
        <v>0</v>
      </c>
      <c r="V31" s="274">
        <v>0</v>
      </c>
      <c r="W31" s="274">
        <v>0</v>
      </c>
      <c r="X31" s="274">
        <v>0</v>
      </c>
      <c r="Y31" s="274">
        <v>0</v>
      </c>
      <c r="Z31" s="274">
        <v>0</v>
      </c>
      <c r="AA31" s="274">
        <v>0</v>
      </c>
      <c r="AB31" s="276">
        <v>2020</v>
      </c>
    </row>
    <row r="32" spans="1:28" s="6" customFormat="1" ht="35.25" x14ac:dyDescent="0.5">
      <c r="A32" s="6">
        <v>1</v>
      </c>
      <c r="B32" s="135">
        <f>SUBTOTAL(103,$A$7:A32)</f>
        <v>24</v>
      </c>
      <c r="C32" s="270" t="s">
        <v>1768</v>
      </c>
      <c r="D32" s="271">
        <f t="shared" si="3"/>
        <v>162333.46</v>
      </c>
      <c r="E32" s="274">
        <f>119000+7516.64</f>
        <v>126516.64</v>
      </c>
      <c r="F32" s="274">
        <v>0</v>
      </c>
      <c r="G32" s="274">
        <v>0</v>
      </c>
      <c r="H32" s="274">
        <v>21109.82</v>
      </c>
      <c r="I32" s="274">
        <v>0</v>
      </c>
      <c r="J32" s="274">
        <v>0</v>
      </c>
      <c r="K32" s="275">
        <v>1</v>
      </c>
      <c r="L32" s="274">
        <v>14707</v>
      </c>
      <c r="M32" s="274">
        <v>0</v>
      </c>
      <c r="N32" s="274">
        <v>0</v>
      </c>
      <c r="O32" s="274">
        <v>0</v>
      </c>
      <c r="P32" s="274">
        <v>0</v>
      </c>
      <c r="Q32" s="274">
        <v>0</v>
      </c>
      <c r="R32" s="274">
        <v>0</v>
      </c>
      <c r="S32" s="274">
        <v>0</v>
      </c>
      <c r="T32" s="274">
        <v>0</v>
      </c>
      <c r="U32" s="274">
        <v>0</v>
      </c>
      <c r="V32" s="274">
        <v>0</v>
      </c>
      <c r="W32" s="274">
        <v>0</v>
      </c>
      <c r="X32" s="274">
        <v>0</v>
      </c>
      <c r="Y32" s="274">
        <v>0</v>
      </c>
      <c r="Z32" s="274">
        <v>0</v>
      </c>
      <c r="AA32" s="274">
        <v>0</v>
      </c>
      <c r="AB32" s="276">
        <v>2020</v>
      </c>
    </row>
    <row r="33" spans="1:28" s="6" customFormat="1" ht="35.25" x14ac:dyDescent="0.5">
      <c r="A33" s="6">
        <v>1</v>
      </c>
      <c r="B33" s="135">
        <f>SUBTOTAL(103,$A$7:A33)</f>
        <v>25</v>
      </c>
      <c r="C33" s="270" t="s">
        <v>1769</v>
      </c>
      <c r="D33" s="271">
        <f t="shared" si="3"/>
        <v>375942</v>
      </c>
      <c r="E33" s="274">
        <v>0</v>
      </c>
      <c r="F33" s="274">
        <v>0</v>
      </c>
      <c r="G33" s="274">
        <v>375942</v>
      </c>
      <c r="H33" s="274">
        <v>0</v>
      </c>
      <c r="I33" s="274">
        <v>0</v>
      </c>
      <c r="J33" s="274">
        <v>0</v>
      </c>
      <c r="K33" s="275">
        <v>0</v>
      </c>
      <c r="L33" s="274">
        <v>0</v>
      </c>
      <c r="M33" s="274">
        <v>0</v>
      </c>
      <c r="N33" s="274">
        <v>0</v>
      </c>
      <c r="O33" s="274">
        <v>0</v>
      </c>
      <c r="P33" s="274">
        <v>0</v>
      </c>
      <c r="Q33" s="274">
        <v>0</v>
      </c>
      <c r="R33" s="274">
        <v>0</v>
      </c>
      <c r="S33" s="274">
        <v>0</v>
      </c>
      <c r="T33" s="274">
        <v>0</v>
      </c>
      <c r="U33" s="274">
        <v>0</v>
      </c>
      <c r="V33" s="274">
        <v>0</v>
      </c>
      <c r="W33" s="274">
        <v>0</v>
      </c>
      <c r="X33" s="274">
        <v>0</v>
      </c>
      <c r="Y33" s="274">
        <v>0</v>
      </c>
      <c r="Z33" s="274">
        <v>0</v>
      </c>
      <c r="AA33" s="274">
        <v>0</v>
      </c>
      <c r="AB33" s="276">
        <v>2020</v>
      </c>
    </row>
    <row r="34" spans="1:28" s="6" customFormat="1" ht="35.25" customHeight="1" x14ac:dyDescent="0.5">
      <c r="A34" s="6">
        <v>1</v>
      </c>
      <c r="B34" s="135">
        <f>SUBTOTAL(103,$A$7:A34)</f>
        <v>26</v>
      </c>
      <c r="C34" s="270" t="s">
        <v>1770</v>
      </c>
      <c r="D34" s="271">
        <f t="shared" si="3"/>
        <v>116700.38</v>
      </c>
      <c r="E34" s="274">
        <v>0</v>
      </c>
      <c r="F34" s="274">
        <v>0</v>
      </c>
      <c r="G34" s="274">
        <v>0</v>
      </c>
      <c r="H34" s="274">
        <v>0</v>
      </c>
      <c r="I34" s="274">
        <v>0</v>
      </c>
      <c r="J34" s="274">
        <v>0</v>
      </c>
      <c r="K34" s="275">
        <v>0</v>
      </c>
      <c r="L34" s="274">
        <v>0</v>
      </c>
      <c r="M34" s="274">
        <v>0</v>
      </c>
      <c r="N34" s="274">
        <v>0</v>
      </c>
      <c r="O34" s="274">
        <v>116700.38</v>
      </c>
      <c r="P34" s="274">
        <v>0</v>
      </c>
      <c r="Q34" s="274">
        <v>0</v>
      </c>
      <c r="R34" s="274">
        <v>0</v>
      </c>
      <c r="S34" s="274">
        <v>0</v>
      </c>
      <c r="T34" s="274">
        <v>0</v>
      </c>
      <c r="U34" s="274">
        <v>0</v>
      </c>
      <c r="V34" s="274">
        <v>0</v>
      </c>
      <c r="W34" s="274">
        <v>0</v>
      </c>
      <c r="X34" s="274">
        <v>0</v>
      </c>
      <c r="Y34" s="274">
        <v>0</v>
      </c>
      <c r="Z34" s="274">
        <v>0</v>
      </c>
      <c r="AA34" s="274">
        <v>0</v>
      </c>
      <c r="AB34" s="276">
        <v>2020</v>
      </c>
    </row>
    <row r="35" spans="1:28" s="6" customFormat="1" ht="35.25" customHeight="1" x14ac:dyDescent="0.5">
      <c r="A35" s="6">
        <v>1</v>
      </c>
      <c r="B35" s="135">
        <f>SUBTOTAL(103,$A$7:A35)</f>
        <v>27</v>
      </c>
      <c r="C35" s="270" t="s">
        <v>1772</v>
      </c>
      <c r="D35" s="271">
        <f t="shared" si="3"/>
        <v>659488</v>
      </c>
      <c r="E35" s="274">
        <v>0</v>
      </c>
      <c r="F35" s="274">
        <v>0</v>
      </c>
      <c r="G35" s="274">
        <v>0</v>
      </c>
      <c r="H35" s="274">
        <v>0</v>
      </c>
      <c r="I35" s="274">
        <v>0</v>
      </c>
      <c r="J35" s="274">
        <v>0</v>
      </c>
      <c r="K35" s="275">
        <v>0</v>
      </c>
      <c r="L35" s="274">
        <v>0</v>
      </c>
      <c r="M35" s="274">
        <v>659488</v>
      </c>
      <c r="N35" s="274">
        <v>0</v>
      </c>
      <c r="O35" s="274">
        <v>0</v>
      </c>
      <c r="P35" s="274">
        <v>0</v>
      </c>
      <c r="Q35" s="274">
        <v>0</v>
      </c>
      <c r="R35" s="274">
        <v>0</v>
      </c>
      <c r="S35" s="274">
        <v>0</v>
      </c>
      <c r="T35" s="274">
        <v>0</v>
      </c>
      <c r="U35" s="274">
        <v>0</v>
      </c>
      <c r="V35" s="274">
        <v>0</v>
      </c>
      <c r="W35" s="274">
        <v>0</v>
      </c>
      <c r="X35" s="274">
        <v>0</v>
      </c>
      <c r="Y35" s="274">
        <v>0</v>
      </c>
      <c r="Z35" s="274">
        <v>0</v>
      </c>
      <c r="AA35" s="274">
        <v>0</v>
      </c>
      <c r="AB35" s="276">
        <v>2020</v>
      </c>
    </row>
    <row r="36" spans="1:28" s="6" customFormat="1" ht="35.25" customHeight="1" x14ac:dyDescent="0.5">
      <c r="A36" s="6">
        <v>1</v>
      </c>
      <c r="B36" s="135">
        <f>SUBTOTAL(103,$A$7:A36)</f>
        <v>28</v>
      </c>
      <c r="C36" s="270" t="s">
        <v>1773</v>
      </c>
      <c r="D36" s="271">
        <f t="shared" si="3"/>
        <v>177700</v>
      </c>
      <c r="E36" s="274">
        <v>0</v>
      </c>
      <c r="F36" s="274">
        <v>0</v>
      </c>
      <c r="G36" s="274">
        <v>0</v>
      </c>
      <c r="H36" s="274">
        <v>0</v>
      </c>
      <c r="I36" s="274">
        <v>0</v>
      </c>
      <c r="J36" s="274">
        <v>0</v>
      </c>
      <c r="K36" s="275">
        <v>1</v>
      </c>
      <c r="L36" s="274">
        <v>177700</v>
      </c>
      <c r="M36" s="274">
        <v>0</v>
      </c>
      <c r="N36" s="274">
        <v>0</v>
      </c>
      <c r="O36" s="274">
        <v>0</v>
      </c>
      <c r="P36" s="274">
        <v>0</v>
      </c>
      <c r="Q36" s="274">
        <v>0</v>
      </c>
      <c r="R36" s="274">
        <v>0</v>
      </c>
      <c r="S36" s="274">
        <v>0</v>
      </c>
      <c r="T36" s="274">
        <v>0</v>
      </c>
      <c r="U36" s="274">
        <v>0</v>
      </c>
      <c r="V36" s="274">
        <v>0</v>
      </c>
      <c r="W36" s="274">
        <v>0</v>
      </c>
      <c r="X36" s="274">
        <v>0</v>
      </c>
      <c r="Y36" s="274">
        <v>0</v>
      </c>
      <c r="Z36" s="274">
        <v>0</v>
      </c>
      <c r="AA36" s="274">
        <v>0</v>
      </c>
      <c r="AB36" s="276">
        <v>2020</v>
      </c>
    </row>
    <row r="37" spans="1:28" s="6" customFormat="1" ht="35.25" customHeight="1" x14ac:dyDescent="0.5">
      <c r="A37" s="6">
        <v>1</v>
      </c>
      <c r="B37" s="135">
        <f>SUBTOTAL(103,$A$7:A37)</f>
        <v>29</v>
      </c>
      <c r="C37" s="270" t="s">
        <v>1774</v>
      </c>
      <c r="D37" s="271">
        <f t="shared" si="3"/>
        <v>3600000</v>
      </c>
      <c r="E37" s="274">
        <v>0</v>
      </c>
      <c r="F37" s="274">
        <v>0</v>
      </c>
      <c r="G37" s="274">
        <v>0</v>
      </c>
      <c r="H37" s="274">
        <v>0</v>
      </c>
      <c r="I37" s="274">
        <v>0</v>
      </c>
      <c r="J37" s="274">
        <v>0</v>
      </c>
      <c r="K37" s="275">
        <v>2</v>
      </c>
      <c r="L37" s="274">
        <v>3600000</v>
      </c>
      <c r="M37" s="274">
        <v>0</v>
      </c>
      <c r="N37" s="274">
        <v>0</v>
      </c>
      <c r="O37" s="274">
        <v>0</v>
      </c>
      <c r="P37" s="274">
        <v>0</v>
      </c>
      <c r="Q37" s="274">
        <v>0</v>
      </c>
      <c r="R37" s="274">
        <v>0</v>
      </c>
      <c r="S37" s="274">
        <v>0</v>
      </c>
      <c r="T37" s="274">
        <v>0</v>
      </c>
      <c r="U37" s="274">
        <v>0</v>
      </c>
      <c r="V37" s="274">
        <v>0</v>
      </c>
      <c r="W37" s="274">
        <v>0</v>
      </c>
      <c r="X37" s="274">
        <v>0</v>
      </c>
      <c r="Y37" s="274">
        <v>0</v>
      </c>
      <c r="Z37" s="274">
        <v>0</v>
      </c>
      <c r="AA37" s="274">
        <v>0</v>
      </c>
      <c r="AB37" s="276">
        <v>2020</v>
      </c>
    </row>
    <row r="38" spans="1:28" s="6" customFormat="1" ht="35.25" customHeight="1" x14ac:dyDescent="0.5">
      <c r="A38" s="6">
        <v>1</v>
      </c>
      <c r="B38" s="135">
        <f>SUBTOTAL(103,$A$7:A38)</f>
        <v>30</v>
      </c>
      <c r="C38" s="270" t="s">
        <v>1775</v>
      </c>
      <c r="D38" s="271">
        <f t="shared" si="3"/>
        <v>132450</v>
      </c>
      <c r="E38" s="274">
        <v>0</v>
      </c>
      <c r="F38" s="274">
        <v>0</v>
      </c>
      <c r="G38" s="274">
        <v>0</v>
      </c>
      <c r="H38" s="274">
        <v>0</v>
      </c>
      <c r="I38" s="274">
        <v>0</v>
      </c>
      <c r="J38" s="274">
        <v>0</v>
      </c>
      <c r="K38" s="275">
        <v>0</v>
      </c>
      <c r="L38" s="274">
        <v>0</v>
      </c>
      <c r="M38" s="274">
        <v>132450</v>
      </c>
      <c r="N38" s="274">
        <v>0</v>
      </c>
      <c r="O38" s="274">
        <v>0</v>
      </c>
      <c r="P38" s="274">
        <v>0</v>
      </c>
      <c r="Q38" s="274">
        <v>0</v>
      </c>
      <c r="R38" s="274">
        <v>0</v>
      </c>
      <c r="S38" s="274">
        <v>0</v>
      </c>
      <c r="T38" s="274">
        <v>0</v>
      </c>
      <c r="U38" s="274">
        <v>0</v>
      </c>
      <c r="V38" s="274">
        <v>0</v>
      </c>
      <c r="W38" s="274">
        <v>0</v>
      </c>
      <c r="X38" s="274">
        <v>0</v>
      </c>
      <c r="Y38" s="274">
        <v>0</v>
      </c>
      <c r="Z38" s="274">
        <v>0</v>
      </c>
      <c r="AA38" s="274">
        <v>0</v>
      </c>
      <c r="AB38" s="276">
        <v>2020</v>
      </c>
    </row>
    <row r="39" spans="1:28" s="6" customFormat="1" ht="35.25" x14ac:dyDescent="0.5">
      <c r="A39" s="6">
        <v>1</v>
      </c>
      <c r="B39" s="135">
        <f>SUBTOTAL(103,$A$7:A39)</f>
        <v>31</v>
      </c>
      <c r="C39" s="270" t="s">
        <v>1777</v>
      </c>
      <c r="D39" s="271">
        <f t="shared" si="3"/>
        <v>1039214</v>
      </c>
      <c r="E39" s="274">
        <v>0</v>
      </c>
      <c r="F39" s="274">
        <v>0</v>
      </c>
      <c r="G39" s="274">
        <f>20464.2+47749.8</f>
        <v>68214</v>
      </c>
      <c r="H39" s="274">
        <v>0</v>
      </c>
      <c r="I39" s="274">
        <v>0</v>
      </c>
      <c r="J39" s="274">
        <v>0</v>
      </c>
      <c r="K39" s="275">
        <v>0</v>
      </c>
      <c r="L39" s="274">
        <v>0</v>
      </c>
      <c r="M39" s="274">
        <f>172650+402850</f>
        <v>575500</v>
      </c>
      <c r="N39" s="274">
        <f>118650+276850</f>
        <v>395500</v>
      </c>
      <c r="O39" s="274">
        <v>0</v>
      </c>
      <c r="P39" s="274">
        <v>0</v>
      </c>
      <c r="Q39" s="274">
        <v>0</v>
      </c>
      <c r="R39" s="274">
        <v>0</v>
      </c>
      <c r="S39" s="274">
        <v>0</v>
      </c>
      <c r="T39" s="274">
        <v>0</v>
      </c>
      <c r="U39" s="274">
        <v>0</v>
      </c>
      <c r="V39" s="274">
        <v>0</v>
      </c>
      <c r="W39" s="274">
        <v>0</v>
      </c>
      <c r="X39" s="274">
        <v>0</v>
      </c>
      <c r="Y39" s="274">
        <v>0</v>
      </c>
      <c r="Z39" s="274">
        <v>0</v>
      </c>
      <c r="AA39" s="274">
        <v>0</v>
      </c>
      <c r="AB39" s="276">
        <v>2020</v>
      </c>
    </row>
    <row r="40" spans="1:28" s="6" customFormat="1" ht="35.25" customHeight="1" x14ac:dyDescent="0.5">
      <c r="A40" s="6">
        <v>1</v>
      </c>
      <c r="B40" s="135">
        <f>SUBTOTAL(103,$A$7:A40)</f>
        <v>32</v>
      </c>
      <c r="C40" s="270" t="s">
        <v>1778</v>
      </c>
      <c r="D40" s="271">
        <f>E40+F40+G40+H40+I40+J40+L40+M40+N40+O40+P40+Q40+R40+S40+T40+U40+V40+W40+X40+Y40+Z40+AA40</f>
        <v>580372</v>
      </c>
      <c r="E40" s="274">
        <v>0</v>
      </c>
      <c r="F40" s="274">
        <v>0</v>
      </c>
      <c r="G40" s="274">
        <v>0</v>
      </c>
      <c r="H40" s="274">
        <v>0</v>
      </c>
      <c r="I40" s="274">
        <v>0</v>
      </c>
      <c r="J40" s="274">
        <v>0</v>
      </c>
      <c r="K40" s="275">
        <v>1</v>
      </c>
      <c r="L40" s="274">
        <v>174530</v>
      </c>
      <c r="M40" s="274">
        <v>0</v>
      </c>
      <c r="N40" s="274">
        <v>0</v>
      </c>
      <c r="O40" s="274">
        <v>405842</v>
      </c>
      <c r="P40" s="274">
        <v>0</v>
      </c>
      <c r="Q40" s="274">
        <v>0</v>
      </c>
      <c r="R40" s="274">
        <v>0</v>
      </c>
      <c r="S40" s="274">
        <v>0</v>
      </c>
      <c r="T40" s="274">
        <v>0</v>
      </c>
      <c r="U40" s="274">
        <v>0</v>
      </c>
      <c r="V40" s="274">
        <v>0</v>
      </c>
      <c r="W40" s="274">
        <v>0</v>
      </c>
      <c r="X40" s="274">
        <v>0</v>
      </c>
      <c r="Y40" s="274">
        <v>0</v>
      </c>
      <c r="Z40" s="274">
        <v>0</v>
      </c>
      <c r="AA40" s="274">
        <v>0</v>
      </c>
      <c r="AB40" s="276">
        <v>2020</v>
      </c>
    </row>
    <row r="41" spans="1:28" s="6" customFormat="1" ht="35.25" customHeight="1" x14ac:dyDescent="0.5">
      <c r="A41" s="6">
        <v>1</v>
      </c>
      <c r="B41" s="135">
        <f>SUBTOTAL(103,$A$7:A41)</f>
        <v>33</v>
      </c>
      <c r="C41" s="270" t="s">
        <v>1779</v>
      </c>
      <c r="D41" s="271">
        <f t="shared" si="3"/>
        <v>1750000</v>
      </c>
      <c r="E41" s="274">
        <v>0</v>
      </c>
      <c r="F41" s="274">
        <v>0</v>
      </c>
      <c r="G41" s="274">
        <v>0</v>
      </c>
      <c r="H41" s="274">
        <v>0</v>
      </c>
      <c r="I41" s="274">
        <v>0</v>
      </c>
      <c r="J41" s="274">
        <v>0</v>
      </c>
      <c r="K41" s="275">
        <v>1</v>
      </c>
      <c r="L41" s="274">
        <v>1750000</v>
      </c>
      <c r="M41" s="274">
        <v>0</v>
      </c>
      <c r="N41" s="274">
        <v>0</v>
      </c>
      <c r="O41" s="274">
        <v>0</v>
      </c>
      <c r="P41" s="274">
        <v>0</v>
      </c>
      <c r="Q41" s="274">
        <v>0</v>
      </c>
      <c r="R41" s="274">
        <v>0</v>
      </c>
      <c r="S41" s="274">
        <v>0</v>
      </c>
      <c r="T41" s="274">
        <v>0</v>
      </c>
      <c r="U41" s="274">
        <v>0</v>
      </c>
      <c r="V41" s="274">
        <v>0</v>
      </c>
      <c r="W41" s="274">
        <v>0</v>
      </c>
      <c r="X41" s="274">
        <v>0</v>
      </c>
      <c r="Y41" s="274">
        <v>0</v>
      </c>
      <c r="Z41" s="274">
        <v>0</v>
      </c>
      <c r="AA41" s="274">
        <v>0</v>
      </c>
      <c r="AB41" s="276">
        <v>2020</v>
      </c>
    </row>
    <row r="42" spans="1:28" s="6" customFormat="1" ht="35.25" customHeight="1" x14ac:dyDescent="0.5">
      <c r="A42" s="6">
        <v>1</v>
      </c>
      <c r="B42" s="135">
        <f>SUBTOTAL(103,$A$7:A42)</f>
        <v>34</v>
      </c>
      <c r="C42" s="270" t="s">
        <v>1783</v>
      </c>
      <c r="D42" s="271">
        <f t="shared" si="3"/>
        <v>550000</v>
      </c>
      <c r="E42" s="274">
        <v>0</v>
      </c>
      <c r="F42" s="274">
        <v>0</v>
      </c>
      <c r="G42" s="274">
        <v>0</v>
      </c>
      <c r="H42" s="274">
        <v>0</v>
      </c>
      <c r="I42" s="274">
        <v>0</v>
      </c>
      <c r="J42" s="274">
        <v>0</v>
      </c>
      <c r="K42" s="275">
        <v>0</v>
      </c>
      <c r="L42" s="274">
        <v>0</v>
      </c>
      <c r="M42" s="274">
        <v>0</v>
      </c>
      <c r="N42" s="274">
        <v>0</v>
      </c>
      <c r="O42" s="274">
        <v>550000</v>
      </c>
      <c r="P42" s="274">
        <v>0</v>
      </c>
      <c r="Q42" s="274">
        <v>0</v>
      </c>
      <c r="R42" s="274">
        <v>0</v>
      </c>
      <c r="S42" s="274">
        <v>0</v>
      </c>
      <c r="T42" s="274">
        <v>0</v>
      </c>
      <c r="U42" s="274">
        <v>0</v>
      </c>
      <c r="V42" s="274">
        <v>0</v>
      </c>
      <c r="W42" s="274">
        <v>0</v>
      </c>
      <c r="X42" s="274">
        <v>0</v>
      </c>
      <c r="Y42" s="274">
        <v>0</v>
      </c>
      <c r="Z42" s="274">
        <v>0</v>
      </c>
      <c r="AA42" s="274">
        <v>0</v>
      </c>
      <c r="AB42" s="276">
        <v>2020</v>
      </c>
    </row>
    <row r="43" spans="1:28" s="6" customFormat="1" ht="35.25" customHeight="1" x14ac:dyDescent="0.5">
      <c r="A43" s="6">
        <v>1</v>
      </c>
      <c r="B43" s="135">
        <f>SUBTOTAL(103,$A$7:A43)</f>
        <v>35</v>
      </c>
      <c r="C43" s="270" t="s">
        <v>1784</v>
      </c>
      <c r="D43" s="271">
        <f t="shared" si="3"/>
        <v>767597.9</v>
      </c>
      <c r="E43" s="274">
        <v>261568.6</v>
      </c>
      <c r="F43" s="274">
        <v>353140.57</v>
      </c>
      <c r="G43" s="274">
        <v>0</v>
      </c>
      <c r="H43" s="274">
        <v>152888.73000000001</v>
      </c>
      <c r="I43" s="274">
        <v>0</v>
      </c>
      <c r="J43" s="274">
        <v>0</v>
      </c>
      <c r="K43" s="275">
        <v>0</v>
      </c>
      <c r="L43" s="274">
        <v>0</v>
      </c>
      <c r="M43" s="274">
        <v>0</v>
      </c>
      <c r="N43" s="274">
        <v>0</v>
      </c>
      <c r="O43" s="274">
        <v>0</v>
      </c>
      <c r="P43" s="274">
        <v>0</v>
      </c>
      <c r="Q43" s="274">
        <v>0</v>
      </c>
      <c r="R43" s="274">
        <v>0</v>
      </c>
      <c r="S43" s="274">
        <v>0</v>
      </c>
      <c r="T43" s="274">
        <v>0</v>
      </c>
      <c r="U43" s="274">
        <v>0</v>
      </c>
      <c r="V43" s="274">
        <v>0</v>
      </c>
      <c r="W43" s="274">
        <v>0</v>
      </c>
      <c r="X43" s="274">
        <v>0</v>
      </c>
      <c r="Y43" s="274">
        <v>0</v>
      </c>
      <c r="Z43" s="274">
        <v>0</v>
      </c>
      <c r="AA43" s="274">
        <v>0</v>
      </c>
      <c r="AB43" s="276">
        <v>2020</v>
      </c>
    </row>
    <row r="44" spans="1:28" s="6" customFormat="1" ht="35.25" customHeight="1" x14ac:dyDescent="0.5">
      <c r="A44" s="6">
        <v>1</v>
      </c>
      <c r="B44" s="135">
        <f>SUBTOTAL(103,$A$7:A44)</f>
        <v>36</v>
      </c>
      <c r="C44" s="270" t="s">
        <v>1785</v>
      </c>
      <c r="D44" s="271">
        <f t="shared" si="3"/>
        <v>1459045.55</v>
      </c>
      <c r="E44" s="274">
        <v>0</v>
      </c>
      <c r="F44" s="274">
        <v>0</v>
      </c>
      <c r="G44" s="274">
        <v>0</v>
      </c>
      <c r="H44" s="274">
        <v>0</v>
      </c>
      <c r="I44" s="274">
        <v>0</v>
      </c>
      <c r="J44" s="274">
        <v>0</v>
      </c>
      <c r="K44" s="275">
        <v>0</v>
      </c>
      <c r="L44" s="274">
        <v>0</v>
      </c>
      <c r="M44" s="274">
        <v>1459045.55</v>
      </c>
      <c r="N44" s="274">
        <v>0</v>
      </c>
      <c r="O44" s="274">
        <v>0</v>
      </c>
      <c r="P44" s="274">
        <v>0</v>
      </c>
      <c r="Q44" s="274">
        <v>0</v>
      </c>
      <c r="R44" s="274">
        <v>0</v>
      </c>
      <c r="S44" s="274">
        <v>0</v>
      </c>
      <c r="T44" s="274">
        <v>0</v>
      </c>
      <c r="U44" s="274">
        <v>0</v>
      </c>
      <c r="V44" s="274">
        <v>0</v>
      </c>
      <c r="W44" s="274">
        <v>0</v>
      </c>
      <c r="X44" s="274">
        <v>0</v>
      </c>
      <c r="Y44" s="274">
        <v>0</v>
      </c>
      <c r="Z44" s="274">
        <v>0</v>
      </c>
      <c r="AA44" s="274">
        <v>0</v>
      </c>
      <c r="AB44" s="276">
        <v>2020</v>
      </c>
    </row>
    <row r="45" spans="1:28" s="6" customFormat="1" ht="35.25" customHeight="1" x14ac:dyDescent="0.5">
      <c r="A45" s="6">
        <v>1</v>
      </c>
      <c r="B45" s="135">
        <f>SUBTOTAL(103,$A$7:A45)</f>
        <v>37</v>
      </c>
      <c r="C45" s="270" t="s">
        <v>1786</v>
      </c>
      <c r="D45" s="271">
        <f t="shared" si="3"/>
        <v>293676</v>
      </c>
      <c r="E45" s="274">
        <v>0</v>
      </c>
      <c r="F45" s="274">
        <v>0</v>
      </c>
      <c r="G45" s="274">
        <v>0</v>
      </c>
      <c r="H45" s="274">
        <v>0</v>
      </c>
      <c r="I45" s="274">
        <v>0</v>
      </c>
      <c r="J45" s="274">
        <v>0</v>
      </c>
      <c r="K45" s="275">
        <v>1</v>
      </c>
      <c r="L45" s="274">
        <v>293676</v>
      </c>
      <c r="M45" s="274">
        <v>0</v>
      </c>
      <c r="N45" s="274">
        <v>0</v>
      </c>
      <c r="O45" s="274">
        <v>0</v>
      </c>
      <c r="P45" s="274">
        <v>0</v>
      </c>
      <c r="Q45" s="274">
        <v>0</v>
      </c>
      <c r="R45" s="274">
        <v>0</v>
      </c>
      <c r="S45" s="274">
        <v>0</v>
      </c>
      <c r="T45" s="274">
        <v>0</v>
      </c>
      <c r="U45" s="274">
        <v>0</v>
      </c>
      <c r="V45" s="274">
        <v>0</v>
      </c>
      <c r="W45" s="274">
        <v>0</v>
      </c>
      <c r="X45" s="274">
        <v>0</v>
      </c>
      <c r="Y45" s="274">
        <v>0</v>
      </c>
      <c r="Z45" s="274">
        <v>0</v>
      </c>
      <c r="AA45" s="274">
        <v>0</v>
      </c>
      <c r="AB45" s="276">
        <v>2020</v>
      </c>
    </row>
    <row r="46" spans="1:28" s="6" customFormat="1" ht="35.25" customHeight="1" x14ac:dyDescent="0.5">
      <c r="A46" s="6">
        <v>1</v>
      </c>
      <c r="B46" s="135">
        <f>SUBTOTAL(103,$A$7:A46)</f>
        <v>38</v>
      </c>
      <c r="C46" s="270" t="s">
        <v>1787</v>
      </c>
      <c r="D46" s="271">
        <f t="shared" si="3"/>
        <v>2123411</v>
      </c>
      <c r="E46" s="274">
        <v>0</v>
      </c>
      <c r="F46" s="274">
        <v>0</v>
      </c>
      <c r="G46" s="274">
        <v>0</v>
      </c>
      <c r="H46" s="274">
        <v>0</v>
      </c>
      <c r="I46" s="274">
        <v>0</v>
      </c>
      <c r="J46" s="274">
        <v>0</v>
      </c>
      <c r="K46" s="275">
        <v>0</v>
      </c>
      <c r="L46" s="274">
        <v>0</v>
      </c>
      <c r="M46" s="274">
        <v>2123411</v>
      </c>
      <c r="N46" s="274">
        <v>0</v>
      </c>
      <c r="O46" s="274">
        <v>0</v>
      </c>
      <c r="P46" s="274">
        <v>0</v>
      </c>
      <c r="Q46" s="274">
        <v>0</v>
      </c>
      <c r="R46" s="274">
        <v>0</v>
      </c>
      <c r="S46" s="274">
        <v>0</v>
      </c>
      <c r="T46" s="274">
        <v>0</v>
      </c>
      <c r="U46" s="274">
        <v>0</v>
      </c>
      <c r="V46" s="274">
        <v>0</v>
      </c>
      <c r="W46" s="274">
        <v>0</v>
      </c>
      <c r="X46" s="274">
        <v>0</v>
      </c>
      <c r="Y46" s="274">
        <v>0</v>
      </c>
      <c r="Z46" s="274">
        <v>0</v>
      </c>
      <c r="AA46" s="274">
        <v>0</v>
      </c>
      <c r="AB46" s="276">
        <v>2020</v>
      </c>
    </row>
    <row r="47" spans="1:28" s="6" customFormat="1" ht="35.25" customHeight="1" x14ac:dyDescent="0.5">
      <c r="A47" s="6">
        <v>1</v>
      </c>
      <c r="B47" s="135">
        <f>SUBTOTAL(103,$A$7:A47)</f>
        <v>39</v>
      </c>
      <c r="C47" s="270" t="s">
        <v>1788</v>
      </c>
      <c r="D47" s="271">
        <f t="shared" si="3"/>
        <v>230447</v>
      </c>
      <c r="E47" s="274">
        <v>0</v>
      </c>
      <c r="F47" s="274">
        <v>0</v>
      </c>
      <c r="G47" s="274">
        <v>0</v>
      </c>
      <c r="H47" s="274">
        <v>0</v>
      </c>
      <c r="I47" s="274">
        <v>0</v>
      </c>
      <c r="J47" s="274">
        <v>0</v>
      </c>
      <c r="K47" s="275">
        <v>0</v>
      </c>
      <c r="L47" s="274">
        <v>0</v>
      </c>
      <c r="M47" s="274">
        <v>0</v>
      </c>
      <c r="N47" s="274">
        <v>0</v>
      </c>
      <c r="O47" s="274">
        <v>230447</v>
      </c>
      <c r="P47" s="274">
        <v>0</v>
      </c>
      <c r="Q47" s="274">
        <v>0</v>
      </c>
      <c r="R47" s="274">
        <v>0</v>
      </c>
      <c r="S47" s="274">
        <v>0</v>
      </c>
      <c r="T47" s="274">
        <v>0</v>
      </c>
      <c r="U47" s="274">
        <v>0</v>
      </c>
      <c r="V47" s="274">
        <v>0</v>
      </c>
      <c r="W47" s="274">
        <v>0</v>
      </c>
      <c r="X47" s="274">
        <v>0</v>
      </c>
      <c r="Y47" s="274">
        <v>0</v>
      </c>
      <c r="Z47" s="274">
        <v>0</v>
      </c>
      <c r="AA47" s="274">
        <v>0</v>
      </c>
      <c r="AB47" s="276">
        <v>2020</v>
      </c>
    </row>
    <row r="48" spans="1:28" s="6" customFormat="1" ht="35.25" customHeight="1" x14ac:dyDescent="0.5">
      <c r="A48" s="6">
        <v>1</v>
      </c>
      <c r="B48" s="135">
        <f>SUBTOTAL(103,$A$7:A48)</f>
        <v>40</v>
      </c>
      <c r="C48" s="270" t="s">
        <v>1789</v>
      </c>
      <c r="D48" s="271">
        <f t="shared" si="3"/>
        <v>532382.57999999996</v>
      </c>
      <c r="E48" s="274">
        <v>0</v>
      </c>
      <c r="F48" s="274">
        <v>0</v>
      </c>
      <c r="G48" s="274">
        <v>0</v>
      </c>
      <c r="H48" s="274">
        <v>0</v>
      </c>
      <c r="I48" s="274">
        <v>532382.57999999996</v>
      </c>
      <c r="J48" s="274">
        <v>0</v>
      </c>
      <c r="K48" s="275">
        <v>0</v>
      </c>
      <c r="L48" s="274">
        <v>0</v>
      </c>
      <c r="M48" s="274">
        <v>0</v>
      </c>
      <c r="N48" s="274">
        <v>0</v>
      </c>
      <c r="O48" s="274">
        <v>0</v>
      </c>
      <c r="P48" s="274">
        <v>0</v>
      </c>
      <c r="Q48" s="274">
        <v>0</v>
      </c>
      <c r="R48" s="274">
        <v>0</v>
      </c>
      <c r="S48" s="274">
        <v>0</v>
      </c>
      <c r="T48" s="274">
        <v>0</v>
      </c>
      <c r="U48" s="274">
        <v>0</v>
      </c>
      <c r="V48" s="274">
        <v>0</v>
      </c>
      <c r="W48" s="274">
        <v>0</v>
      </c>
      <c r="X48" s="274">
        <v>0</v>
      </c>
      <c r="Y48" s="274">
        <v>0</v>
      </c>
      <c r="Z48" s="274">
        <v>0</v>
      </c>
      <c r="AA48" s="274">
        <v>0</v>
      </c>
      <c r="AB48" s="276">
        <v>2020</v>
      </c>
    </row>
    <row r="49" spans="1:28" s="6" customFormat="1" ht="35.25" customHeight="1" x14ac:dyDescent="0.5">
      <c r="A49" s="6">
        <v>1</v>
      </c>
      <c r="B49" s="135">
        <f>SUBTOTAL(103,$A$7:A49)</f>
        <v>41</v>
      </c>
      <c r="C49" s="270" t="s">
        <v>1790</v>
      </c>
      <c r="D49" s="271">
        <f t="shared" si="3"/>
        <v>368373.54000000004</v>
      </c>
      <c r="E49" s="274">
        <v>175244.79</v>
      </c>
      <c r="F49" s="274">
        <v>193128.75</v>
      </c>
      <c r="G49" s="274">
        <v>0</v>
      </c>
      <c r="H49" s="274">
        <v>0</v>
      </c>
      <c r="I49" s="274">
        <v>0</v>
      </c>
      <c r="J49" s="274">
        <v>0</v>
      </c>
      <c r="K49" s="275">
        <v>0</v>
      </c>
      <c r="L49" s="274">
        <v>0</v>
      </c>
      <c r="M49" s="274">
        <v>0</v>
      </c>
      <c r="N49" s="274">
        <v>0</v>
      </c>
      <c r="O49" s="274">
        <v>0</v>
      </c>
      <c r="P49" s="274">
        <v>0</v>
      </c>
      <c r="Q49" s="274">
        <v>0</v>
      </c>
      <c r="R49" s="274">
        <v>0</v>
      </c>
      <c r="S49" s="274">
        <v>0</v>
      </c>
      <c r="T49" s="274">
        <v>0</v>
      </c>
      <c r="U49" s="274">
        <v>0</v>
      </c>
      <c r="V49" s="274">
        <v>0</v>
      </c>
      <c r="W49" s="274">
        <v>0</v>
      </c>
      <c r="X49" s="274">
        <v>0</v>
      </c>
      <c r="Y49" s="274">
        <v>0</v>
      </c>
      <c r="Z49" s="274">
        <v>0</v>
      </c>
      <c r="AA49" s="274">
        <v>0</v>
      </c>
      <c r="AB49" s="276">
        <v>2020</v>
      </c>
    </row>
    <row r="50" spans="1:28" s="6" customFormat="1" ht="35.25" customHeight="1" x14ac:dyDescent="0.5">
      <c r="A50" s="6">
        <v>1</v>
      </c>
      <c r="B50" s="135">
        <f>SUBTOTAL(103,$A$7:A50)</f>
        <v>42</v>
      </c>
      <c r="C50" s="270" t="s">
        <v>1791</v>
      </c>
      <c r="D50" s="271">
        <f t="shared" si="3"/>
        <v>454448</v>
      </c>
      <c r="E50" s="274">
        <v>0</v>
      </c>
      <c r="F50" s="274">
        <v>0</v>
      </c>
      <c r="G50" s="274">
        <v>404448</v>
      </c>
      <c r="H50" s="274">
        <v>0</v>
      </c>
      <c r="I50" s="274">
        <v>0</v>
      </c>
      <c r="J50" s="274">
        <v>0</v>
      </c>
      <c r="K50" s="275">
        <v>0</v>
      </c>
      <c r="L50" s="274">
        <v>0</v>
      </c>
      <c r="M50" s="274">
        <v>0</v>
      </c>
      <c r="N50" s="274">
        <v>0</v>
      </c>
      <c r="O50" s="274">
        <v>0</v>
      </c>
      <c r="P50" s="274">
        <v>0</v>
      </c>
      <c r="Q50" s="274">
        <v>0</v>
      </c>
      <c r="R50" s="274">
        <v>0</v>
      </c>
      <c r="S50" s="274">
        <v>0</v>
      </c>
      <c r="T50" s="274">
        <v>0</v>
      </c>
      <c r="U50" s="274">
        <v>0</v>
      </c>
      <c r="V50" s="274">
        <v>0</v>
      </c>
      <c r="W50" s="274">
        <v>0</v>
      </c>
      <c r="X50" s="274">
        <v>0</v>
      </c>
      <c r="Y50" s="274">
        <v>0</v>
      </c>
      <c r="Z50" s="274">
        <v>50000</v>
      </c>
      <c r="AA50" s="274">
        <v>0</v>
      </c>
      <c r="AB50" s="276">
        <v>2020</v>
      </c>
    </row>
    <row r="51" spans="1:28" s="6" customFormat="1" ht="35.25" customHeight="1" x14ac:dyDescent="0.5">
      <c r="A51" s="6">
        <v>1</v>
      </c>
      <c r="B51" s="135">
        <f>SUBTOTAL(103,$A$7:A51)</f>
        <v>43</v>
      </c>
      <c r="C51" s="270" t="s">
        <v>1792</v>
      </c>
      <c r="D51" s="271">
        <f t="shared" si="3"/>
        <v>1164297</v>
      </c>
      <c r="E51" s="274">
        <v>0</v>
      </c>
      <c r="F51" s="274">
        <v>0</v>
      </c>
      <c r="G51" s="274">
        <v>0</v>
      </c>
      <c r="H51" s="274">
        <v>0</v>
      </c>
      <c r="I51" s="274">
        <v>0</v>
      </c>
      <c r="J51" s="274">
        <v>0</v>
      </c>
      <c r="K51" s="275">
        <v>0</v>
      </c>
      <c r="L51" s="274">
        <v>0</v>
      </c>
      <c r="M51" s="274">
        <v>1164297</v>
      </c>
      <c r="N51" s="274">
        <v>0</v>
      </c>
      <c r="O51" s="274">
        <v>0</v>
      </c>
      <c r="P51" s="274">
        <v>0</v>
      </c>
      <c r="Q51" s="274">
        <v>0</v>
      </c>
      <c r="R51" s="274">
        <v>0</v>
      </c>
      <c r="S51" s="274">
        <v>0</v>
      </c>
      <c r="T51" s="274">
        <v>0</v>
      </c>
      <c r="U51" s="274">
        <v>0</v>
      </c>
      <c r="V51" s="274">
        <v>0</v>
      </c>
      <c r="W51" s="274">
        <v>0</v>
      </c>
      <c r="X51" s="274">
        <v>0</v>
      </c>
      <c r="Y51" s="274">
        <v>0</v>
      </c>
      <c r="Z51" s="274">
        <v>0</v>
      </c>
      <c r="AA51" s="274">
        <v>0</v>
      </c>
      <c r="AB51" s="276">
        <v>2020</v>
      </c>
    </row>
    <row r="52" spans="1:28" s="6" customFormat="1" ht="35.25" customHeight="1" x14ac:dyDescent="0.5">
      <c r="A52" s="6">
        <v>1</v>
      </c>
      <c r="B52" s="135">
        <f>SUBTOTAL(103,$A$7:A52)</f>
        <v>44</v>
      </c>
      <c r="C52" s="270" t="s">
        <v>1793</v>
      </c>
      <c r="D52" s="271">
        <f t="shared" si="3"/>
        <v>2377591.96</v>
      </c>
      <c r="E52" s="274">
        <v>877591.96</v>
      </c>
      <c r="F52" s="274">
        <v>1500000</v>
      </c>
      <c r="G52" s="274">
        <v>0</v>
      </c>
      <c r="H52" s="274">
        <v>0</v>
      </c>
      <c r="I52" s="274">
        <v>0</v>
      </c>
      <c r="J52" s="274">
        <v>0</v>
      </c>
      <c r="K52" s="275">
        <v>0</v>
      </c>
      <c r="L52" s="274">
        <v>0</v>
      </c>
      <c r="M52" s="274">
        <v>0</v>
      </c>
      <c r="N52" s="274">
        <v>0</v>
      </c>
      <c r="O52" s="274">
        <v>0</v>
      </c>
      <c r="P52" s="274">
        <v>0</v>
      </c>
      <c r="Q52" s="274">
        <v>0</v>
      </c>
      <c r="R52" s="274">
        <v>0</v>
      </c>
      <c r="S52" s="274">
        <v>0</v>
      </c>
      <c r="T52" s="274">
        <v>0</v>
      </c>
      <c r="U52" s="274">
        <v>0</v>
      </c>
      <c r="V52" s="274">
        <v>0</v>
      </c>
      <c r="W52" s="274">
        <v>0</v>
      </c>
      <c r="X52" s="274">
        <v>0</v>
      </c>
      <c r="Y52" s="274">
        <v>0</v>
      </c>
      <c r="Z52" s="274">
        <v>0</v>
      </c>
      <c r="AA52" s="274">
        <v>0</v>
      </c>
      <c r="AB52" s="276">
        <v>2020</v>
      </c>
    </row>
    <row r="53" spans="1:28" s="6" customFormat="1" ht="35.25" customHeight="1" x14ac:dyDescent="0.5">
      <c r="A53" s="6">
        <v>1</v>
      </c>
      <c r="B53" s="135">
        <f>SUBTOTAL(103,$A$7:A53)</f>
        <v>45</v>
      </c>
      <c r="C53" s="270" t="s">
        <v>1794</v>
      </c>
      <c r="D53" s="271">
        <f t="shared" si="3"/>
        <v>659346.14</v>
      </c>
      <c r="E53" s="274">
        <v>0</v>
      </c>
      <c r="F53" s="274">
        <v>659346.14</v>
      </c>
      <c r="G53" s="274">
        <v>0</v>
      </c>
      <c r="H53" s="274">
        <v>0</v>
      </c>
      <c r="I53" s="274">
        <v>0</v>
      </c>
      <c r="J53" s="274">
        <v>0</v>
      </c>
      <c r="K53" s="275">
        <v>0</v>
      </c>
      <c r="L53" s="274">
        <v>0</v>
      </c>
      <c r="M53" s="274">
        <v>0</v>
      </c>
      <c r="N53" s="274">
        <v>0</v>
      </c>
      <c r="O53" s="274">
        <v>0</v>
      </c>
      <c r="P53" s="274">
        <v>0</v>
      </c>
      <c r="Q53" s="274">
        <v>0</v>
      </c>
      <c r="R53" s="274">
        <v>0</v>
      </c>
      <c r="S53" s="274">
        <v>0</v>
      </c>
      <c r="T53" s="274">
        <v>0</v>
      </c>
      <c r="U53" s="274">
        <v>0</v>
      </c>
      <c r="V53" s="274">
        <v>0</v>
      </c>
      <c r="W53" s="274">
        <v>0</v>
      </c>
      <c r="X53" s="274">
        <v>0</v>
      </c>
      <c r="Y53" s="274">
        <v>0</v>
      </c>
      <c r="Z53" s="274">
        <v>0</v>
      </c>
      <c r="AA53" s="274">
        <v>0</v>
      </c>
      <c r="AB53" s="276">
        <v>2020</v>
      </c>
    </row>
    <row r="54" spans="1:28" s="6" customFormat="1" ht="35.25" customHeight="1" x14ac:dyDescent="0.5">
      <c r="A54" s="6">
        <v>1</v>
      </c>
      <c r="B54" s="135">
        <f>SUBTOTAL(103,$A$7:A54)</f>
        <v>46</v>
      </c>
      <c r="C54" s="270" t="s">
        <v>1795</v>
      </c>
      <c r="D54" s="271">
        <f t="shared" si="3"/>
        <v>441089</v>
      </c>
      <c r="E54" s="274">
        <v>0</v>
      </c>
      <c r="F54" s="274">
        <v>441089</v>
      </c>
      <c r="G54" s="274">
        <v>0</v>
      </c>
      <c r="H54" s="274">
        <v>0</v>
      </c>
      <c r="I54" s="274">
        <v>0</v>
      </c>
      <c r="J54" s="274">
        <v>0</v>
      </c>
      <c r="K54" s="275">
        <v>0</v>
      </c>
      <c r="L54" s="274">
        <v>0</v>
      </c>
      <c r="M54" s="274">
        <v>0</v>
      </c>
      <c r="N54" s="274">
        <v>0</v>
      </c>
      <c r="O54" s="274">
        <v>0</v>
      </c>
      <c r="P54" s="274">
        <v>0</v>
      </c>
      <c r="Q54" s="274">
        <v>0</v>
      </c>
      <c r="R54" s="274">
        <v>0</v>
      </c>
      <c r="S54" s="274">
        <v>0</v>
      </c>
      <c r="T54" s="274">
        <v>0</v>
      </c>
      <c r="U54" s="274">
        <v>0</v>
      </c>
      <c r="V54" s="274">
        <v>0</v>
      </c>
      <c r="W54" s="274">
        <v>0</v>
      </c>
      <c r="X54" s="274">
        <v>0</v>
      </c>
      <c r="Y54" s="274">
        <v>0</v>
      </c>
      <c r="Z54" s="274">
        <v>0</v>
      </c>
      <c r="AA54" s="274">
        <v>0</v>
      </c>
      <c r="AB54" s="276">
        <v>2020</v>
      </c>
    </row>
    <row r="55" spans="1:28" s="6" customFormat="1" ht="35.25" customHeight="1" x14ac:dyDescent="0.5">
      <c r="A55" s="6">
        <v>1</v>
      </c>
      <c r="B55" s="135">
        <f>SUBTOTAL(103,$A$7:A55)</f>
        <v>47</v>
      </c>
      <c r="C55" s="270" t="s">
        <v>1796</v>
      </c>
      <c r="D55" s="271">
        <f t="shared" si="3"/>
        <v>190756</v>
      </c>
      <c r="E55" s="274">
        <v>0</v>
      </c>
      <c r="F55" s="274">
        <v>0</v>
      </c>
      <c r="G55" s="274">
        <v>0</v>
      </c>
      <c r="H55" s="274">
        <v>0</v>
      </c>
      <c r="I55" s="274">
        <v>0</v>
      </c>
      <c r="J55" s="274">
        <v>0</v>
      </c>
      <c r="K55" s="275">
        <v>1</v>
      </c>
      <c r="L55" s="274">
        <v>190756</v>
      </c>
      <c r="M55" s="274">
        <v>0</v>
      </c>
      <c r="N55" s="274">
        <v>0</v>
      </c>
      <c r="O55" s="274">
        <v>0</v>
      </c>
      <c r="P55" s="274">
        <v>0</v>
      </c>
      <c r="Q55" s="274">
        <v>0</v>
      </c>
      <c r="R55" s="274">
        <v>0</v>
      </c>
      <c r="S55" s="274">
        <v>0</v>
      </c>
      <c r="T55" s="274">
        <v>0</v>
      </c>
      <c r="U55" s="274">
        <v>0</v>
      </c>
      <c r="V55" s="274">
        <v>0</v>
      </c>
      <c r="W55" s="274">
        <v>0</v>
      </c>
      <c r="X55" s="274">
        <v>0</v>
      </c>
      <c r="Y55" s="274">
        <v>0</v>
      </c>
      <c r="Z55" s="274">
        <v>0</v>
      </c>
      <c r="AA55" s="274">
        <v>0</v>
      </c>
      <c r="AB55" s="276">
        <v>2020</v>
      </c>
    </row>
    <row r="56" spans="1:28" s="6" customFormat="1" ht="35.25" customHeight="1" x14ac:dyDescent="0.5">
      <c r="A56" s="6">
        <v>1</v>
      </c>
      <c r="B56" s="135">
        <f>SUBTOTAL(103,$A$7:A56)</f>
        <v>48</v>
      </c>
      <c r="C56" s="270" t="s">
        <v>1797</v>
      </c>
      <c r="D56" s="271">
        <f t="shared" si="3"/>
        <v>141772</v>
      </c>
      <c r="E56" s="274">
        <v>0</v>
      </c>
      <c r="F56" s="274">
        <v>0</v>
      </c>
      <c r="G56" s="274">
        <v>0</v>
      </c>
      <c r="H56" s="274">
        <v>0</v>
      </c>
      <c r="I56" s="274">
        <v>0</v>
      </c>
      <c r="J56" s="274">
        <v>0</v>
      </c>
      <c r="K56" s="275">
        <v>0</v>
      </c>
      <c r="L56" s="274">
        <v>0</v>
      </c>
      <c r="M56" s="274">
        <v>0</v>
      </c>
      <c r="N56" s="274">
        <v>0</v>
      </c>
      <c r="O56" s="274">
        <v>141772</v>
      </c>
      <c r="P56" s="274">
        <v>0</v>
      </c>
      <c r="Q56" s="274">
        <v>0</v>
      </c>
      <c r="R56" s="274">
        <v>0</v>
      </c>
      <c r="S56" s="274">
        <v>0</v>
      </c>
      <c r="T56" s="274">
        <v>0</v>
      </c>
      <c r="U56" s="274">
        <v>0</v>
      </c>
      <c r="V56" s="274">
        <v>0</v>
      </c>
      <c r="W56" s="274">
        <v>0</v>
      </c>
      <c r="X56" s="274">
        <v>0</v>
      </c>
      <c r="Y56" s="274">
        <v>0</v>
      </c>
      <c r="Z56" s="274">
        <v>0</v>
      </c>
      <c r="AA56" s="274">
        <v>0</v>
      </c>
      <c r="AB56" s="276">
        <v>2020</v>
      </c>
    </row>
    <row r="57" spans="1:28" s="6" customFormat="1" ht="35.25" customHeight="1" x14ac:dyDescent="0.5">
      <c r="A57" s="6">
        <v>1</v>
      </c>
      <c r="B57" s="135">
        <f>SUBTOTAL(103,$A$7:A57)</f>
        <v>49</v>
      </c>
      <c r="C57" s="270" t="s">
        <v>1798</v>
      </c>
      <c r="D57" s="271">
        <f t="shared" si="3"/>
        <v>32843</v>
      </c>
      <c r="E57" s="274">
        <v>0</v>
      </c>
      <c r="F57" s="274">
        <v>0</v>
      </c>
      <c r="G57" s="274">
        <v>0</v>
      </c>
      <c r="H57" s="274">
        <v>0</v>
      </c>
      <c r="I57" s="274">
        <v>0</v>
      </c>
      <c r="J57" s="274">
        <v>0</v>
      </c>
      <c r="K57" s="275">
        <v>0</v>
      </c>
      <c r="L57" s="274">
        <v>0</v>
      </c>
      <c r="M57" s="274">
        <v>0</v>
      </c>
      <c r="N57" s="274">
        <v>32843</v>
      </c>
      <c r="O57" s="274">
        <v>0</v>
      </c>
      <c r="P57" s="274">
        <v>0</v>
      </c>
      <c r="Q57" s="274">
        <v>0</v>
      </c>
      <c r="R57" s="274">
        <v>0</v>
      </c>
      <c r="S57" s="274">
        <v>0</v>
      </c>
      <c r="T57" s="274">
        <v>0</v>
      </c>
      <c r="U57" s="274">
        <v>0</v>
      </c>
      <c r="V57" s="274">
        <v>0</v>
      </c>
      <c r="W57" s="274">
        <v>0</v>
      </c>
      <c r="X57" s="274">
        <v>0</v>
      </c>
      <c r="Y57" s="274">
        <v>0</v>
      </c>
      <c r="Z57" s="274">
        <v>0</v>
      </c>
      <c r="AA57" s="274">
        <v>0</v>
      </c>
      <c r="AB57" s="276">
        <v>2020</v>
      </c>
    </row>
    <row r="58" spans="1:28" s="6" customFormat="1" ht="35.25" customHeight="1" x14ac:dyDescent="0.5">
      <c r="A58" s="6">
        <v>1</v>
      </c>
      <c r="B58" s="135">
        <f>SUBTOTAL(103,$A$7:A58)</f>
        <v>50</v>
      </c>
      <c r="C58" s="270" t="s">
        <v>1799</v>
      </c>
      <c r="D58" s="271">
        <f t="shared" si="3"/>
        <v>69666</v>
      </c>
      <c r="E58" s="274">
        <v>0</v>
      </c>
      <c r="F58" s="274">
        <v>0</v>
      </c>
      <c r="G58" s="274">
        <v>0</v>
      </c>
      <c r="H58" s="274">
        <v>0</v>
      </c>
      <c r="I58" s="274">
        <v>0</v>
      </c>
      <c r="J58" s="274">
        <v>0</v>
      </c>
      <c r="K58" s="275">
        <v>0</v>
      </c>
      <c r="L58" s="274">
        <v>0</v>
      </c>
      <c r="M58" s="274">
        <v>0</v>
      </c>
      <c r="N58" s="274">
        <v>69666</v>
      </c>
      <c r="O58" s="274">
        <v>0</v>
      </c>
      <c r="P58" s="274">
        <v>0</v>
      </c>
      <c r="Q58" s="274">
        <v>0</v>
      </c>
      <c r="R58" s="274">
        <v>0</v>
      </c>
      <c r="S58" s="274">
        <v>0</v>
      </c>
      <c r="T58" s="274">
        <v>0</v>
      </c>
      <c r="U58" s="274">
        <v>0</v>
      </c>
      <c r="V58" s="274">
        <v>0</v>
      </c>
      <c r="W58" s="274">
        <v>0</v>
      </c>
      <c r="X58" s="274">
        <v>0</v>
      </c>
      <c r="Y58" s="274">
        <v>0</v>
      </c>
      <c r="Z58" s="274">
        <v>0</v>
      </c>
      <c r="AA58" s="274">
        <v>0</v>
      </c>
      <c r="AB58" s="276">
        <v>2020</v>
      </c>
    </row>
    <row r="59" spans="1:28" s="6" customFormat="1" ht="35.25" customHeight="1" x14ac:dyDescent="0.5">
      <c r="A59" s="6">
        <v>1</v>
      </c>
      <c r="B59" s="135">
        <f>SUBTOTAL(103,$A$7:A59)</f>
        <v>51</v>
      </c>
      <c r="C59" s="270" t="s">
        <v>1800</v>
      </c>
      <c r="D59" s="271">
        <f t="shared" si="3"/>
        <v>452575.38</v>
      </c>
      <c r="E59" s="274">
        <v>222826.38</v>
      </c>
      <c r="F59" s="274">
        <v>0</v>
      </c>
      <c r="G59" s="274">
        <v>0</v>
      </c>
      <c r="H59" s="274">
        <v>0</v>
      </c>
      <c r="I59" s="274">
        <v>0</v>
      </c>
      <c r="J59" s="274">
        <v>0</v>
      </c>
      <c r="K59" s="275">
        <v>0</v>
      </c>
      <c r="L59" s="274">
        <v>0</v>
      </c>
      <c r="M59" s="274">
        <v>0</v>
      </c>
      <c r="N59" s="274">
        <v>152567</v>
      </c>
      <c r="O59" s="274">
        <v>77182</v>
      </c>
      <c r="P59" s="274">
        <v>0</v>
      </c>
      <c r="Q59" s="274">
        <v>0</v>
      </c>
      <c r="R59" s="274">
        <v>0</v>
      </c>
      <c r="S59" s="274">
        <v>0</v>
      </c>
      <c r="T59" s="274">
        <v>0</v>
      </c>
      <c r="U59" s="274">
        <v>0</v>
      </c>
      <c r="V59" s="274">
        <v>0</v>
      </c>
      <c r="W59" s="274">
        <v>0</v>
      </c>
      <c r="X59" s="274">
        <v>0</v>
      </c>
      <c r="Y59" s="274">
        <v>0</v>
      </c>
      <c r="Z59" s="274">
        <v>0</v>
      </c>
      <c r="AA59" s="274">
        <v>0</v>
      </c>
      <c r="AB59" s="276">
        <v>2020</v>
      </c>
    </row>
    <row r="60" spans="1:28" s="6" customFormat="1" ht="35.25" customHeight="1" x14ac:dyDescent="0.5">
      <c r="A60" s="6">
        <v>1</v>
      </c>
      <c r="B60" s="135">
        <f>SUBTOTAL(103,$A$7:A60)</f>
        <v>52</v>
      </c>
      <c r="C60" s="270" t="s">
        <v>1801</v>
      </c>
      <c r="D60" s="271">
        <f t="shared" si="3"/>
        <v>1654683.92</v>
      </c>
      <c r="E60" s="274">
        <v>0</v>
      </c>
      <c r="F60" s="274">
        <v>0</v>
      </c>
      <c r="G60" s="274">
        <v>0</v>
      </c>
      <c r="H60" s="274">
        <v>0</v>
      </c>
      <c r="I60" s="274">
        <v>0</v>
      </c>
      <c r="J60" s="274">
        <v>0</v>
      </c>
      <c r="K60" s="275">
        <v>0</v>
      </c>
      <c r="L60" s="274">
        <v>0</v>
      </c>
      <c r="M60" s="274">
        <v>1624695.92</v>
      </c>
      <c r="N60" s="274">
        <v>29988</v>
      </c>
      <c r="O60" s="274">
        <v>0</v>
      </c>
      <c r="P60" s="274">
        <v>0</v>
      </c>
      <c r="Q60" s="274">
        <v>0</v>
      </c>
      <c r="R60" s="274">
        <v>0</v>
      </c>
      <c r="S60" s="274">
        <v>0</v>
      </c>
      <c r="T60" s="274">
        <v>0</v>
      </c>
      <c r="U60" s="274">
        <v>0</v>
      </c>
      <c r="V60" s="274">
        <v>0</v>
      </c>
      <c r="W60" s="274">
        <v>0</v>
      </c>
      <c r="X60" s="274">
        <v>0</v>
      </c>
      <c r="Y60" s="274">
        <v>0</v>
      </c>
      <c r="Z60" s="274">
        <v>0</v>
      </c>
      <c r="AA60" s="274">
        <v>0</v>
      </c>
      <c r="AB60" s="276">
        <v>2020</v>
      </c>
    </row>
    <row r="61" spans="1:28" s="6" customFormat="1" ht="35.25" customHeight="1" x14ac:dyDescent="0.5">
      <c r="A61" s="6">
        <v>1</v>
      </c>
      <c r="B61" s="135">
        <f>SUBTOTAL(103,$A$7:A61)</f>
        <v>53</v>
      </c>
      <c r="C61" s="270" t="s">
        <v>1802</v>
      </c>
      <c r="D61" s="271">
        <f t="shared" si="3"/>
        <v>131422</v>
      </c>
      <c r="E61" s="274">
        <v>0</v>
      </c>
      <c r="F61" s="274">
        <v>0</v>
      </c>
      <c r="G61" s="274">
        <v>0</v>
      </c>
      <c r="H61" s="274">
        <v>0</v>
      </c>
      <c r="I61" s="274">
        <v>0</v>
      </c>
      <c r="J61" s="274">
        <v>0</v>
      </c>
      <c r="K61" s="275">
        <v>0</v>
      </c>
      <c r="L61" s="274">
        <v>0</v>
      </c>
      <c r="M61" s="274">
        <v>0</v>
      </c>
      <c r="N61" s="274">
        <v>0</v>
      </c>
      <c r="O61" s="274">
        <v>131422</v>
      </c>
      <c r="P61" s="274">
        <v>0</v>
      </c>
      <c r="Q61" s="274">
        <v>0</v>
      </c>
      <c r="R61" s="274">
        <v>0</v>
      </c>
      <c r="S61" s="274">
        <v>0</v>
      </c>
      <c r="T61" s="274">
        <v>0</v>
      </c>
      <c r="U61" s="274">
        <v>0</v>
      </c>
      <c r="V61" s="274">
        <v>0</v>
      </c>
      <c r="W61" s="274">
        <v>0</v>
      </c>
      <c r="X61" s="274">
        <v>0</v>
      </c>
      <c r="Y61" s="274">
        <v>0</v>
      </c>
      <c r="Z61" s="274">
        <v>0</v>
      </c>
      <c r="AA61" s="274">
        <v>0</v>
      </c>
      <c r="AB61" s="276">
        <v>2020</v>
      </c>
    </row>
    <row r="62" spans="1:28" s="6" customFormat="1" ht="35.25" customHeight="1" x14ac:dyDescent="0.5">
      <c r="A62" s="6">
        <v>1</v>
      </c>
      <c r="B62" s="135">
        <f>SUBTOTAL(103,$A$7:A62)</f>
        <v>54</v>
      </c>
      <c r="C62" s="270" t="s">
        <v>1803</v>
      </c>
      <c r="D62" s="271">
        <f t="shared" si="3"/>
        <v>232205.73</v>
      </c>
      <c r="E62" s="274">
        <v>0</v>
      </c>
      <c r="F62" s="274">
        <v>0</v>
      </c>
      <c r="G62" s="274">
        <v>0</v>
      </c>
      <c r="H62" s="274">
        <v>0</v>
      </c>
      <c r="I62" s="274">
        <v>0</v>
      </c>
      <c r="J62" s="274">
        <v>0</v>
      </c>
      <c r="K62" s="275">
        <v>0</v>
      </c>
      <c r="L62" s="274">
        <v>0</v>
      </c>
      <c r="M62" s="274">
        <v>0</v>
      </c>
      <c r="N62" s="274">
        <v>0</v>
      </c>
      <c r="O62" s="274">
        <v>232205.73</v>
      </c>
      <c r="P62" s="274">
        <v>0</v>
      </c>
      <c r="Q62" s="274">
        <v>0</v>
      </c>
      <c r="R62" s="274">
        <v>0</v>
      </c>
      <c r="S62" s="274">
        <v>0</v>
      </c>
      <c r="T62" s="274">
        <v>0</v>
      </c>
      <c r="U62" s="274">
        <v>0</v>
      </c>
      <c r="V62" s="274">
        <v>0</v>
      </c>
      <c r="W62" s="274">
        <v>0</v>
      </c>
      <c r="X62" s="274">
        <v>0</v>
      </c>
      <c r="Y62" s="274">
        <v>0</v>
      </c>
      <c r="Z62" s="274">
        <v>0</v>
      </c>
      <c r="AA62" s="274">
        <v>0</v>
      </c>
      <c r="AB62" s="276">
        <v>2020</v>
      </c>
    </row>
    <row r="63" spans="1:28" s="6" customFormat="1" ht="35.25" customHeight="1" x14ac:dyDescent="0.5">
      <c r="A63" s="6">
        <v>1</v>
      </c>
      <c r="B63" s="135">
        <f>SUBTOTAL(103,$A$7:A63)</f>
        <v>55</v>
      </c>
      <c r="C63" s="270" t="s">
        <v>1804</v>
      </c>
      <c r="D63" s="271">
        <f t="shared" si="3"/>
        <v>664946.64</v>
      </c>
      <c r="E63" s="274">
        <v>281247.58</v>
      </c>
      <c r="F63" s="274">
        <v>383699.06</v>
      </c>
      <c r="G63" s="274">
        <v>0</v>
      </c>
      <c r="H63" s="274">
        <v>0</v>
      </c>
      <c r="I63" s="274">
        <v>0</v>
      </c>
      <c r="J63" s="274">
        <v>0</v>
      </c>
      <c r="K63" s="275">
        <v>0</v>
      </c>
      <c r="L63" s="274">
        <v>0</v>
      </c>
      <c r="M63" s="274">
        <v>0</v>
      </c>
      <c r="N63" s="274">
        <v>0</v>
      </c>
      <c r="O63" s="274">
        <v>0</v>
      </c>
      <c r="P63" s="274">
        <v>0</v>
      </c>
      <c r="Q63" s="274">
        <v>0</v>
      </c>
      <c r="R63" s="274">
        <v>0</v>
      </c>
      <c r="S63" s="274">
        <v>0</v>
      </c>
      <c r="T63" s="274">
        <v>0</v>
      </c>
      <c r="U63" s="274">
        <v>0</v>
      </c>
      <c r="V63" s="274">
        <v>0</v>
      </c>
      <c r="W63" s="274">
        <v>0</v>
      </c>
      <c r="X63" s="274">
        <v>0</v>
      </c>
      <c r="Y63" s="274">
        <v>0</v>
      </c>
      <c r="Z63" s="274">
        <v>0</v>
      </c>
      <c r="AA63" s="274">
        <v>0</v>
      </c>
      <c r="AB63" s="276">
        <v>2020</v>
      </c>
    </row>
    <row r="64" spans="1:28" s="6" customFormat="1" ht="35.25" customHeight="1" x14ac:dyDescent="0.5">
      <c r="A64" s="6">
        <v>1</v>
      </c>
      <c r="B64" s="135">
        <f>SUBTOTAL(103,$A$7:A64)</f>
        <v>56</v>
      </c>
      <c r="C64" s="270" t="s">
        <v>1805</v>
      </c>
      <c r="D64" s="271">
        <f t="shared" si="3"/>
        <v>967198</v>
      </c>
      <c r="E64" s="274">
        <v>0</v>
      </c>
      <c r="F64" s="274">
        <v>0</v>
      </c>
      <c r="G64" s="274">
        <v>0</v>
      </c>
      <c r="H64" s="274">
        <v>0</v>
      </c>
      <c r="I64" s="274">
        <v>0</v>
      </c>
      <c r="J64" s="274">
        <v>0</v>
      </c>
      <c r="K64" s="275">
        <v>0</v>
      </c>
      <c r="L64" s="274">
        <v>0</v>
      </c>
      <c r="M64" s="274">
        <v>967198</v>
      </c>
      <c r="N64" s="274">
        <v>0</v>
      </c>
      <c r="O64" s="274">
        <v>0</v>
      </c>
      <c r="P64" s="274">
        <v>0</v>
      </c>
      <c r="Q64" s="274">
        <v>0</v>
      </c>
      <c r="R64" s="274">
        <v>0</v>
      </c>
      <c r="S64" s="274">
        <v>0</v>
      </c>
      <c r="T64" s="274">
        <v>0</v>
      </c>
      <c r="U64" s="274">
        <v>0</v>
      </c>
      <c r="V64" s="274">
        <v>0</v>
      </c>
      <c r="W64" s="274">
        <v>0</v>
      </c>
      <c r="X64" s="274">
        <v>0</v>
      </c>
      <c r="Y64" s="274">
        <v>0</v>
      </c>
      <c r="Z64" s="274">
        <v>0</v>
      </c>
      <c r="AA64" s="274">
        <v>0</v>
      </c>
      <c r="AB64" s="276">
        <v>2020</v>
      </c>
    </row>
    <row r="65" spans="1:28" s="6" customFormat="1" ht="35.25" customHeight="1" x14ac:dyDescent="0.5">
      <c r="A65" s="6">
        <v>1</v>
      </c>
      <c r="B65" s="135">
        <f>SUBTOTAL(103,$A$7:A65)</f>
        <v>57</v>
      </c>
      <c r="C65" s="270" t="s">
        <v>1806</v>
      </c>
      <c r="D65" s="271">
        <f t="shared" si="3"/>
        <v>1503268</v>
      </c>
      <c r="E65" s="274">
        <v>0</v>
      </c>
      <c r="F65" s="274">
        <v>0</v>
      </c>
      <c r="G65" s="274">
        <v>0</v>
      </c>
      <c r="H65" s="274">
        <v>0</v>
      </c>
      <c r="I65" s="274">
        <v>0</v>
      </c>
      <c r="J65" s="274">
        <v>0</v>
      </c>
      <c r="K65" s="275">
        <v>0</v>
      </c>
      <c r="L65" s="274">
        <v>0</v>
      </c>
      <c r="M65" s="274">
        <v>1503268</v>
      </c>
      <c r="N65" s="274">
        <v>0</v>
      </c>
      <c r="O65" s="274">
        <v>0</v>
      </c>
      <c r="P65" s="274">
        <v>0</v>
      </c>
      <c r="Q65" s="274">
        <v>0</v>
      </c>
      <c r="R65" s="274">
        <v>0</v>
      </c>
      <c r="S65" s="274">
        <v>0</v>
      </c>
      <c r="T65" s="274">
        <v>0</v>
      </c>
      <c r="U65" s="274">
        <v>0</v>
      </c>
      <c r="V65" s="274">
        <v>0</v>
      </c>
      <c r="W65" s="274">
        <v>0</v>
      </c>
      <c r="X65" s="274">
        <v>0</v>
      </c>
      <c r="Y65" s="274">
        <v>0</v>
      </c>
      <c r="Z65" s="274">
        <v>0</v>
      </c>
      <c r="AA65" s="274">
        <v>0</v>
      </c>
      <c r="AB65" s="276">
        <v>2020</v>
      </c>
    </row>
    <row r="66" spans="1:28" s="6" customFormat="1" ht="35.25" customHeight="1" x14ac:dyDescent="0.5">
      <c r="A66" s="6">
        <v>1</v>
      </c>
      <c r="B66" s="135">
        <f>SUBTOTAL(103,$A$7:A66)</f>
        <v>58</v>
      </c>
      <c r="C66" s="270" t="s">
        <v>1807</v>
      </c>
      <c r="D66" s="271">
        <f t="shared" si="3"/>
        <v>493206.56</v>
      </c>
      <c r="E66" s="274">
        <v>0</v>
      </c>
      <c r="F66" s="274">
        <v>0</v>
      </c>
      <c r="G66" s="274">
        <v>493206.56</v>
      </c>
      <c r="H66" s="274">
        <v>0</v>
      </c>
      <c r="I66" s="274">
        <v>0</v>
      </c>
      <c r="J66" s="274">
        <v>0</v>
      </c>
      <c r="K66" s="275">
        <v>0</v>
      </c>
      <c r="L66" s="274">
        <v>0</v>
      </c>
      <c r="M66" s="274">
        <v>0</v>
      </c>
      <c r="N66" s="274">
        <v>0</v>
      </c>
      <c r="O66" s="274">
        <v>0</v>
      </c>
      <c r="P66" s="274">
        <v>0</v>
      </c>
      <c r="Q66" s="274">
        <v>0</v>
      </c>
      <c r="R66" s="274">
        <v>0</v>
      </c>
      <c r="S66" s="274">
        <v>0</v>
      </c>
      <c r="T66" s="274">
        <v>0</v>
      </c>
      <c r="U66" s="274">
        <v>0</v>
      </c>
      <c r="V66" s="274">
        <v>0</v>
      </c>
      <c r="W66" s="274">
        <v>0</v>
      </c>
      <c r="X66" s="274">
        <v>0</v>
      </c>
      <c r="Y66" s="274">
        <v>0</v>
      </c>
      <c r="Z66" s="274">
        <v>0</v>
      </c>
      <c r="AA66" s="274">
        <v>0</v>
      </c>
      <c r="AB66" s="276">
        <v>2020</v>
      </c>
    </row>
    <row r="67" spans="1:28" s="6" customFormat="1" ht="35.25" customHeight="1" x14ac:dyDescent="0.5">
      <c r="A67" s="6">
        <v>1</v>
      </c>
      <c r="B67" s="135">
        <f>SUBTOTAL(103,$A$7:A67)</f>
        <v>59</v>
      </c>
      <c r="C67" s="270" t="s">
        <v>1808</v>
      </c>
      <c r="D67" s="271">
        <f t="shared" si="3"/>
        <v>685246.23</v>
      </c>
      <c r="E67" s="274">
        <v>0</v>
      </c>
      <c r="F67" s="274">
        <v>0</v>
      </c>
      <c r="G67" s="274">
        <v>0</v>
      </c>
      <c r="H67" s="274">
        <v>0</v>
      </c>
      <c r="I67" s="274">
        <v>0</v>
      </c>
      <c r="J67" s="274">
        <v>0</v>
      </c>
      <c r="K67" s="275">
        <v>0</v>
      </c>
      <c r="L67" s="274">
        <v>0</v>
      </c>
      <c r="M67" s="274">
        <v>0</v>
      </c>
      <c r="N67" s="274">
        <v>0</v>
      </c>
      <c r="O67" s="274">
        <f>265246.23+420000</f>
        <v>685246.23</v>
      </c>
      <c r="P67" s="274">
        <v>0</v>
      </c>
      <c r="Q67" s="274">
        <v>0</v>
      </c>
      <c r="R67" s="274">
        <v>0</v>
      </c>
      <c r="S67" s="274">
        <v>0</v>
      </c>
      <c r="T67" s="274">
        <v>0</v>
      </c>
      <c r="U67" s="274">
        <v>0</v>
      </c>
      <c r="V67" s="274">
        <v>0</v>
      </c>
      <c r="W67" s="274">
        <v>0</v>
      </c>
      <c r="X67" s="274">
        <v>0</v>
      </c>
      <c r="Y67" s="274">
        <v>0</v>
      </c>
      <c r="Z67" s="274">
        <v>0</v>
      </c>
      <c r="AA67" s="274">
        <v>0</v>
      </c>
      <c r="AB67" s="276">
        <v>2020</v>
      </c>
    </row>
    <row r="68" spans="1:28" s="6" customFormat="1" ht="35.25" customHeight="1" x14ac:dyDescent="0.5">
      <c r="A68" s="6">
        <v>1</v>
      </c>
      <c r="B68" s="135">
        <f>SUBTOTAL(103,$A$7:A68)</f>
        <v>60</v>
      </c>
      <c r="C68" s="270" t="s">
        <v>1809</v>
      </c>
      <c r="D68" s="271">
        <f t="shared" si="3"/>
        <v>1312347.23</v>
      </c>
      <c r="E68" s="274">
        <v>0</v>
      </c>
      <c r="F68" s="274">
        <v>0</v>
      </c>
      <c r="G68" s="274">
        <v>0</v>
      </c>
      <c r="H68" s="274">
        <v>0</v>
      </c>
      <c r="I68" s="274">
        <v>0</v>
      </c>
      <c r="J68" s="274">
        <v>0</v>
      </c>
      <c r="K68" s="275">
        <v>0</v>
      </c>
      <c r="L68" s="274">
        <v>0</v>
      </c>
      <c r="M68" s="274">
        <v>1312347.23</v>
      </c>
      <c r="N68" s="274">
        <v>0</v>
      </c>
      <c r="O68" s="274">
        <v>0</v>
      </c>
      <c r="P68" s="274">
        <v>0</v>
      </c>
      <c r="Q68" s="274">
        <v>0</v>
      </c>
      <c r="R68" s="274">
        <v>0</v>
      </c>
      <c r="S68" s="274">
        <v>0</v>
      </c>
      <c r="T68" s="274">
        <v>0</v>
      </c>
      <c r="U68" s="274">
        <v>0</v>
      </c>
      <c r="V68" s="274">
        <v>0</v>
      </c>
      <c r="W68" s="274">
        <v>0</v>
      </c>
      <c r="X68" s="274">
        <v>0</v>
      </c>
      <c r="Y68" s="274">
        <v>0</v>
      </c>
      <c r="Z68" s="274">
        <v>0</v>
      </c>
      <c r="AA68" s="274">
        <v>0</v>
      </c>
      <c r="AB68" s="276">
        <v>2020</v>
      </c>
    </row>
    <row r="69" spans="1:28" s="6" customFormat="1" ht="35.25" customHeight="1" x14ac:dyDescent="0.5">
      <c r="A69" s="6">
        <v>1</v>
      </c>
      <c r="B69" s="135">
        <f>SUBTOTAL(103,$A$7:A69)</f>
        <v>61</v>
      </c>
      <c r="C69" s="270" t="s">
        <v>1810</v>
      </c>
      <c r="D69" s="271">
        <f t="shared" si="3"/>
        <v>823785</v>
      </c>
      <c r="E69" s="274">
        <v>240259</v>
      </c>
      <c r="F69" s="274">
        <v>340000</v>
      </c>
      <c r="G69" s="274">
        <v>0</v>
      </c>
      <c r="H69" s="274">
        <v>243526</v>
      </c>
      <c r="I69" s="274">
        <v>0</v>
      </c>
      <c r="J69" s="274">
        <v>0</v>
      </c>
      <c r="K69" s="275">
        <v>0</v>
      </c>
      <c r="L69" s="274">
        <v>0</v>
      </c>
      <c r="M69" s="274">
        <v>0</v>
      </c>
      <c r="N69" s="274">
        <v>0</v>
      </c>
      <c r="O69" s="274">
        <v>0</v>
      </c>
      <c r="P69" s="274">
        <v>0</v>
      </c>
      <c r="Q69" s="274">
        <v>0</v>
      </c>
      <c r="R69" s="274">
        <v>0</v>
      </c>
      <c r="S69" s="274">
        <v>0</v>
      </c>
      <c r="T69" s="274">
        <v>0</v>
      </c>
      <c r="U69" s="274">
        <v>0</v>
      </c>
      <c r="V69" s="274">
        <v>0</v>
      </c>
      <c r="W69" s="274">
        <v>0</v>
      </c>
      <c r="X69" s="274">
        <v>0</v>
      </c>
      <c r="Y69" s="274">
        <v>0</v>
      </c>
      <c r="Z69" s="274">
        <v>0</v>
      </c>
      <c r="AA69" s="274">
        <v>0</v>
      </c>
      <c r="AB69" s="276">
        <v>2020</v>
      </c>
    </row>
    <row r="70" spans="1:28" s="6" customFormat="1" ht="35.25" customHeight="1" x14ac:dyDescent="0.5">
      <c r="A70" s="6">
        <v>1</v>
      </c>
      <c r="B70" s="135">
        <f>SUBTOTAL(103,$A$7:A70)</f>
        <v>62</v>
      </c>
      <c r="C70" s="270" t="s">
        <v>1811</v>
      </c>
      <c r="D70" s="271">
        <f t="shared" si="3"/>
        <v>1088631</v>
      </c>
      <c r="E70" s="274">
        <v>403161</v>
      </c>
      <c r="F70" s="274">
        <v>685470</v>
      </c>
      <c r="G70" s="274">
        <v>0</v>
      </c>
      <c r="H70" s="274">
        <v>0</v>
      </c>
      <c r="I70" s="274">
        <v>0</v>
      </c>
      <c r="J70" s="274">
        <v>0</v>
      </c>
      <c r="K70" s="275">
        <v>0</v>
      </c>
      <c r="L70" s="274">
        <v>0</v>
      </c>
      <c r="M70" s="274">
        <v>0</v>
      </c>
      <c r="N70" s="274">
        <v>0</v>
      </c>
      <c r="O70" s="274">
        <v>0</v>
      </c>
      <c r="P70" s="274">
        <v>0</v>
      </c>
      <c r="Q70" s="274">
        <v>0</v>
      </c>
      <c r="R70" s="274">
        <v>0</v>
      </c>
      <c r="S70" s="274">
        <v>0</v>
      </c>
      <c r="T70" s="274">
        <v>0</v>
      </c>
      <c r="U70" s="274">
        <v>0</v>
      </c>
      <c r="V70" s="274">
        <v>0</v>
      </c>
      <c r="W70" s="274">
        <v>0</v>
      </c>
      <c r="X70" s="274">
        <v>0</v>
      </c>
      <c r="Y70" s="274">
        <v>0</v>
      </c>
      <c r="Z70" s="274">
        <v>0</v>
      </c>
      <c r="AA70" s="274">
        <v>0</v>
      </c>
      <c r="AB70" s="276">
        <v>2020</v>
      </c>
    </row>
    <row r="71" spans="1:28" s="6" customFormat="1" ht="35.25" customHeight="1" x14ac:dyDescent="0.5">
      <c r="A71" s="6">
        <v>1</v>
      </c>
      <c r="B71" s="135">
        <f>SUBTOTAL(103,$A$7:A71)</f>
        <v>63</v>
      </c>
      <c r="C71" s="270" t="s">
        <v>1812</v>
      </c>
      <c r="D71" s="271">
        <f t="shared" si="3"/>
        <v>246963</v>
      </c>
      <c r="E71" s="274">
        <v>0</v>
      </c>
      <c r="F71" s="274">
        <v>246963</v>
      </c>
      <c r="G71" s="274">
        <v>0</v>
      </c>
      <c r="H71" s="274">
        <v>0</v>
      </c>
      <c r="I71" s="274">
        <v>0</v>
      </c>
      <c r="J71" s="274">
        <v>0</v>
      </c>
      <c r="K71" s="275">
        <v>0</v>
      </c>
      <c r="L71" s="274">
        <v>0</v>
      </c>
      <c r="M71" s="274">
        <v>0</v>
      </c>
      <c r="N71" s="274">
        <v>0</v>
      </c>
      <c r="O71" s="274">
        <v>0</v>
      </c>
      <c r="P71" s="274">
        <v>0</v>
      </c>
      <c r="Q71" s="274">
        <v>0</v>
      </c>
      <c r="R71" s="274">
        <v>0</v>
      </c>
      <c r="S71" s="274">
        <v>0</v>
      </c>
      <c r="T71" s="274">
        <v>0</v>
      </c>
      <c r="U71" s="274">
        <v>0</v>
      </c>
      <c r="V71" s="274">
        <v>0</v>
      </c>
      <c r="W71" s="274">
        <v>0</v>
      </c>
      <c r="X71" s="274">
        <v>0</v>
      </c>
      <c r="Y71" s="274">
        <v>0</v>
      </c>
      <c r="Z71" s="274">
        <v>0</v>
      </c>
      <c r="AA71" s="274">
        <v>0</v>
      </c>
      <c r="AB71" s="276">
        <v>2020</v>
      </c>
    </row>
    <row r="72" spans="1:28" s="6" customFormat="1" ht="35.25" customHeight="1" x14ac:dyDescent="0.5">
      <c r="A72" s="6">
        <v>1</v>
      </c>
      <c r="B72" s="135">
        <f>SUBTOTAL(103,$A$7:A72)</f>
        <v>64</v>
      </c>
      <c r="C72" s="270" t="s">
        <v>1813</v>
      </c>
      <c r="D72" s="271">
        <f t="shared" si="3"/>
        <v>1291286</v>
      </c>
      <c r="E72" s="274">
        <v>0</v>
      </c>
      <c r="F72" s="274">
        <v>0</v>
      </c>
      <c r="G72" s="274">
        <v>0</v>
      </c>
      <c r="H72" s="274">
        <v>0</v>
      </c>
      <c r="I72" s="274">
        <v>0</v>
      </c>
      <c r="J72" s="274">
        <v>0</v>
      </c>
      <c r="K72" s="275">
        <v>0</v>
      </c>
      <c r="L72" s="274">
        <v>0</v>
      </c>
      <c r="M72" s="274">
        <v>1291286</v>
      </c>
      <c r="N72" s="274">
        <v>0</v>
      </c>
      <c r="O72" s="274">
        <v>0</v>
      </c>
      <c r="P72" s="274">
        <v>0</v>
      </c>
      <c r="Q72" s="274">
        <v>0</v>
      </c>
      <c r="R72" s="274">
        <v>0</v>
      </c>
      <c r="S72" s="274">
        <v>0</v>
      </c>
      <c r="T72" s="274">
        <v>0</v>
      </c>
      <c r="U72" s="274">
        <v>0</v>
      </c>
      <c r="V72" s="274">
        <v>0</v>
      </c>
      <c r="W72" s="274">
        <v>0</v>
      </c>
      <c r="X72" s="274">
        <v>0</v>
      </c>
      <c r="Y72" s="274">
        <v>0</v>
      </c>
      <c r="Z72" s="274">
        <v>0</v>
      </c>
      <c r="AA72" s="274">
        <v>0</v>
      </c>
      <c r="AB72" s="276">
        <v>2020</v>
      </c>
    </row>
    <row r="73" spans="1:28" s="6" customFormat="1" ht="35.25" customHeight="1" x14ac:dyDescent="0.5">
      <c r="A73" s="6">
        <v>1</v>
      </c>
      <c r="B73" s="135">
        <f>SUBTOTAL(103,$A$7:A73)</f>
        <v>65</v>
      </c>
      <c r="C73" s="270" t="s">
        <v>1814</v>
      </c>
      <c r="D73" s="271">
        <f t="shared" si="3"/>
        <v>543017.86</v>
      </c>
      <c r="E73" s="274">
        <v>0</v>
      </c>
      <c r="F73" s="274">
        <v>0</v>
      </c>
      <c r="G73" s="274">
        <v>0</v>
      </c>
      <c r="H73" s="274">
        <v>0</v>
      </c>
      <c r="I73" s="274">
        <v>0</v>
      </c>
      <c r="J73" s="274">
        <v>0</v>
      </c>
      <c r="K73" s="275">
        <v>0</v>
      </c>
      <c r="L73" s="274">
        <v>0</v>
      </c>
      <c r="M73" s="274">
        <v>0</v>
      </c>
      <c r="N73" s="274">
        <v>0</v>
      </c>
      <c r="O73" s="274">
        <v>543017.86</v>
      </c>
      <c r="P73" s="274">
        <v>0</v>
      </c>
      <c r="Q73" s="274">
        <v>0</v>
      </c>
      <c r="R73" s="274">
        <v>0</v>
      </c>
      <c r="S73" s="274">
        <v>0</v>
      </c>
      <c r="T73" s="274">
        <v>0</v>
      </c>
      <c r="U73" s="274">
        <v>0</v>
      </c>
      <c r="V73" s="274">
        <v>0</v>
      </c>
      <c r="W73" s="274">
        <v>0</v>
      </c>
      <c r="X73" s="274">
        <v>0</v>
      </c>
      <c r="Y73" s="274">
        <v>0</v>
      </c>
      <c r="Z73" s="274">
        <v>0</v>
      </c>
      <c r="AA73" s="274">
        <v>0</v>
      </c>
      <c r="AB73" s="276">
        <v>2020</v>
      </c>
    </row>
    <row r="74" spans="1:28" s="6" customFormat="1" ht="35.25" customHeight="1" x14ac:dyDescent="0.5">
      <c r="A74" s="6">
        <v>1</v>
      </c>
      <c r="B74" s="135">
        <f>SUBTOTAL(103,$A$7:A74)</f>
        <v>66</v>
      </c>
      <c r="C74" s="270" t="s">
        <v>1815</v>
      </c>
      <c r="D74" s="271">
        <f t="shared" si="3"/>
        <v>866755.67</v>
      </c>
      <c r="E74" s="274">
        <v>179437.21</v>
      </c>
      <c r="F74" s="274">
        <v>297679.21000000002</v>
      </c>
      <c r="G74" s="274">
        <v>0</v>
      </c>
      <c r="H74" s="274">
        <v>0</v>
      </c>
      <c r="I74" s="274">
        <v>0</v>
      </c>
      <c r="J74" s="274">
        <v>0</v>
      </c>
      <c r="K74" s="275">
        <v>0</v>
      </c>
      <c r="L74" s="274">
        <v>0</v>
      </c>
      <c r="M74" s="274">
        <v>0</v>
      </c>
      <c r="N74" s="274">
        <v>0</v>
      </c>
      <c r="O74" s="274">
        <v>389639.25</v>
      </c>
      <c r="P74" s="274">
        <v>0</v>
      </c>
      <c r="Q74" s="274">
        <v>0</v>
      </c>
      <c r="R74" s="274">
        <v>0</v>
      </c>
      <c r="S74" s="274">
        <v>0</v>
      </c>
      <c r="T74" s="274">
        <v>0</v>
      </c>
      <c r="U74" s="274">
        <v>0</v>
      </c>
      <c r="V74" s="274">
        <v>0</v>
      </c>
      <c r="W74" s="274">
        <v>0</v>
      </c>
      <c r="X74" s="274">
        <v>0</v>
      </c>
      <c r="Y74" s="274">
        <v>0</v>
      </c>
      <c r="Z74" s="274">
        <v>0</v>
      </c>
      <c r="AA74" s="274">
        <v>0</v>
      </c>
      <c r="AB74" s="276">
        <v>2020</v>
      </c>
    </row>
    <row r="75" spans="1:28" s="6" customFormat="1" ht="35.25" x14ac:dyDescent="0.5">
      <c r="A75" s="6">
        <v>1</v>
      </c>
      <c r="B75" s="135">
        <f>SUBTOTAL(103,$A$7:A75)</f>
        <v>67</v>
      </c>
      <c r="C75" s="279" t="s">
        <v>1979</v>
      </c>
      <c r="D75" s="271">
        <v>1468076</v>
      </c>
      <c r="E75" s="277">
        <v>0</v>
      </c>
      <c r="F75" s="277">
        <v>0</v>
      </c>
      <c r="G75" s="277">
        <v>0</v>
      </c>
      <c r="H75" s="277">
        <v>0</v>
      </c>
      <c r="I75" s="277">
        <v>0</v>
      </c>
      <c r="J75" s="277">
        <v>0</v>
      </c>
      <c r="K75" s="278">
        <v>0</v>
      </c>
      <c r="L75" s="277">
        <v>0</v>
      </c>
      <c r="M75" s="277">
        <v>1468076</v>
      </c>
      <c r="N75" s="277">
        <v>0</v>
      </c>
      <c r="O75" s="277">
        <v>0</v>
      </c>
      <c r="P75" s="277">
        <v>0</v>
      </c>
      <c r="Q75" s="277">
        <v>0</v>
      </c>
      <c r="R75" s="277">
        <v>0</v>
      </c>
      <c r="S75" s="277">
        <v>0</v>
      </c>
      <c r="T75" s="277">
        <v>0</v>
      </c>
      <c r="U75" s="277">
        <v>0</v>
      </c>
      <c r="V75" s="277">
        <v>0</v>
      </c>
      <c r="W75" s="277">
        <v>0</v>
      </c>
      <c r="X75" s="277">
        <v>0</v>
      </c>
      <c r="Y75" s="277">
        <v>0</v>
      </c>
      <c r="Z75" s="277">
        <v>0</v>
      </c>
      <c r="AA75" s="277">
        <v>0</v>
      </c>
      <c r="AB75" s="276">
        <v>2020</v>
      </c>
    </row>
    <row r="76" spans="1:28" s="6" customFormat="1" ht="35.25" x14ac:dyDescent="0.5">
      <c r="A76" s="6">
        <v>1</v>
      </c>
      <c r="B76" s="135">
        <f>SUBTOTAL(103,$A$7:A76)</f>
        <v>68</v>
      </c>
      <c r="C76" s="279" t="s">
        <v>1980</v>
      </c>
      <c r="D76" s="271">
        <v>364586</v>
      </c>
      <c r="E76" s="277">
        <v>0</v>
      </c>
      <c r="F76" s="277">
        <v>0</v>
      </c>
      <c r="G76" s="277">
        <v>0</v>
      </c>
      <c r="H76" s="277">
        <v>0</v>
      </c>
      <c r="I76" s="277">
        <v>0</v>
      </c>
      <c r="J76" s="277">
        <v>0</v>
      </c>
      <c r="K76" s="278">
        <v>0</v>
      </c>
      <c r="L76" s="277">
        <v>0</v>
      </c>
      <c r="M76" s="277">
        <v>0</v>
      </c>
      <c r="N76" s="277">
        <v>0</v>
      </c>
      <c r="O76" s="277">
        <v>364586</v>
      </c>
      <c r="P76" s="277">
        <v>0</v>
      </c>
      <c r="Q76" s="277">
        <v>0</v>
      </c>
      <c r="R76" s="277">
        <v>0</v>
      </c>
      <c r="S76" s="277">
        <v>0</v>
      </c>
      <c r="T76" s="277">
        <v>0</v>
      </c>
      <c r="U76" s="277">
        <v>0</v>
      </c>
      <c r="V76" s="277">
        <v>0</v>
      </c>
      <c r="W76" s="277">
        <v>0</v>
      </c>
      <c r="X76" s="277">
        <v>0</v>
      </c>
      <c r="Y76" s="277">
        <v>0</v>
      </c>
      <c r="Z76" s="277">
        <v>0</v>
      </c>
      <c r="AA76" s="277">
        <v>0</v>
      </c>
      <c r="AB76" s="276">
        <v>2020</v>
      </c>
    </row>
    <row r="77" spans="1:28" s="6" customFormat="1" ht="35.25" x14ac:dyDescent="0.5">
      <c r="A77" s="6">
        <v>1</v>
      </c>
      <c r="B77" s="135">
        <f>SUBTOTAL(103,$A$7:A77)</f>
        <v>69</v>
      </c>
      <c r="C77" s="279" t="s">
        <v>1981</v>
      </c>
      <c r="D77" s="271">
        <v>216731.11</v>
      </c>
      <c r="E77" s="277">
        <v>0</v>
      </c>
      <c r="F77" s="277">
        <v>216731.11</v>
      </c>
      <c r="G77" s="277">
        <v>0</v>
      </c>
      <c r="H77" s="277">
        <v>0</v>
      </c>
      <c r="I77" s="277">
        <v>0</v>
      </c>
      <c r="J77" s="277">
        <v>0</v>
      </c>
      <c r="K77" s="278">
        <v>0</v>
      </c>
      <c r="L77" s="277">
        <v>0</v>
      </c>
      <c r="M77" s="277">
        <v>0</v>
      </c>
      <c r="N77" s="277">
        <v>0</v>
      </c>
      <c r="O77" s="277">
        <v>0</v>
      </c>
      <c r="P77" s="277">
        <v>0</v>
      </c>
      <c r="Q77" s="277">
        <v>0</v>
      </c>
      <c r="R77" s="277">
        <v>0</v>
      </c>
      <c r="S77" s="277">
        <v>0</v>
      </c>
      <c r="T77" s="277">
        <v>0</v>
      </c>
      <c r="U77" s="277">
        <v>0</v>
      </c>
      <c r="V77" s="277">
        <v>0</v>
      </c>
      <c r="W77" s="277">
        <v>0</v>
      </c>
      <c r="X77" s="277">
        <v>0</v>
      </c>
      <c r="Y77" s="277">
        <v>0</v>
      </c>
      <c r="Z77" s="277">
        <v>0</v>
      </c>
      <c r="AA77" s="277">
        <v>0</v>
      </c>
      <c r="AB77" s="276">
        <v>2020</v>
      </c>
    </row>
    <row r="78" spans="1:28" s="6" customFormat="1" ht="35.25" x14ac:dyDescent="0.5">
      <c r="A78" s="6">
        <v>1</v>
      </c>
      <c r="B78" s="135">
        <f>SUBTOTAL(103,$A$7:A78)</f>
        <v>70</v>
      </c>
      <c r="C78" s="279" t="s">
        <v>1982</v>
      </c>
      <c r="D78" s="271">
        <v>610300</v>
      </c>
      <c r="E78" s="277">
        <v>0</v>
      </c>
      <c r="F78" s="277">
        <v>0</v>
      </c>
      <c r="G78" s="277">
        <v>0</v>
      </c>
      <c r="H78" s="277">
        <v>0</v>
      </c>
      <c r="I78" s="277">
        <v>0</v>
      </c>
      <c r="J78" s="277">
        <v>0</v>
      </c>
      <c r="K78" s="278">
        <v>0</v>
      </c>
      <c r="L78" s="277">
        <v>0</v>
      </c>
      <c r="M78" s="277">
        <v>0</v>
      </c>
      <c r="N78" s="277">
        <v>0</v>
      </c>
      <c r="O78" s="277">
        <v>610300</v>
      </c>
      <c r="P78" s="277">
        <v>0</v>
      </c>
      <c r="Q78" s="277">
        <v>0</v>
      </c>
      <c r="R78" s="277">
        <v>0</v>
      </c>
      <c r="S78" s="277">
        <v>0</v>
      </c>
      <c r="T78" s="277">
        <v>0</v>
      </c>
      <c r="U78" s="277">
        <v>0</v>
      </c>
      <c r="V78" s="277">
        <v>0</v>
      </c>
      <c r="W78" s="277">
        <v>0</v>
      </c>
      <c r="X78" s="277">
        <v>0</v>
      </c>
      <c r="Y78" s="277">
        <v>0</v>
      </c>
      <c r="Z78" s="277">
        <v>0</v>
      </c>
      <c r="AA78" s="277">
        <v>0</v>
      </c>
      <c r="AB78" s="276">
        <v>2020</v>
      </c>
    </row>
    <row r="79" spans="1:28" s="6" customFormat="1" ht="35.25" x14ac:dyDescent="0.5">
      <c r="A79" s="6">
        <v>1</v>
      </c>
      <c r="B79" s="135">
        <f>SUBTOTAL(103,$A$7:A79)</f>
        <v>71</v>
      </c>
      <c r="C79" s="279" t="s">
        <v>1983</v>
      </c>
      <c r="D79" s="271">
        <v>57079.75</v>
      </c>
      <c r="E79" s="277">
        <v>0</v>
      </c>
      <c r="F79" s="277">
        <v>57079.75</v>
      </c>
      <c r="G79" s="277">
        <v>0</v>
      </c>
      <c r="H79" s="277">
        <v>0</v>
      </c>
      <c r="I79" s="277">
        <v>0</v>
      </c>
      <c r="J79" s="277">
        <v>0</v>
      </c>
      <c r="K79" s="278">
        <v>0</v>
      </c>
      <c r="L79" s="277">
        <v>0</v>
      </c>
      <c r="M79" s="277">
        <v>0</v>
      </c>
      <c r="N79" s="277">
        <v>0</v>
      </c>
      <c r="O79" s="277">
        <v>0</v>
      </c>
      <c r="P79" s="277">
        <v>0</v>
      </c>
      <c r="Q79" s="277">
        <v>0</v>
      </c>
      <c r="R79" s="277">
        <v>0</v>
      </c>
      <c r="S79" s="277">
        <v>0</v>
      </c>
      <c r="T79" s="277">
        <v>0</v>
      </c>
      <c r="U79" s="277">
        <v>0</v>
      </c>
      <c r="V79" s="277">
        <v>0</v>
      </c>
      <c r="W79" s="277">
        <v>0</v>
      </c>
      <c r="X79" s="277">
        <v>0</v>
      </c>
      <c r="Y79" s="277">
        <v>0</v>
      </c>
      <c r="Z79" s="277">
        <v>0</v>
      </c>
      <c r="AA79" s="277">
        <v>0</v>
      </c>
      <c r="AB79" s="276">
        <v>2020</v>
      </c>
    </row>
    <row r="80" spans="1:28" s="6" customFormat="1" ht="35.25" x14ac:dyDescent="0.5">
      <c r="A80" s="6">
        <v>1</v>
      </c>
      <c r="B80" s="135">
        <f>SUBTOTAL(103,$A$7:A80)</f>
        <v>72</v>
      </c>
      <c r="C80" s="279" t="s">
        <v>1984</v>
      </c>
      <c r="D80" s="271">
        <v>1394395.75</v>
      </c>
      <c r="E80" s="277">
        <v>0</v>
      </c>
      <c r="F80" s="277">
        <v>0</v>
      </c>
      <c r="G80" s="277">
        <v>0</v>
      </c>
      <c r="H80" s="277">
        <v>0</v>
      </c>
      <c r="I80" s="277">
        <v>0</v>
      </c>
      <c r="J80" s="277">
        <v>0</v>
      </c>
      <c r="K80" s="278">
        <v>0</v>
      </c>
      <c r="L80" s="277">
        <v>0</v>
      </c>
      <c r="M80" s="277">
        <v>1394395.75</v>
      </c>
      <c r="N80" s="277">
        <v>0</v>
      </c>
      <c r="O80" s="277">
        <v>0</v>
      </c>
      <c r="P80" s="277">
        <v>0</v>
      </c>
      <c r="Q80" s="277">
        <v>0</v>
      </c>
      <c r="R80" s="277">
        <v>0</v>
      </c>
      <c r="S80" s="277">
        <v>0</v>
      </c>
      <c r="T80" s="277">
        <v>0</v>
      </c>
      <c r="U80" s="277">
        <v>0</v>
      </c>
      <c r="V80" s="277">
        <v>0</v>
      </c>
      <c r="W80" s="277">
        <v>0</v>
      </c>
      <c r="X80" s="277">
        <v>0</v>
      </c>
      <c r="Y80" s="277">
        <v>0</v>
      </c>
      <c r="Z80" s="277">
        <v>0</v>
      </c>
      <c r="AA80" s="277">
        <v>0</v>
      </c>
      <c r="AB80" s="276">
        <v>2020</v>
      </c>
    </row>
    <row r="81" spans="1:28" s="6" customFormat="1" ht="35.25" x14ac:dyDescent="0.5">
      <c r="A81" s="6">
        <v>1</v>
      </c>
      <c r="B81" s="135">
        <f>SUBTOTAL(103,$A$7:A81)</f>
        <v>73</v>
      </c>
      <c r="C81" s="279" t="s">
        <v>1985</v>
      </c>
      <c r="D81" s="271">
        <v>592148.92000000004</v>
      </c>
      <c r="E81" s="277">
        <v>592148.92000000004</v>
      </c>
      <c r="F81" s="277">
        <v>0</v>
      </c>
      <c r="G81" s="277">
        <v>0</v>
      </c>
      <c r="H81" s="277">
        <v>0</v>
      </c>
      <c r="I81" s="277">
        <v>0</v>
      </c>
      <c r="J81" s="277">
        <v>0</v>
      </c>
      <c r="K81" s="278">
        <v>0</v>
      </c>
      <c r="L81" s="277">
        <v>0</v>
      </c>
      <c r="M81" s="277">
        <v>0</v>
      </c>
      <c r="N81" s="277">
        <v>0</v>
      </c>
      <c r="O81" s="277">
        <v>0</v>
      </c>
      <c r="P81" s="277">
        <v>0</v>
      </c>
      <c r="Q81" s="277">
        <v>0</v>
      </c>
      <c r="R81" s="277">
        <v>0</v>
      </c>
      <c r="S81" s="277">
        <v>0</v>
      </c>
      <c r="T81" s="277">
        <v>0</v>
      </c>
      <c r="U81" s="277">
        <v>0</v>
      </c>
      <c r="V81" s="277">
        <v>0</v>
      </c>
      <c r="W81" s="277">
        <v>0</v>
      </c>
      <c r="X81" s="277">
        <v>0</v>
      </c>
      <c r="Y81" s="277">
        <v>0</v>
      </c>
      <c r="Z81" s="277">
        <v>0</v>
      </c>
      <c r="AA81" s="277">
        <v>0</v>
      </c>
      <c r="AB81" s="276">
        <v>2020</v>
      </c>
    </row>
    <row r="82" spans="1:28" s="6" customFormat="1" ht="35.25" x14ac:dyDescent="0.5">
      <c r="A82" s="6">
        <v>1</v>
      </c>
      <c r="B82" s="135">
        <f>SUBTOTAL(103,$A$7:A82)</f>
        <v>74</v>
      </c>
      <c r="C82" s="279" t="s">
        <v>1986</v>
      </c>
      <c r="D82" s="271">
        <v>3000000</v>
      </c>
      <c r="E82" s="277">
        <v>0</v>
      </c>
      <c r="F82" s="277">
        <v>0</v>
      </c>
      <c r="G82" s="277">
        <v>0</v>
      </c>
      <c r="H82" s="277">
        <v>0</v>
      </c>
      <c r="I82" s="277">
        <v>0</v>
      </c>
      <c r="J82" s="277">
        <v>0</v>
      </c>
      <c r="K82" s="278">
        <v>0</v>
      </c>
      <c r="L82" s="277">
        <v>0</v>
      </c>
      <c r="M82" s="277">
        <v>3000000</v>
      </c>
      <c r="N82" s="277">
        <v>0</v>
      </c>
      <c r="O82" s="277">
        <v>0</v>
      </c>
      <c r="P82" s="277">
        <v>0</v>
      </c>
      <c r="Q82" s="277">
        <v>0</v>
      </c>
      <c r="R82" s="277">
        <v>0</v>
      </c>
      <c r="S82" s="277">
        <v>0</v>
      </c>
      <c r="T82" s="277">
        <v>0</v>
      </c>
      <c r="U82" s="277">
        <v>0</v>
      </c>
      <c r="V82" s="277">
        <v>0</v>
      </c>
      <c r="W82" s="277">
        <v>0</v>
      </c>
      <c r="X82" s="277">
        <v>0</v>
      </c>
      <c r="Y82" s="277">
        <v>0</v>
      </c>
      <c r="Z82" s="277">
        <v>0</v>
      </c>
      <c r="AA82" s="277">
        <v>0</v>
      </c>
      <c r="AB82" s="276">
        <v>2020</v>
      </c>
    </row>
    <row r="83" spans="1:28" s="6" customFormat="1" ht="35.25" x14ac:dyDescent="0.5">
      <c r="A83" s="6">
        <v>1</v>
      </c>
      <c r="B83" s="135">
        <f>SUBTOTAL(103,$A$7:A83)</f>
        <v>75</v>
      </c>
      <c r="C83" s="279" t="s">
        <v>1987</v>
      </c>
      <c r="D83" s="271">
        <v>1004458</v>
      </c>
      <c r="E83" s="277">
        <v>0</v>
      </c>
      <c r="F83" s="277">
        <v>0</v>
      </c>
      <c r="G83" s="277">
        <v>0</v>
      </c>
      <c r="H83" s="277">
        <v>0</v>
      </c>
      <c r="I83" s="277">
        <v>0</v>
      </c>
      <c r="J83" s="277">
        <v>0</v>
      </c>
      <c r="K83" s="278">
        <v>0</v>
      </c>
      <c r="L83" s="277">
        <v>0</v>
      </c>
      <c r="M83" s="277">
        <v>1004458</v>
      </c>
      <c r="N83" s="277">
        <v>0</v>
      </c>
      <c r="O83" s="277">
        <v>0</v>
      </c>
      <c r="P83" s="277">
        <v>0</v>
      </c>
      <c r="Q83" s="277">
        <v>0</v>
      </c>
      <c r="R83" s="277">
        <v>0</v>
      </c>
      <c r="S83" s="277">
        <v>0</v>
      </c>
      <c r="T83" s="277">
        <v>0</v>
      </c>
      <c r="U83" s="277">
        <v>0</v>
      </c>
      <c r="V83" s="277">
        <v>0</v>
      </c>
      <c r="W83" s="277">
        <v>0</v>
      </c>
      <c r="X83" s="277">
        <v>0</v>
      </c>
      <c r="Y83" s="277">
        <v>0</v>
      </c>
      <c r="Z83" s="277">
        <v>0</v>
      </c>
      <c r="AA83" s="277">
        <v>0</v>
      </c>
      <c r="AB83" s="276">
        <v>2020</v>
      </c>
    </row>
    <row r="84" spans="1:28" s="6" customFormat="1" ht="35.25" x14ac:dyDescent="0.5">
      <c r="A84" s="6">
        <v>1</v>
      </c>
      <c r="B84" s="135">
        <f>SUBTOTAL(103,$A$7:A84)</f>
        <v>76</v>
      </c>
      <c r="C84" s="279" t="s">
        <v>1988</v>
      </c>
      <c r="D84" s="271">
        <v>897668.63</v>
      </c>
      <c r="E84" s="277">
        <v>0</v>
      </c>
      <c r="F84" s="277">
        <v>0</v>
      </c>
      <c r="G84" s="277">
        <v>0</v>
      </c>
      <c r="H84" s="277">
        <v>0</v>
      </c>
      <c r="I84" s="277">
        <v>0</v>
      </c>
      <c r="J84" s="277">
        <v>0</v>
      </c>
      <c r="K84" s="278">
        <v>0</v>
      </c>
      <c r="L84" s="277">
        <v>0</v>
      </c>
      <c r="M84" s="277">
        <v>811166.63</v>
      </c>
      <c r="N84" s="277">
        <v>0</v>
      </c>
      <c r="O84" s="277">
        <v>86502</v>
      </c>
      <c r="P84" s="277">
        <v>0</v>
      </c>
      <c r="Q84" s="277">
        <v>0</v>
      </c>
      <c r="R84" s="277">
        <v>0</v>
      </c>
      <c r="S84" s="277">
        <v>0</v>
      </c>
      <c r="T84" s="277">
        <v>0</v>
      </c>
      <c r="U84" s="277">
        <v>0</v>
      </c>
      <c r="V84" s="277">
        <v>0</v>
      </c>
      <c r="W84" s="277">
        <v>0</v>
      </c>
      <c r="X84" s="277">
        <v>0</v>
      </c>
      <c r="Y84" s="277">
        <v>0</v>
      </c>
      <c r="Z84" s="277">
        <v>0</v>
      </c>
      <c r="AA84" s="277">
        <v>0</v>
      </c>
      <c r="AB84" s="276">
        <v>2020</v>
      </c>
    </row>
    <row r="85" spans="1:28" s="6" customFormat="1" ht="35.25" x14ac:dyDescent="0.5">
      <c r="A85" s="6">
        <v>1</v>
      </c>
      <c r="B85" s="135">
        <f>SUBTOTAL(103,$A$7:A85)</f>
        <v>77</v>
      </c>
      <c r="C85" s="279" t="s">
        <v>1989</v>
      </c>
      <c r="D85" s="271">
        <v>1450004</v>
      </c>
      <c r="E85" s="277">
        <v>0</v>
      </c>
      <c r="F85" s="277">
        <v>0</v>
      </c>
      <c r="G85" s="277">
        <v>0</v>
      </c>
      <c r="H85" s="277">
        <v>0</v>
      </c>
      <c r="I85" s="277">
        <v>0</v>
      </c>
      <c r="J85" s="277">
        <v>0</v>
      </c>
      <c r="K85" s="278">
        <v>0</v>
      </c>
      <c r="L85" s="277">
        <v>0</v>
      </c>
      <c r="M85" s="277">
        <v>1450004</v>
      </c>
      <c r="N85" s="277">
        <v>0</v>
      </c>
      <c r="O85" s="277">
        <v>0</v>
      </c>
      <c r="P85" s="277">
        <v>0</v>
      </c>
      <c r="Q85" s="277">
        <v>0</v>
      </c>
      <c r="R85" s="277">
        <v>0</v>
      </c>
      <c r="S85" s="277">
        <v>0</v>
      </c>
      <c r="T85" s="277">
        <v>0</v>
      </c>
      <c r="U85" s="277">
        <v>0</v>
      </c>
      <c r="V85" s="277">
        <v>0</v>
      </c>
      <c r="W85" s="277">
        <v>0</v>
      </c>
      <c r="X85" s="277">
        <v>0</v>
      </c>
      <c r="Y85" s="277">
        <v>0</v>
      </c>
      <c r="Z85" s="277">
        <v>0</v>
      </c>
      <c r="AA85" s="277">
        <v>0</v>
      </c>
      <c r="AB85" s="276">
        <v>2020</v>
      </c>
    </row>
    <row r="86" spans="1:28" s="6" customFormat="1" ht="35.25" x14ac:dyDescent="0.5">
      <c r="A86" s="6">
        <v>1</v>
      </c>
      <c r="B86" s="135">
        <f>SUBTOTAL(103,$A$7:A86)</f>
        <v>78</v>
      </c>
      <c r="C86" s="279" t="s">
        <v>1990</v>
      </c>
      <c r="D86" s="271">
        <v>448868</v>
      </c>
      <c r="E86" s="277">
        <v>130822</v>
      </c>
      <c r="F86" s="277">
        <v>130822</v>
      </c>
      <c r="G86" s="277">
        <v>0</v>
      </c>
      <c r="H86" s="277">
        <v>0</v>
      </c>
      <c r="I86" s="277">
        <v>0</v>
      </c>
      <c r="J86" s="277">
        <v>0</v>
      </c>
      <c r="K86" s="278">
        <v>0</v>
      </c>
      <c r="L86" s="277">
        <v>0</v>
      </c>
      <c r="M86" s="277">
        <v>0</v>
      </c>
      <c r="N86" s="277">
        <v>0</v>
      </c>
      <c r="O86" s="277">
        <v>187224</v>
      </c>
      <c r="P86" s="277">
        <v>0</v>
      </c>
      <c r="Q86" s="277">
        <v>0</v>
      </c>
      <c r="R86" s="277">
        <v>0</v>
      </c>
      <c r="S86" s="277">
        <v>0</v>
      </c>
      <c r="T86" s="277">
        <v>0</v>
      </c>
      <c r="U86" s="277">
        <v>0</v>
      </c>
      <c r="V86" s="277">
        <v>0</v>
      </c>
      <c r="W86" s="277">
        <v>0</v>
      </c>
      <c r="X86" s="277">
        <v>0</v>
      </c>
      <c r="Y86" s="277">
        <v>0</v>
      </c>
      <c r="Z86" s="277">
        <v>0</v>
      </c>
      <c r="AA86" s="277">
        <v>0</v>
      </c>
      <c r="AB86" s="276">
        <v>2020</v>
      </c>
    </row>
    <row r="87" spans="1:28" s="6" customFormat="1" ht="35.25" x14ac:dyDescent="0.5">
      <c r="A87" s="6">
        <v>1</v>
      </c>
      <c r="B87" s="135">
        <f>SUBTOTAL(103,$A$7:A87)</f>
        <v>79</v>
      </c>
      <c r="C87" s="279" t="s">
        <v>1991</v>
      </c>
      <c r="D87" s="271">
        <v>1111226.33</v>
      </c>
      <c r="E87" s="277">
        <v>0</v>
      </c>
      <c r="F87" s="277">
        <v>0</v>
      </c>
      <c r="G87" s="277">
        <v>0</v>
      </c>
      <c r="H87" s="277">
        <v>0</v>
      </c>
      <c r="I87" s="277">
        <v>0</v>
      </c>
      <c r="J87" s="277">
        <v>0</v>
      </c>
      <c r="K87" s="278">
        <v>0</v>
      </c>
      <c r="L87" s="277">
        <v>0</v>
      </c>
      <c r="M87" s="277">
        <v>1111226.33</v>
      </c>
      <c r="N87" s="277">
        <v>0</v>
      </c>
      <c r="O87" s="277">
        <v>0</v>
      </c>
      <c r="P87" s="277">
        <v>0</v>
      </c>
      <c r="Q87" s="277">
        <v>0</v>
      </c>
      <c r="R87" s="277">
        <v>0</v>
      </c>
      <c r="S87" s="277">
        <v>0</v>
      </c>
      <c r="T87" s="277">
        <v>0</v>
      </c>
      <c r="U87" s="277">
        <v>0</v>
      </c>
      <c r="V87" s="277">
        <v>0</v>
      </c>
      <c r="W87" s="277">
        <v>0</v>
      </c>
      <c r="X87" s="277">
        <v>0</v>
      </c>
      <c r="Y87" s="277">
        <v>0</v>
      </c>
      <c r="Z87" s="277">
        <v>0</v>
      </c>
      <c r="AA87" s="277">
        <v>0</v>
      </c>
      <c r="AB87" s="276">
        <v>2020</v>
      </c>
    </row>
    <row r="88" spans="1:28" s="6" customFormat="1" ht="35.25" x14ac:dyDescent="0.5">
      <c r="A88" s="6">
        <v>1</v>
      </c>
      <c r="B88" s="135">
        <f>SUBTOTAL(103,$A$7:A88)</f>
        <v>80</v>
      </c>
      <c r="C88" s="279" t="s">
        <v>1992</v>
      </c>
      <c r="D88" s="271">
        <v>252000</v>
      </c>
      <c r="E88" s="277">
        <v>0</v>
      </c>
      <c r="F88" s="277">
        <v>0</v>
      </c>
      <c r="G88" s="277">
        <v>0</v>
      </c>
      <c r="H88" s="277">
        <v>0</v>
      </c>
      <c r="I88" s="277">
        <v>0</v>
      </c>
      <c r="J88" s="277">
        <v>0</v>
      </c>
      <c r="K88" s="278">
        <v>0</v>
      </c>
      <c r="L88" s="277">
        <v>0</v>
      </c>
      <c r="M88" s="277">
        <v>0</v>
      </c>
      <c r="N88" s="277">
        <v>0</v>
      </c>
      <c r="O88" s="277">
        <v>252000</v>
      </c>
      <c r="P88" s="277">
        <v>0</v>
      </c>
      <c r="Q88" s="277">
        <v>0</v>
      </c>
      <c r="R88" s="277">
        <v>0</v>
      </c>
      <c r="S88" s="277">
        <v>0</v>
      </c>
      <c r="T88" s="277">
        <v>0</v>
      </c>
      <c r="U88" s="277">
        <v>0</v>
      </c>
      <c r="V88" s="277">
        <v>0</v>
      </c>
      <c r="W88" s="277">
        <v>0</v>
      </c>
      <c r="X88" s="277">
        <v>0</v>
      </c>
      <c r="Y88" s="277">
        <v>0</v>
      </c>
      <c r="Z88" s="277">
        <v>0</v>
      </c>
      <c r="AA88" s="277">
        <v>0</v>
      </c>
      <c r="AB88" s="276">
        <v>2020</v>
      </c>
    </row>
    <row r="89" spans="1:28" s="6" customFormat="1" ht="35.25" x14ac:dyDescent="0.5">
      <c r="A89" s="6">
        <v>1</v>
      </c>
      <c r="B89" s="135">
        <f>SUBTOTAL(103,$A$7:A89)</f>
        <v>81</v>
      </c>
      <c r="C89" s="279" t="s">
        <v>1993</v>
      </c>
      <c r="D89" s="271">
        <v>1736821</v>
      </c>
      <c r="E89" s="277">
        <v>0</v>
      </c>
      <c r="F89" s="277">
        <v>0</v>
      </c>
      <c r="G89" s="277">
        <v>0</v>
      </c>
      <c r="H89" s="277">
        <v>0</v>
      </c>
      <c r="I89" s="277">
        <v>0</v>
      </c>
      <c r="J89" s="277">
        <v>0</v>
      </c>
      <c r="K89" s="278">
        <v>0</v>
      </c>
      <c r="L89" s="277">
        <v>0</v>
      </c>
      <c r="M89" s="277">
        <v>1736821</v>
      </c>
      <c r="N89" s="277">
        <v>0</v>
      </c>
      <c r="O89" s="277">
        <v>0</v>
      </c>
      <c r="P89" s="277">
        <v>0</v>
      </c>
      <c r="Q89" s="277">
        <v>0</v>
      </c>
      <c r="R89" s="277">
        <v>0</v>
      </c>
      <c r="S89" s="277">
        <v>0</v>
      </c>
      <c r="T89" s="277">
        <v>0</v>
      </c>
      <c r="U89" s="277">
        <v>0</v>
      </c>
      <c r="V89" s="277">
        <v>0</v>
      </c>
      <c r="W89" s="277">
        <v>0</v>
      </c>
      <c r="X89" s="277">
        <v>0</v>
      </c>
      <c r="Y89" s="277">
        <v>0</v>
      </c>
      <c r="Z89" s="277">
        <v>0</v>
      </c>
      <c r="AA89" s="277">
        <v>0</v>
      </c>
      <c r="AB89" s="276">
        <v>2020</v>
      </c>
    </row>
    <row r="90" spans="1:28" s="6" customFormat="1" ht="35.25" x14ac:dyDescent="0.5">
      <c r="A90" s="6">
        <v>1</v>
      </c>
      <c r="B90" s="135">
        <f>SUBTOTAL(103,$A$7:A90)</f>
        <v>82</v>
      </c>
      <c r="C90" s="279" t="s">
        <v>1994</v>
      </c>
      <c r="D90" s="271">
        <v>1164297</v>
      </c>
      <c r="E90" s="277">
        <v>0</v>
      </c>
      <c r="F90" s="277">
        <v>0</v>
      </c>
      <c r="G90" s="277">
        <v>0</v>
      </c>
      <c r="H90" s="277">
        <v>0</v>
      </c>
      <c r="I90" s="277">
        <v>0</v>
      </c>
      <c r="J90" s="277">
        <v>0</v>
      </c>
      <c r="K90" s="278">
        <v>0</v>
      </c>
      <c r="L90" s="277">
        <v>0</v>
      </c>
      <c r="M90" s="277">
        <v>1164297</v>
      </c>
      <c r="N90" s="277">
        <v>0</v>
      </c>
      <c r="O90" s="277">
        <v>0</v>
      </c>
      <c r="P90" s="277">
        <v>0</v>
      </c>
      <c r="Q90" s="277">
        <v>0</v>
      </c>
      <c r="R90" s="277">
        <v>0</v>
      </c>
      <c r="S90" s="277">
        <v>0</v>
      </c>
      <c r="T90" s="277">
        <v>0</v>
      </c>
      <c r="U90" s="277">
        <v>0</v>
      </c>
      <c r="V90" s="277">
        <v>0</v>
      </c>
      <c r="W90" s="277">
        <v>0</v>
      </c>
      <c r="X90" s="277">
        <v>0</v>
      </c>
      <c r="Y90" s="277">
        <v>0</v>
      </c>
      <c r="Z90" s="277">
        <v>0</v>
      </c>
      <c r="AA90" s="277">
        <v>0</v>
      </c>
      <c r="AB90" s="276">
        <v>2020</v>
      </c>
    </row>
    <row r="91" spans="1:28" s="6" customFormat="1" ht="35.25" x14ac:dyDescent="0.5">
      <c r="A91" s="6">
        <v>1</v>
      </c>
      <c r="B91" s="135">
        <f>SUBTOTAL(103,$A$7:A91)</f>
        <v>83</v>
      </c>
      <c r="C91" s="279" t="s">
        <v>1995</v>
      </c>
      <c r="D91" s="271">
        <v>1475513.91</v>
      </c>
      <c r="E91" s="277">
        <v>0</v>
      </c>
      <c r="F91" s="277">
        <v>0</v>
      </c>
      <c r="G91" s="277">
        <v>0</v>
      </c>
      <c r="H91" s="277">
        <v>0</v>
      </c>
      <c r="I91" s="277">
        <v>0</v>
      </c>
      <c r="J91" s="277">
        <v>0</v>
      </c>
      <c r="K91" s="278">
        <v>0</v>
      </c>
      <c r="L91" s="277">
        <v>0</v>
      </c>
      <c r="M91" s="277">
        <v>1475513.91</v>
      </c>
      <c r="N91" s="277">
        <v>0</v>
      </c>
      <c r="O91" s="277">
        <v>0</v>
      </c>
      <c r="P91" s="277">
        <v>0</v>
      </c>
      <c r="Q91" s="277">
        <v>0</v>
      </c>
      <c r="R91" s="277">
        <v>0</v>
      </c>
      <c r="S91" s="277">
        <v>0</v>
      </c>
      <c r="T91" s="277">
        <v>0</v>
      </c>
      <c r="U91" s="277">
        <v>0</v>
      </c>
      <c r="V91" s="277">
        <v>0</v>
      </c>
      <c r="W91" s="277">
        <v>0</v>
      </c>
      <c r="X91" s="277">
        <v>0</v>
      </c>
      <c r="Y91" s="277">
        <v>0</v>
      </c>
      <c r="Z91" s="277">
        <v>0</v>
      </c>
      <c r="AA91" s="277">
        <v>0</v>
      </c>
      <c r="AB91" s="276">
        <v>2020</v>
      </c>
    </row>
    <row r="92" spans="1:28" s="6" customFormat="1" ht="35.25" x14ac:dyDescent="0.5">
      <c r="A92" s="6">
        <v>1</v>
      </c>
      <c r="B92" s="135">
        <f>SUBTOTAL(103,$A$7:A92)</f>
        <v>84</v>
      </c>
      <c r="C92" s="279" t="s">
        <v>1996</v>
      </c>
      <c r="D92" s="271">
        <v>256701.14</v>
      </c>
      <c r="E92" s="277">
        <v>0</v>
      </c>
      <c r="F92" s="277">
        <v>0</v>
      </c>
      <c r="G92" s="277">
        <v>0</v>
      </c>
      <c r="H92" s="277">
        <v>0</v>
      </c>
      <c r="I92" s="277">
        <v>0</v>
      </c>
      <c r="J92" s="277">
        <v>0</v>
      </c>
      <c r="K92" s="278">
        <v>0</v>
      </c>
      <c r="L92" s="277">
        <v>0</v>
      </c>
      <c r="M92" s="277">
        <v>0</v>
      </c>
      <c r="N92" s="277">
        <v>0</v>
      </c>
      <c r="O92" s="277">
        <v>256701.14</v>
      </c>
      <c r="P92" s="277">
        <v>0</v>
      </c>
      <c r="Q92" s="277">
        <v>0</v>
      </c>
      <c r="R92" s="277">
        <v>0</v>
      </c>
      <c r="S92" s="277">
        <v>0</v>
      </c>
      <c r="T92" s="277">
        <v>0</v>
      </c>
      <c r="U92" s="277">
        <v>0</v>
      </c>
      <c r="V92" s="277">
        <v>0</v>
      </c>
      <c r="W92" s="277">
        <v>0</v>
      </c>
      <c r="X92" s="277">
        <v>0</v>
      </c>
      <c r="Y92" s="277">
        <v>0</v>
      </c>
      <c r="Z92" s="277">
        <v>0</v>
      </c>
      <c r="AA92" s="277">
        <v>0</v>
      </c>
      <c r="AB92" s="276">
        <v>2020</v>
      </c>
    </row>
    <row r="93" spans="1:28" s="6" customFormat="1" ht="35.25" x14ac:dyDescent="0.5">
      <c r="A93" s="6">
        <v>1</v>
      </c>
      <c r="B93" s="135">
        <f>SUBTOTAL(103,$A$7:A93)</f>
        <v>85</v>
      </c>
      <c r="C93" s="279" t="s">
        <v>1997</v>
      </c>
      <c r="D93" s="271">
        <v>428327</v>
      </c>
      <c r="E93" s="277">
        <v>0</v>
      </c>
      <c r="F93" s="277">
        <v>0</v>
      </c>
      <c r="G93" s="277">
        <v>0</v>
      </c>
      <c r="H93" s="277">
        <v>0</v>
      </c>
      <c r="I93" s="277">
        <v>0</v>
      </c>
      <c r="J93" s="277">
        <v>0</v>
      </c>
      <c r="K93" s="278">
        <v>0</v>
      </c>
      <c r="L93" s="277">
        <v>0</v>
      </c>
      <c r="M93" s="277">
        <v>0</v>
      </c>
      <c r="N93" s="277">
        <v>35600</v>
      </c>
      <c r="O93" s="277">
        <v>392727</v>
      </c>
      <c r="P93" s="277">
        <v>0</v>
      </c>
      <c r="Q93" s="277">
        <v>0</v>
      </c>
      <c r="R93" s="277">
        <v>0</v>
      </c>
      <c r="S93" s="277">
        <v>0</v>
      </c>
      <c r="T93" s="277">
        <v>0</v>
      </c>
      <c r="U93" s="277">
        <v>0</v>
      </c>
      <c r="V93" s="277">
        <v>0</v>
      </c>
      <c r="W93" s="277">
        <v>0</v>
      </c>
      <c r="X93" s="277">
        <v>0</v>
      </c>
      <c r="Y93" s="277">
        <v>0</v>
      </c>
      <c r="Z93" s="277">
        <v>0</v>
      </c>
      <c r="AA93" s="277">
        <v>0</v>
      </c>
      <c r="AB93" s="276">
        <v>2020</v>
      </c>
    </row>
    <row r="94" spans="1:28" s="6" customFormat="1" ht="35.25" x14ac:dyDescent="0.5">
      <c r="A94" s="6">
        <v>1</v>
      </c>
      <c r="B94" s="135">
        <f>SUBTOTAL(103,$A$7:A94)</f>
        <v>86</v>
      </c>
      <c r="C94" s="279" t="s">
        <v>1998</v>
      </c>
      <c r="D94" s="271">
        <v>351887.78</v>
      </c>
      <c r="E94" s="277">
        <v>0</v>
      </c>
      <c r="F94" s="277">
        <v>0</v>
      </c>
      <c r="G94" s="277">
        <v>351887.78</v>
      </c>
      <c r="H94" s="277">
        <v>0</v>
      </c>
      <c r="I94" s="277">
        <v>0</v>
      </c>
      <c r="J94" s="277">
        <v>0</v>
      </c>
      <c r="K94" s="278">
        <v>0</v>
      </c>
      <c r="L94" s="277">
        <v>0</v>
      </c>
      <c r="M94" s="277">
        <v>0</v>
      </c>
      <c r="N94" s="277">
        <v>0</v>
      </c>
      <c r="O94" s="277">
        <v>0</v>
      </c>
      <c r="P94" s="277">
        <v>0</v>
      </c>
      <c r="Q94" s="277">
        <v>0</v>
      </c>
      <c r="R94" s="277">
        <v>0</v>
      </c>
      <c r="S94" s="277">
        <v>0</v>
      </c>
      <c r="T94" s="277">
        <v>0</v>
      </c>
      <c r="U94" s="277">
        <v>0</v>
      </c>
      <c r="V94" s="277">
        <v>0</v>
      </c>
      <c r="W94" s="277">
        <v>0</v>
      </c>
      <c r="X94" s="277">
        <v>0</v>
      </c>
      <c r="Y94" s="277">
        <v>0</v>
      </c>
      <c r="Z94" s="277">
        <v>0</v>
      </c>
      <c r="AA94" s="277">
        <v>0</v>
      </c>
      <c r="AB94" s="276">
        <v>2020</v>
      </c>
    </row>
    <row r="95" spans="1:28" s="6" customFormat="1" ht="35.25" x14ac:dyDescent="0.5">
      <c r="A95" s="6">
        <v>1</v>
      </c>
      <c r="B95" s="135">
        <f>SUBTOTAL(103,$A$7:A95)</f>
        <v>87</v>
      </c>
      <c r="C95" s="279" t="s">
        <v>1999</v>
      </c>
      <c r="D95" s="271">
        <v>459499</v>
      </c>
      <c r="E95" s="277">
        <v>0</v>
      </c>
      <c r="F95" s="277">
        <v>370499</v>
      </c>
      <c r="G95" s="277">
        <v>0</v>
      </c>
      <c r="H95" s="277">
        <v>0</v>
      </c>
      <c r="I95" s="277">
        <v>0</v>
      </c>
      <c r="J95" s="277">
        <v>0</v>
      </c>
      <c r="K95" s="278">
        <v>0</v>
      </c>
      <c r="L95" s="277">
        <v>0</v>
      </c>
      <c r="M95" s="277">
        <v>0</v>
      </c>
      <c r="N95" s="277">
        <v>0</v>
      </c>
      <c r="O95" s="277">
        <v>0</v>
      </c>
      <c r="P95" s="277">
        <v>0</v>
      </c>
      <c r="Q95" s="277">
        <v>0</v>
      </c>
      <c r="R95" s="277">
        <v>0</v>
      </c>
      <c r="S95" s="277">
        <v>0</v>
      </c>
      <c r="T95" s="277">
        <v>0</v>
      </c>
      <c r="U95" s="277">
        <v>0</v>
      </c>
      <c r="V95" s="277">
        <v>0</v>
      </c>
      <c r="W95" s="277">
        <v>0</v>
      </c>
      <c r="X95" s="277">
        <v>0</v>
      </c>
      <c r="Y95" s="277">
        <v>0</v>
      </c>
      <c r="Z95" s="277">
        <v>89000</v>
      </c>
      <c r="AA95" s="277">
        <v>0</v>
      </c>
      <c r="AB95" s="276">
        <v>2020</v>
      </c>
    </row>
    <row r="96" spans="1:28" s="6" customFormat="1" ht="35.25" x14ac:dyDescent="0.5">
      <c r="A96" s="6">
        <v>1</v>
      </c>
      <c r="B96" s="135">
        <f>SUBTOTAL(103,$A$7:A96)</f>
        <v>88</v>
      </c>
      <c r="C96" s="279" t="s">
        <v>2000</v>
      </c>
      <c r="D96" s="271">
        <v>349658</v>
      </c>
      <c r="E96" s="277">
        <v>0</v>
      </c>
      <c r="F96" s="277">
        <v>0</v>
      </c>
      <c r="G96" s="277">
        <v>0</v>
      </c>
      <c r="H96" s="277">
        <v>0</v>
      </c>
      <c r="I96" s="277">
        <v>0</v>
      </c>
      <c r="J96" s="277">
        <v>0</v>
      </c>
      <c r="K96" s="278">
        <v>0</v>
      </c>
      <c r="L96" s="277">
        <v>0</v>
      </c>
      <c r="M96" s="277">
        <v>349658</v>
      </c>
      <c r="N96" s="277">
        <v>0</v>
      </c>
      <c r="O96" s="277">
        <v>0</v>
      </c>
      <c r="P96" s="277">
        <v>0</v>
      </c>
      <c r="Q96" s="277">
        <v>0</v>
      </c>
      <c r="R96" s="277">
        <v>0</v>
      </c>
      <c r="S96" s="277">
        <v>0</v>
      </c>
      <c r="T96" s="277">
        <v>0</v>
      </c>
      <c r="U96" s="277">
        <v>0</v>
      </c>
      <c r="V96" s="277">
        <v>0</v>
      </c>
      <c r="W96" s="277">
        <v>0</v>
      </c>
      <c r="X96" s="277">
        <v>0</v>
      </c>
      <c r="Y96" s="277">
        <v>0</v>
      </c>
      <c r="Z96" s="277">
        <v>0</v>
      </c>
      <c r="AA96" s="277">
        <v>0</v>
      </c>
      <c r="AB96" s="276">
        <v>2020</v>
      </c>
    </row>
    <row r="97" spans="1:28" s="6" customFormat="1" ht="35.25" x14ac:dyDescent="0.5">
      <c r="A97" s="6">
        <v>1</v>
      </c>
      <c r="B97" s="135">
        <f>SUBTOTAL(103,$A$7:A97)</f>
        <v>89</v>
      </c>
      <c r="C97" s="279" t="s">
        <v>2001</v>
      </c>
      <c r="D97" s="271">
        <v>883385</v>
      </c>
      <c r="E97" s="277">
        <v>0</v>
      </c>
      <c r="F97" s="277">
        <v>0</v>
      </c>
      <c r="G97" s="277">
        <v>0</v>
      </c>
      <c r="H97" s="277">
        <v>0</v>
      </c>
      <c r="I97" s="277">
        <v>883385</v>
      </c>
      <c r="J97" s="277">
        <v>0</v>
      </c>
      <c r="K97" s="278">
        <v>0</v>
      </c>
      <c r="L97" s="277">
        <v>0</v>
      </c>
      <c r="M97" s="277">
        <v>0</v>
      </c>
      <c r="N97" s="277">
        <v>0</v>
      </c>
      <c r="O97" s="277">
        <v>0</v>
      </c>
      <c r="P97" s="277">
        <v>0</v>
      </c>
      <c r="Q97" s="277">
        <v>0</v>
      </c>
      <c r="R97" s="277">
        <v>0</v>
      </c>
      <c r="S97" s="277">
        <v>0</v>
      </c>
      <c r="T97" s="277">
        <v>0</v>
      </c>
      <c r="U97" s="277">
        <v>0</v>
      </c>
      <c r="V97" s="277">
        <v>0</v>
      </c>
      <c r="W97" s="277">
        <v>0</v>
      </c>
      <c r="X97" s="277">
        <v>0</v>
      </c>
      <c r="Y97" s="277">
        <v>0</v>
      </c>
      <c r="Z97" s="277">
        <v>0</v>
      </c>
      <c r="AA97" s="277">
        <v>0</v>
      </c>
      <c r="AB97" s="276">
        <v>2020</v>
      </c>
    </row>
    <row r="98" spans="1:28" s="6" customFormat="1" ht="35.25" x14ac:dyDescent="0.5">
      <c r="A98" s="6">
        <v>1</v>
      </c>
      <c r="B98" s="135">
        <f>SUBTOTAL(103,$A$7:A98)</f>
        <v>90</v>
      </c>
      <c r="C98" s="279" t="s">
        <v>2002</v>
      </c>
      <c r="D98" s="271">
        <v>1287000</v>
      </c>
      <c r="E98" s="277">
        <v>0</v>
      </c>
      <c r="F98" s="277">
        <v>0</v>
      </c>
      <c r="G98" s="277">
        <v>0</v>
      </c>
      <c r="H98" s="277">
        <v>0</v>
      </c>
      <c r="I98" s="277">
        <v>0</v>
      </c>
      <c r="J98" s="277">
        <v>0</v>
      </c>
      <c r="K98" s="278">
        <v>0</v>
      </c>
      <c r="L98" s="277">
        <v>0</v>
      </c>
      <c r="M98" s="277">
        <v>1287000</v>
      </c>
      <c r="N98" s="277">
        <v>0</v>
      </c>
      <c r="O98" s="277">
        <v>0</v>
      </c>
      <c r="P98" s="277">
        <v>0</v>
      </c>
      <c r="Q98" s="277">
        <v>0</v>
      </c>
      <c r="R98" s="277">
        <v>0</v>
      </c>
      <c r="S98" s="277">
        <v>0</v>
      </c>
      <c r="T98" s="277">
        <v>0</v>
      </c>
      <c r="U98" s="277">
        <v>0</v>
      </c>
      <c r="V98" s="277">
        <v>0</v>
      </c>
      <c r="W98" s="277">
        <v>0</v>
      </c>
      <c r="X98" s="277">
        <v>0</v>
      </c>
      <c r="Y98" s="277">
        <v>0</v>
      </c>
      <c r="Z98" s="277">
        <v>0</v>
      </c>
      <c r="AA98" s="277">
        <v>0</v>
      </c>
      <c r="AB98" s="276">
        <v>2020</v>
      </c>
    </row>
    <row r="99" spans="1:28" s="6" customFormat="1" ht="35.25" x14ac:dyDescent="0.5">
      <c r="A99" s="6">
        <v>1</v>
      </c>
      <c r="B99" s="135">
        <f>SUBTOTAL(103,$A$7:A99)</f>
        <v>91</v>
      </c>
      <c r="C99" s="279" t="s">
        <v>2003</v>
      </c>
      <c r="D99" s="271">
        <v>1372008</v>
      </c>
      <c r="E99" s="277">
        <v>0</v>
      </c>
      <c r="F99" s="277">
        <v>0</v>
      </c>
      <c r="G99" s="277">
        <v>0</v>
      </c>
      <c r="H99" s="277">
        <v>0</v>
      </c>
      <c r="I99" s="277">
        <v>0</v>
      </c>
      <c r="J99" s="277">
        <v>0</v>
      </c>
      <c r="K99" s="278">
        <v>0</v>
      </c>
      <c r="L99" s="277">
        <v>0</v>
      </c>
      <c r="M99" s="277">
        <v>0</v>
      </c>
      <c r="N99" s="277">
        <v>0</v>
      </c>
      <c r="O99" s="277">
        <v>1372008</v>
      </c>
      <c r="P99" s="277">
        <v>0</v>
      </c>
      <c r="Q99" s="277">
        <v>0</v>
      </c>
      <c r="R99" s="277">
        <v>0</v>
      </c>
      <c r="S99" s="277">
        <v>0</v>
      </c>
      <c r="T99" s="277">
        <v>0</v>
      </c>
      <c r="U99" s="277">
        <v>0</v>
      </c>
      <c r="V99" s="277">
        <v>0</v>
      </c>
      <c r="W99" s="277">
        <v>0</v>
      </c>
      <c r="X99" s="277">
        <v>0</v>
      </c>
      <c r="Y99" s="277">
        <v>0</v>
      </c>
      <c r="Z99" s="277">
        <v>0</v>
      </c>
      <c r="AA99" s="277">
        <v>0</v>
      </c>
      <c r="AB99" s="276">
        <v>2020</v>
      </c>
    </row>
    <row r="100" spans="1:28" s="6" customFormat="1" ht="35.25" x14ac:dyDescent="0.5">
      <c r="A100" s="6">
        <v>1</v>
      </c>
      <c r="B100" s="135">
        <f>SUBTOTAL(103,$A$7:A100)</f>
        <v>92</v>
      </c>
      <c r="C100" s="279" t="s">
        <v>2004</v>
      </c>
      <c r="D100" s="271">
        <v>478936.86</v>
      </c>
      <c r="E100" s="277">
        <v>0</v>
      </c>
      <c r="F100" s="277">
        <v>0</v>
      </c>
      <c r="G100" s="277">
        <v>0</v>
      </c>
      <c r="H100" s="277">
        <v>0</v>
      </c>
      <c r="I100" s="277">
        <v>0</v>
      </c>
      <c r="J100" s="277">
        <v>0</v>
      </c>
      <c r="K100" s="278">
        <v>0</v>
      </c>
      <c r="L100" s="277">
        <v>0</v>
      </c>
      <c r="M100" s="277">
        <v>0</v>
      </c>
      <c r="N100" s="277">
        <v>0</v>
      </c>
      <c r="O100" s="277">
        <v>478936.86</v>
      </c>
      <c r="P100" s="277">
        <v>0</v>
      </c>
      <c r="Q100" s="277">
        <v>0</v>
      </c>
      <c r="R100" s="277">
        <v>0</v>
      </c>
      <c r="S100" s="277">
        <v>0</v>
      </c>
      <c r="T100" s="277">
        <v>0</v>
      </c>
      <c r="U100" s="277">
        <v>0</v>
      </c>
      <c r="V100" s="277">
        <v>0</v>
      </c>
      <c r="W100" s="277">
        <v>0</v>
      </c>
      <c r="X100" s="277">
        <v>0</v>
      </c>
      <c r="Y100" s="277">
        <v>0</v>
      </c>
      <c r="Z100" s="277">
        <v>0</v>
      </c>
      <c r="AA100" s="277">
        <v>0</v>
      </c>
      <c r="AB100" s="276">
        <v>2020</v>
      </c>
    </row>
    <row r="101" spans="1:28" s="6" customFormat="1" ht="35.25" x14ac:dyDescent="0.5">
      <c r="A101" s="6">
        <v>1</v>
      </c>
      <c r="B101" s="135">
        <f>SUBTOTAL(103,$A$7:A101)</f>
        <v>93</v>
      </c>
      <c r="C101" s="279" t="s">
        <v>2005</v>
      </c>
      <c r="D101" s="271">
        <v>2071816</v>
      </c>
      <c r="E101" s="277">
        <v>0</v>
      </c>
      <c r="F101" s="277">
        <v>0</v>
      </c>
      <c r="G101" s="277">
        <v>0</v>
      </c>
      <c r="H101" s="277">
        <v>0</v>
      </c>
      <c r="I101" s="277">
        <v>0</v>
      </c>
      <c r="J101" s="277">
        <v>0</v>
      </c>
      <c r="K101" s="278">
        <v>1</v>
      </c>
      <c r="L101" s="277">
        <v>2071816</v>
      </c>
      <c r="M101" s="277">
        <v>0</v>
      </c>
      <c r="N101" s="277">
        <v>0</v>
      </c>
      <c r="O101" s="277">
        <v>0</v>
      </c>
      <c r="P101" s="277">
        <v>0</v>
      </c>
      <c r="Q101" s="277">
        <v>0</v>
      </c>
      <c r="R101" s="277">
        <v>0</v>
      </c>
      <c r="S101" s="277">
        <v>0</v>
      </c>
      <c r="T101" s="277">
        <v>0</v>
      </c>
      <c r="U101" s="277">
        <v>0</v>
      </c>
      <c r="V101" s="277">
        <v>0</v>
      </c>
      <c r="W101" s="277">
        <v>0</v>
      </c>
      <c r="X101" s="277">
        <v>0</v>
      </c>
      <c r="Y101" s="277">
        <v>0</v>
      </c>
      <c r="Z101" s="277">
        <v>0</v>
      </c>
      <c r="AA101" s="277">
        <v>0</v>
      </c>
      <c r="AB101" s="276">
        <v>2020</v>
      </c>
    </row>
    <row r="102" spans="1:28" s="6" customFormat="1" ht="35.25" x14ac:dyDescent="0.5">
      <c r="A102" s="6">
        <v>1</v>
      </c>
      <c r="B102" s="135">
        <f>SUBTOTAL(103,$A$7:A102)</f>
        <v>94</v>
      </c>
      <c r="C102" s="279" t="s">
        <v>2006</v>
      </c>
      <c r="D102" s="271">
        <v>137165.94</v>
      </c>
      <c r="E102" s="277">
        <v>0</v>
      </c>
      <c r="F102" s="277">
        <v>0</v>
      </c>
      <c r="G102" s="277">
        <v>0</v>
      </c>
      <c r="H102" s="277">
        <v>0</v>
      </c>
      <c r="I102" s="277">
        <v>0</v>
      </c>
      <c r="J102" s="277">
        <v>0</v>
      </c>
      <c r="K102" s="278">
        <v>0</v>
      </c>
      <c r="L102" s="277">
        <v>0</v>
      </c>
      <c r="M102" s="277">
        <v>0</v>
      </c>
      <c r="N102" s="277">
        <v>0</v>
      </c>
      <c r="O102" s="277">
        <v>137165.94</v>
      </c>
      <c r="P102" s="277">
        <v>0</v>
      </c>
      <c r="Q102" s="277">
        <v>0</v>
      </c>
      <c r="R102" s="277">
        <v>0</v>
      </c>
      <c r="S102" s="277">
        <v>0</v>
      </c>
      <c r="T102" s="277">
        <v>0</v>
      </c>
      <c r="U102" s="277">
        <v>0</v>
      </c>
      <c r="V102" s="277">
        <v>0</v>
      </c>
      <c r="W102" s="277">
        <v>0</v>
      </c>
      <c r="X102" s="277">
        <v>0</v>
      </c>
      <c r="Y102" s="277">
        <v>0</v>
      </c>
      <c r="Z102" s="277">
        <v>0</v>
      </c>
      <c r="AA102" s="277">
        <v>0</v>
      </c>
      <c r="AB102" s="276">
        <v>2020</v>
      </c>
    </row>
    <row r="103" spans="1:28" s="6" customFormat="1" ht="35.25" x14ac:dyDescent="0.5">
      <c r="A103" s="6">
        <v>1</v>
      </c>
      <c r="B103" s="135">
        <f>SUBTOTAL(103,$A$7:A103)</f>
        <v>95</v>
      </c>
      <c r="C103" s="279" t="s">
        <v>2007</v>
      </c>
      <c r="D103" s="271">
        <v>455847</v>
      </c>
      <c r="E103" s="277">
        <v>0</v>
      </c>
      <c r="F103" s="277">
        <v>0</v>
      </c>
      <c r="G103" s="277">
        <v>0</v>
      </c>
      <c r="H103" s="277">
        <v>0</v>
      </c>
      <c r="I103" s="277">
        <v>0</v>
      </c>
      <c r="J103" s="277">
        <v>0</v>
      </c>
      <c r="K103" s="278">
        <v>0</v>
      </c>
      <c r="L103" s="277">
        <v>0</v>
      </c>
      <c r="M103" s="277">
        <v>0</v>
      </c>
      <c r="N103" s="277">
        <v>455847</v>
      </c>
      <c r="O103" s="277">
        <v>0</v>
      </c>
      <c r="P103" s="277">
        <v>0</v>
      </c>
      <c r="Q103" s="277">
        <v>0</v>
      </c>
      <c r="R103" s="277">
        <v>0</v>
      </c>
      <c r="S103" s="277">
        <v>0</v>
      </c>
      <c r="T103" s="277">
        <v>0</v>
      </c>
      <c r="U103" s="277">
        <v>0</v>
      </c>
      <c r="V103" s="277">
        <v>0</v>
      </c>
      <c r="W103" s="277">
        <v>0</v>
      </c>
      <c r="X103" s="277">
        <v>0</v>
      </c>
      <c r="Y103" s="277">
        <v>0</v>
      </c>
      <c r="Z103" s="277">
        <v>0</v>
      </c>
      <c r="AA103" s="277">
        <v>0</v>
      </c>
      <c r="AB103" s="276">
        <v>2020</v>
      </c>
    </row>
    <row r="104" spans="1:28" s="6" customFormat="1" ht="35.25" x14ac:dyDescent="0.5">
      <c r="A104" s="6">
        <v>1</v>
      </c>
      <c r="B104" s="135">
        <f>SUBTOTAL(103,$A$7:A104)</f>
        <v>96</v>
      </c>
      <c r="C104" s="279" t="s">
        <v>2008</v>
      </c>
      <c r="D104" s="271">
        <v>1902802</v>
      </c>
      <c r="E104" s="277">
        <v>0</v>
      </c>
      <c r="F104" s="277">
        <v>0</v>
      </c>
      <c r="G104" s="277">
        <v>0</v>
      </c>
      <c r="H104" s="277">
        <v>0</v>
      </c>
      <c r="I104" s="277">
        <v>0</v>
      </c>
      <c r="J104" s="277">
        <v>0</v>
      </c>
      <c r="K104" s="278">
        <v>0</v>
      </c>
      <c r="L104" s="277">
        <v>0</v>
      </c>
      <c r="M104" s="277">
        <v>0</v>
      </c>
      <c r="N104" s="277">
        <v>0</v>
      </c>
      <c r="O104" s="277">
        <v>1902802</v>
      </c>
      <c r="P104" s="277">
        <v>0</v>
      </c>
      <c r="Q104" s="277">
        <v>0</v>
      </c>
      <c r="R104" s="277">
        <v>0</v>
      </c>
      <c r="S104" s="277">
        <v>0</v>
      </c>
      <c r="T104" s="277">
        <v>0</v>
      </c>
      <c r="U104" s="277">
        <v>0</v>
      </c>
      <c r="V104" s="277">
        <v>0</v>
      </c>
      <c r="W104" s="277">
        <v>0</v>
      </c>
      <c r="X104" s="277">
        <v>0</v>
      </c>
      <c r="Y104" s="277">
        <v>0</v>
      </c>
      <c r="Z104" s="277">
        <v>0</v>
      </c>
      <c r="AA104" s="277">
        <v>0</v>
      </c>
      <c r="AB104" s="276">
        <v>2020</v>
      </c>
    </row>
    <row r="105" spans="1:28" s="6" customFormat="1" ht="35.25" x14ac:dyDescent="0.5">
      <c r="A105" s="6">
        <v>1</v>
      </c>
      <c r="B105" s="135">
        <f>SUBTOTAL(103,$A$7:A105)</f>
        <v>97</v>
      </c>
      <c r="C105" s="270" t="s">
        <v>2009</v>
      </c>
      <c r="D105" s="271">
        <f t="shared" ref="D105:D168" si="4">E105+F105+G105+H105+I105+J105+L105+M105+N105+O105+P105+Q105+R105+S105+T105+U105+V105+W105+X105+Y105+Z105+AA105</f>
        <v>625651.6</v>
      </c>
      <c r="E105" s="274">
        <v>0</v>
      </c>
      <c r="F105" s="274">
        <v>0</v>
      </c>
      <c r="G105" s="274">
        <v>0</v>
      </c>
      <c r="H105" s="274">
        <v>0</v>
      </c>
      <c r="I105" s="274">
        <v>0</v>
      </c>
      <c r="J105" s="274">
        <v>0</v>
      </c>
      <c r="K105" s="275">
        <v>0</v>
      </c>
      <c r="L105" s="274">
        <v>0</v>
      </c>
      <c r="M105" s="274">
        <v>625651.6</v>
      </c>
      <c r="N105" s="274">
        <v>0</v>
      </c>
      <c r="O105" s="274">
        <v>0</v>
      </c>
      <c r="P105" s="274">
        <v>0</v>
      </c>
      <c r="Q105" s="274">
        <v>0</v>
      </c>
      <c r="R105" s="274">
        <v>0</v>
      </c>
      <c r="S105" s="274">
        <v>0</v>
      </c>
      <c r="T105" s="274">
        <v>0</v>
      </c>
      <c r="U105" s="274">
        <v>0</v>
      </c>
      <c r="V105" s="274">
        <v>0</v>
      </c>
      <c r="W105" s="274">
        <v>0</v>
      </c>
      <c r="X105" s="274">
        <v>0</v>
      </c>
      <c r="Y105" s="274">
        <v>0</v>
      </c>
      <c r="Z105" s="274">
        <v>0</v>
      </c>
      <c r="AA105" s="274">
        <v>0</v>
      </c>
      <c r="AB105" s="276">
        <v>2020</v>
      </c>
    </row>
    <row r="106" spans="1:28" s="6" customFormat="1" ht="35.25" x14ac:dyDescent="0.5">
      <c r="A106" s="6">
        <v>1</v>
      </c>
      <c r="B106" s="135">
        <f>SUBTOTAL(103,$A$7:A106)</f>
        <v>98</v>
      </c>
      <c r="C106" s="270" t="s">
        <v>2010</v>
      </c>
      <c r="D106" s="271">
        <f t="shared" si="4"/>
        <v>791665.1</v>
      </c>
      <c r="E106" s="274">
        <v>96000</v>
      </c>
      <c r="F106" s="274">
        <v>0</v>
      </c>
      <c r="G106" s="274">
        <v>152312</v>
      </c>
      <c r="H106" s="274">
        <v>0</v>
      </c>
      <c r="I106" s="274">
        <v>0</v>
      </c>
      <c r="J106" s="274">
        <v>0</v>
      </c>
      <c r="K106" s="275">
        <v>1</v>
      </c>
      <c r="L106" s="274">
        <v>24353.1</v>
      </c>
      <c r="M106" s="274">
        <v>0</v>
      </c>
      <c r="N106" s="274">
        <v>0</v>
      </c>
      <c r="O106" s="274">
        <v>519000</v>
      </c>
      <c r="P106" s="274">
        <v>0</v>
      </c>
      <c r="Q106" s="274">
        <v>0</v>
      </c>
      <c r="R106" s="274">
        <v>0</v>
      </c>
      <c r="S106" s="274">
        <v>0</v>
      </c>
      <c r="T106" s="274">
        <v>0</v>
      </c>
      <c r="U106" s="274">
        <v>0</v>
      </c>
      <c r="V106" s="274">
        <v>0</v>
      </c>
      <c r="W106" s="274">
        <v>0</v>
      </c>
      <c r="X106" s="274">
        <v>0</v>
      </c>
      <c r="Y106" s="274">
        <v>0</v>
      </c>
      <c r="Z106" s="274">
        <v>0</v>
      </c>
      <c r="AA106" s="274">
        <v>0</v>
      </c>
      <c r="AB106" s="276">
        <v>2020</v>
      </c>
    </row>
    <row r="107" spans="1:28" s="6" customFormat="1" ht="35.25" x14ac:dyDescent="0.5">
      <c r="A107" s="6">
        <v>1</v>
      </c>
      <c r="B107" s="135">
        <f>SUBTOTAL(103,$A$7:A107)</f>
        <v>99</v>
      </c>
      <c r="C107" s="270" t="s">
        <v>2011</v>
      </c>
      <c r="D107" s="271">
        <f t="shared" si="4"/>
        <v>279192.32000000001</v>
      </c>
      <c r="E107" s="274">
        <v>0</v>
      </c>
      <c r="F107" s="274">
        <v>0</v>
      </c>
      <c r="G107" s="274">
        <v>0</v>
      </c>
      <c r="H107" s="274">
        <v>0</v>
      </c>
      <c r="I107" s="274">
        <v>0</v>
      </c>
      <c r="J107" s="274">
        <v>0</v>
      </c>
      <c r="K107" s="275">
        <v>0</v>
      </c>
      <c r="L107" s="274">
        <v>0</v>
      </c>
      <c r="M107" s="274">
        <v>0</v>
      </c>
      <c r="N107" s="274">
        <v>0</v>
      </c>
      <c r="O107" s="274">
        <v>279192.32000000001</v>
      </c>
      <c r="P107" s="274">
        <v>0</v>
      </c>
      <c r="Q107" s="274">
        <v>0</v>
      </c>
      <c r="R107" s="274">
        <v>0</v>
      </c>
      <c r="S107" s="274">
        <v>0</v>
      </c>
      <c r="T107" s="274">
        <v>0</v>
      </c>
      <c r="U107" s="274">
        <v>0</v>
      </c>
      <c r="V107" s="274">
        <v>0</v>
      </c>
      <c r="W107" s="274">
        <v>0</v>
      </c>
      <c r="X107" s="274">
        <v>0</v>
      </c>
      <c r="Y107" s="274">
        <v>0</v>
      </c>
      <c r="Z107" s="274">
        <v>0</v>
      </c>
      <c r="AA107" s="274">
        <v>0</v>
      </c>
      <c r="AB107" s="276">
        <v>2020</v>
      </c>
    </row>
    <row r="108" spans="1:28" s="6" customFormat="1" ht="35.25" x14ac:dyDescent="0.5">
      <c r="A108" s="6">
        <v>1</v>
      </c>
      <c r="B108" s="135">
        <f>SUBTOTAL(103,$A$7:A108)</f>
        <v>100</v>
      </c>
      <c r="C108" s="270" t="s">
        <v>2012</v>
      </c>
      <c r="D108" s="271">
        <f t="shared" si="4"/>
        <v>170090</v>
      </c>
      <c r="E108" s="274">
        <v>0</v>
      </c>
      <c r="F108" s="274">
        <v>0</v>
      </c>
      <c r="G108" s="274">
        <v>0</v>
      </c>
      <c r="H108" s="274">
        <v>0</v>
      </c>
      <c r="I108" s="274">
        <v>0</v>
      </c>
      <c r="J108" s="274">
        <v>0</v>
      </c>
      <c r="K108" s="275">
        <v>0</v>
      </c>
      <c r="L108" s="274">
        <v>0</v>
      </c>
      <c r="M108" s="274">
        <v>0</v>
      </c>
      <c r="N108" s="274">
        <v>170090</v>
      </c>
      <c r="O108" s="274">
        <v>0</v>
      </c>
      <c r="P108" s="274">
        <v>0</v>
      </c>
      <c r="Q108" s="274">
        <v>0</v>
      </c>
      <c r="R108" s="274">
        <v>0</v>
      </c>
      <c r="S108" s="274">
        <v>0</v>
      </c>
      <c r="T108" s="274">
        <v>0</v>
      </c>
      <c r="U108" s="274">
        <v>0</v>
      </c>
      <c r="V108" s="274">
        <v>0</v>
      </c>
      <c r="W108" s="274">
        <v>0</v>
      </c>
      <c r="X108" s="274">
        <v>0</v>
      </c>
      <c r="Y108" s="274">
        <v>0</v>
      </c>
      <c r="Z108" s="274">
        <v>0</v>
      </c>
      <c r="AA108" s="274">
        <v>0</v>
      </c>
      <c r="AB108" s="276">
        <v>2020</v>
      </c>
    </row>
    <row r="109" spans="1:28" s="6" customFormat="1" ht="35.25" x14ac:dyDescent="0.5">
      <c r="A109" s="6">
        <v>1</v>
      </c>
      <c r="B109" s="135">
        <f>SUBTOTAL(103,$A$7:A109)</f>
        <v>101</v>
      </c>
      <c r="C109" s="270" t="s">
        <v>2013</v>
      </c>
      <c r="D109" s="271">
        <f t="shared" si="4"/>
        <v>902421</v>
      </c>
      <c r="E109" s="274">
        <v>0</v>
      </c>
      <c r="F109" s="274">
        <v>0</v>
      </c>
      <c r="G109" s="274">
        <v>0</v>
      </c>
      <c r="H109" s="274">
        <v>0</v>
      </c>
      <c r="I109" s="274">
        <v>0</v>
      </c>
      <c r="J109" s="274">
        <v>0</v>
      </c>
      <c r="K109" s="275">
        <v>0</v>
      </c>
      <c r="L109" s="274">
        <v>0</v>
      </c>
      <c r="M109" s="274">
        <v>863636</v>
      </c>
      <c r="N109" s="274">
        <v>0</v>
      </c>
      <c r="O109" s="274">
        <v>38785</v>
      </c>
      <c r="P109" s="274">
        <v>0</v>
      </c>
      <c r="Q109" s="274">
        <v>0</v>
      </c>
      <c r="R109" s="274">
        <v>0</v>
      </c>
      <c r="S109" s="274">
        <v>0</v>
      </c>
      <c r="T109" s="274">
        <v>0</v>
      </c>
      <c r="U109" s="274">
        <v>0</v>
      </c>
      <c r="V109" s="274">
        <v>0</v>
      </c>
      <c r="W109" s="274">
        <v>0</v>
      </c>
      <c r="X109" s="274">
        <v>0</v>
      </c>
      <c r="Y109" s="274">
        <v>0</v>
      </c>
      <c r="Z109" s="274">
        <v>0</v>
      </c>
      <c r="AA109" s="274">
        <v>0</v>
      </c>
      <c r="AB109" s="276">
        <v>2020</v>
      </c>
    </row>
    <row r="110" spans="1:28" s="6" customFormat="1" ht="35.25" x14ac:dyDescent="0.5">
      <c r="A110" s="6">
        <v>1</v>
      </c>
      <c r="B110" s="135">
        <f>SUBTOTAL(103,$A$7:A110)</f>
        <v>102</v>
      </c>
      <c r="C110" s="270" t="s">
        <v>2014</v>
      </c>
      <c r="D110" s="271">
        <f t="shared" si="4"/>
        <v>277962</v>
      </c>
      <c r="E110" s="274">
        <v>0</v>
      </c>
      <c r="F110" s="274">
        <v>0</v>
      </c>
      <c r="G110" s="274">
        <v>0</v>
      </c>
      <c r="H110" s="274">
        <v>0</v>
      </c>
      <c r="I110" s="274">
        <v>0</v>
      </c>
      <c r="J110" s="274">
        <v>0</v>
      </c>
      <c r="K110" s="275">
        <v>0</v>
      </c>
      <c r="L110" s="274">
        <v>0</v>
      </c>
      <c r="M110" s="274">
        <v>0</v>
      </c>
      <c r="N110" s="274">
        <v>0</v>
      </c>
      <c r="O110" s="274">
        <v>277962</v>
      </c>
      <c r="P110" s="274">
        <v>0</v>
      </c>
      <c r="Q110" s="274">
        <v>0</v>
      </c>
      <c r="R110" s="274">
        <v>0</v>
      </c>
      <c r="S110" s="274">
        <v>0</v>
      </c>
      <c r="T110" s="274">
        <v>0</v>
      </c>
      <c r="U110" s="274">
        <v>0</v>
      </c>
      <c r="V110" s="274">
        <v>0</v>
      </c>
      <c r="W110" s="274">
        <v>0</v>
      </c>
      <c r="X110" s="274">
        <v>0</v>
      </c>
      <c r="Y110" s="274">
        <v>0</v>
      </c>
      <c r="Z110" s="274">
        <v>0</v>
      </c>
      <c r="AA110" s="274">
        <v>0</v>
      </c>
      <c r="AB110" s="276">
        <v>2020</v>
      </c>
    </row>
    <row r="111" spans="1:28" s="6" customFormat="1" ht="35.25" x14ac:dyDescent="0.5">
      <c r="A111" s="6">
        <v>1</v>
      </c>
      <c r="B111" s="135">
        <f>SUBTOTAL(103,$A$7:A111)</f>
        <v>103</v>
      </c>
      <c r="C111" s="270" t="s">
        <v>2015</v>
      </c>
      <c r="D111" s="271">
        <f t="shared" si="4"/>
        <v>167576.1</v>
      </c>
      <c r="E111" s="274">
        <v>0</v>
      </c>
      <c r="F111" s="274">
        <v>0</v>
      </c>
      <c r="G111" s="274">
        <v>0</v>
      </c>
      <c r="H111" s="274">
        <v>0</v>
      </c>
      <c r="I111" s="274">
        <v>0</v>
      </c>
      <c r="J111" s="274">
        <v>0</v>
      </c>
      <c r="K111" s="275">
        <v>0</v>
      </c>
      <c r="L111" s="274">
        <v>0</v>
      </c>
      <c r="M111" s="274">
        <v>167576.1</v>
      </c>
      <c r="N111" s="274">
        <v>0</v>
      </c>
      <c r="O111" s="274">
        <v>0</v>
      </c>
      <c r="P111" s="274">
        <v>0</v>
      </c>
      <c r="Q111" s="274">
        <v>0</v>
      </c>
      <c r="R111" s="274">
        <v>0</v>
      </c>
      <c r="S111" s="274">
        <v>0</v>
      </c>
      <c r="T111" s="274">
        <v>0</v>
      </c>
      <c r="U111" s="274">
        <v>0</v>
      </c>
      <c r="V111" s="274">
        <v>0</v>
      </c>
      <c r="W111" s="274">
        <v>0</v>
      </c>
      <c r="X111" s="274">
        <v>0</v>
      </c>
      <c r="Y111" s="274">
        <v>0</v>
      </c>
      <c r="Z111" s="274">
        <v>0</v>
      </c>
      <c r="AA111" s="274">
        <v>0</v>
      </c>
      <c r="AB111" s="276">
        <v>2020</v>
      </c>
    </row>
    <row r="112" spans="1:28" s="6" customFormat="1" ht="35.25" x14ac:dyDescent="0.5">
      <c r="A112" s="6">
        <v>1</v>
      </c>
      <c r="B112" s="135">
        <f>SUBTOTAL(103,$A$7:A112)</f>
        <v>104</v>
      </c>
      <c r="C112" s="270" t="s">
        <v>2016</v>
      </c>
      <c r="D112" s="271">
        <f t="shared" si="4"/>
        <v>1903864.69</v>
      </c>
      <c r="E112" s="274">
        <v>0</v>
      </c>
      <c r="F112" s="274">
        <v>0</v>
      </c>
      <c r="G112" s="274">
        <v>0</v>
      </c>
      <c r="H112" s="274">
        <v>0</v>
      </c>
      <c r="I112" s="274">
        <v>0</v>
      </c>
      <c r="J112" s="274">
        <v>0</v>
      </c>
      <c r="K112" s="275">
        <v>0</v>
      </c>
      <c r="L112" s="274">
        <v>0</v>
      </c>
      <c r="M112" s="274">
        <v>1903864.69</v>
      </c>
      <c r="N112" s="274">
        <v>0</v>
      </c>
      <c r="O112" s="274">
        <v>0</v>
      </c>
      <c r="P112" s="274">
        <v>0</v>
      </c>
      <c r="Q112" s="274">
        <v>0</v>
      </c>
      <c r="R112" s="274">
        <v>0</v>
      </c>
      <c r="S112" s="274">
        <v>0</v>
      </c>
      <c r="T112" s="274">
        <v>0</v>
      </c>
      <c r="U112" s="274">
        <v>0</v>
      </c>
      <c r="V112" s="274">
        <v>0</v>
      </c>
      <c r="W112" s="274">
        <v>0</v>
      </c>
      <c r="X112" s="274">
        <v>0</v>
      </c>
      <c r="Y112" s="274">
        <v>0</v>
      </c>
      <c r="Z112" s="274">
        <v>0</v>
      </c>
      <c r="AA112" s="274">
        <v>0</v>
      </c>
      <c r="AB112" s="276">
        <v>2020</v>
      </c>
    </row>
    <row r="113" spans="1:28" s="6" customFormat="1" ht="35.25" x14ac:dyDescent="0.5">
      <c r="A113" s="6">
        <v>1</v>
      </c>
      <c r="B113" s="135">
        <f>SUBTOTAL(103,$A$7:A113)</f>
        <v>105</v>
      </c>
      <c r="C113" s="270" t="s">
        <v>2017</v>
      </c>
      <c r="D113" s="271">
        <f t="shared" si="4"/>
        <v>169304</v>
      </c>
      <c r="E113" s="274">
        <v>0</v>
      </c>
      <c r="F113" s="274">
        <v>0</v>
      </c>
      <c r="G113" s="274">
        <v>0</v>
      </c>
      <c r="H113" s="274">
        <v>0</v>
      </c>
      <c r="I113" s="274">
        <v>0</v>
      </c>
      <c r="J113" s="274">
        <v>0</v>
      </c>
      <c r="K113" s="275">
        <v>0</v>
      </c>
      <c r="L113" s="274">
        <v>0</v>
      </c>
      <c r="M113" s="274">
        <v>0</v>
      </c>
      <c r="N113" s="274">
        <v>0</v>
      </c>
      <c r="O113" s="274">
        <v>169304</v>
      </c>
      <c r="P113" s="274">
        <v>0</v>
      </c>
      <c r="Q113" s="274">
        <v>0</v>
      </c>
      <c r="R113" s="274">
        <v>0</v>
      </c>
      <c r="S113" s="274">
        <v>0</v>
      </c>
      <c r="T113" s="274">
        <v>0</v>
      </c>
      <c r="U113" s="274">
        <v>0</v>
      </c>
      <c r="V113" s="274">
        <v>0</v>
      </c>
      <c r="W113" s="274">
        <v>0</v>
      </c>
      <c r="X113" s="274">
        <v>0</v>
      </c>
      <c r="Y113" s="274">
        <v>0</v>
      </c>
      <c r="Z113" s="274">
        <v>0</v>
      </c>
      <c r="AA113" s="274">
        <v>0</v>
      </c>
      <c r="AB113" s="276">
        <v>2020</v>
      </c>
    </row>
    <row r="114" spans="1:28" s="6" customFormat="1" ht="35.25" x14ac:dyDescent="0.5">
      <c r="A114" s="6">
        <v>1</v>
      </c>
      <c r="B114" s="135">
        <f>SUBTOTAL(103,$A$7:A114)</f>
        <v>106</v>
      </c>
      <c r="C114" s="270" t="s">
        <v>2018</v>
      </c>
      <c r="D114" s="271">
        <f t="shared" si="4"/>
        <v>312022</v>
      </c>
      <c r="E114" s="274">
        <v>0</v>
      </c>
      <c r="F114" s="274">
        <v>0</v>
      </c>
      <c r="G114" s="274">
        <v>0</v>
      </c>
      <c r="H114" s="274">
        <v>0</v>
      </c>
      <c r="I114" s="274">
        <v>0</v>
      </c>
      <c r="J114" s="274">
        <v>0</v>
      </c>
      <c r="K114" s="275">
        <v>0</v>
      </c>
      <c r="L114" s="274">
        <v>0</v>
      </c>
      <c r="M114" s="274">
        <v>0</v>
      </c>
      <c r="N114" s="274">
        <v>0</v>
      </c>
      <c r="O114" s="274">
        <v>312022</v>
      </c>
      <c r="P114" s="274">
        <v>0</v>
      </c>
      <c r="Q114" s="274">
        <v>0</v>
      </c>
      <c r="R114" s="274">
        <v>0</v>
      </c>
      <c r="S114" s="274">
        <v>0</v>
      </c>
      <c r="T114" s="274">
        <v>0</v>
      </c>
      <c r="U114" s="274">
        <v>0</v>
      </c>
      <c r="V114" s="274">
        <v>0</v>
      </c>
      <c r="W114" s="274">
        <v>0</v>
      </c>
      <c r="X114" s="274">
        <v>0</v>
      </c>
      <c r="Y114" s="274">
        <v>0</v>
      </c>
      <c r="Z114" s="274">
        <v>0</v>
      </c>
      <c r="AA114" s="274">
        <v>0</v>
      </c>
      <c r="AB114" s="276">
        <v>2020</v>
      </c>
    </row>
    <row r="115" spans="1:28" s="6" customFormat="1" ht="35.25" x14ac:dyDescent="0.5">
      <c r="A115" s="6">
        <v>1</v>
      </c>
      <c r="B115" s="135">
        <f>SUBTOTAL(103,$A$7:A115)</f>
        <v>107</v>
      </c>
      <c r="C115" s="270" t="s">
        <v>2019</v>
      </c>
      <c r="D115" s="271">
        <f t="shared" si="4"/>
        <v>600000</v>
      </c>
      <c r="E115" s="274">
        <v>0</v>
      </c>
      <c r="F115" s="274">
        <v>0</v>
      </c>
      <c r="G115" s="274">
        <v>0</v>
      </c>
      <c r="H115" s="274">
        <v>0</v>
      </c>
      <c r="I115" s="274">
        <v>0</v>
      </c>
      <c r="J115" s="274">
        <v>0</v>
      </c>
      <c r="K115" s="275">
        <v>1</v>
      </c>
      <c r="L115" s="274">
        <v>600000</v>
      </c>
      <c r="M115" s="274">
        <v>0</v>
      </c>
      <c r="N115" s="274">
        <v>0</v>
      </c>
      <c r="O115" s="274">
        <v>0</v>
      </c>
      <c r="P115" s="274">
        <v>0</v>
      </c>
      <c r="Q115" s="274">
        <v>0</v>
      </c>
      <c r="R115" s="274">
        <v>0</v>
      </c>
      <c r="S115" s="274">
        <v>0</v>
      </c>
      <c r="T115" s="274">
        <v>0</v>
      </c>
      <c r="U115" s="274">
        <v>0</v>
      </c>
      <c r="V115" s="274">
        <v>0</v>
      </c>
      <c r="W115" s="274">
        <v>0</v>
      </c>
      <c r="X115" s="274">
        <v>0</v>
      </c>
      <c r="Y115" s="274">
        <v>0</v>
      </c>
      <c r="Z115" s="274">
        <v>0</v>
      </c>
      <c r="AA115" s="274">
        <v>0</v>
      </c>
      <c r="AB115" s="276">
        <v>2020</v>
      </c>
    </row>
    <row r="116" spans="1:28" s="6" customFormat="1" ht="35.25" x14ac:dyDescent="0.5">
      <c r="A116" s="6">
        <v>1</v>
      </c>
      <c r="B116" s="135">
        <f>SUBTOTAL(103,$A$7:A116)</f>
        <v>108</v>
      </c>
      <c r="C116" s="270" t="s">
        <v>2020</v>
      </c>
      <c r="D116" s="271">
        <f t="shared" si="4"/>
        <v>75000</v>
      </c>
      <c r="E116" s="274">
        <v>0</v>
      </c>
      <c r="F116" s="274">
        <v>0</v>
      </c>
      <c r="G116" s="274">
        <v>0</v>
      </c>
      <c r="H116" s="274">
        <v>0</v>
      </c>
      <c r="I116" s="274">
        <v>0</v>
      </c>
      <c r="J116" s="274">
        <v>0</v>
      </c>
      <c r="K116" s="275">
        <v>0</v>
      </c>
      <c r="L116" s="274">
        <v>0</v>
      </c>
      <c r="M116" s="274">
        <v>0</v>
      </c>
      <c r="N116" s="274">
        <v>75000</v>
      </c>
      <c r="O116" s="274">
        <v>0</v>
      </c>
      <c r="P116" s="274">
        <v>0</v>
      </c>
      <c r="Q116" s="274">
        <v>0</v>
      </c>
      <c r="R116" s="274">
        <v>0</v>
      </c>
      <c r="S116" s="274">
        <v>0</v>
      </c>
      <c r="T116" s="274">
        <v>0</v>
      </c>
      <c r="U116" s="274">
        <v>0</v>
      </c>
      <c r="V116" s="274">
        <v>0</v>
      </c>
      <c r="W116" s="274">
        <v>0</v>
      </c>
      <c r="X116" s="274">
        <v>0</v>
      </c>
      <c r="Y116" s="274">
        <v>0</v>
      </c>
      <c r="Z116" s="274">
        <v>0</v>
      </c>
      <c r="AA116" s="274">
        <v>0</v>
      </c>
      <c r="AB116" s="276">
        <v>2020</v>
      </c>
    </row>
    <row r="117" spans="1:28" s="6" customFormat="1" ht="35.25" x14ac:dyDescent="0.5">
      <c r="A117" s="6">
        <v>1</v>
      </c>
      <c r="B117" s="135">
        <f>SUBTOTAL(103,$A$7:A117)</f>
        <v>109</v>
      </c>
      <c r="C117" s="270" t="s">
        <v>1753</v>
      </c>
      <c r="D117" s="271">
        <f t="shared" si="4"/>
        <v>893000</v>
      </c>
      <c r="E117" s="274">
        <v>0</v>
      </c>
      <c r="F117" s="274">
        <v>0</v>
      </c>
      <c r="G117" s="274">
        <v>0</v>
      </c>
      <c r="H117" s="274">
        <v>0</v>
      </c>
      <c r="I117" s="274">
        <v>0</v>
      </c>
      <c r="J117" s="274">
        <v>0</v>
      </c>
      <c r="K117" s="275">
        <v>2</v>
      </c>
      <c r="L117" s="274">
        <v>893000</v>
      </c>
      <c r="M117" s="274">
        <v>0</v>
      </c>
      <c r="N117" s="274">
        <v>0</v>
      </c>
      <c r="O117" s="274">
        <v>0</v>
      </c>
      <c r="P117" s="274">
        <v>0</v>
      </c>
      <c r="Q117" s="274">
        <v>0</v>
      </c>
      <c r="R117" s="274">
        <v>0</v>
      </c>
      <c r="S117" s="274">
        <v>0</v>
      </c>
      <c r="T117" s="274">
        <v>0</v>
      </c>
      <c r="U117" s="274">
        <v>0</v>
      </c>
      <c r="V117" s="274">
        <v>0</v>
      </c>
      <c r="W117" s="274">
        <v>0</v>
      </c>
      <c r="X117" s="274">
        <v>0</v>
      </c>
      <c r="Y117" s="274">
        <v>0</v>
      </c>
      <c r="Z117" s="274">
        <v>0</v>
      </c>
      <c r="AA117" s="274">
        <v>0</v>
      </c>
      <c r="AB117" s="276">
        <v>2020</v>
      </c>
    </row>
    <row r="118" spans="1:28" s="6" customFormat="1" ht="35.25" x14ac:dyDescent="0.5">
      <c r="A118" s="6">
        <v>1</v>
      </c>
      <c r="B118" s="135">
        <f>SUBTOTAL(103,$A$7:A118)</f>
        <v>110</v>
      </c>
      <c r="C118" s="270" t="s">
        <v>2021</v>
      </c>
      <c r="D118" s="271">
        <f t="shared" si="4"/>
        <v>527974.02</v>
      </c>
      <c r="E118" s="274">
        <v>0</v>
      </c>
      <c r="F118" s="274">
        <v>0</v>
      </c>
      <c r="G118" s="274">
        <v>0</v>
      </c>
      <c r="H118" s="274">
        <v>0</v>
      </c>
      <c r="I118" s="274">
        <v>0</v>
      </c>
      <c r="J118" s="274">
        <v>0</v>
      </c>
      <c r="K118" s="275">
        <v>0</v>
      </c>
      <c r="L118" s="274">
        <v>0</v>
      </c>
      <c r="M118" s="274">
        <v>0</v>
      </c>
      <c r="N118" s="274">
        <v>0</v>
      </c>
      <c r="O118" s="274">
        <v>239435.8</v>
      </c>
      <c r="P118" s="274">
        <v>288538.21999999997</v>
      </c>
      <c r="Q118" s="274">
        <v>0</v>
      </c>
      <c r="R118" s="274">
        <v>0</v>
      </c>
      <c r="S118" s="274">
        <v>0</v>
      </c>
      <c r="T118" s="274">
        <v>0</v>
      </c>
      <c r="U118" s="274">
        <v>0</v>
      </c>
      <c r="V118" s="274">
        <v>0</v>
      </c>
      <c r="W118" s="274">
        <v>0</v>
      </c>
      <c r="X118" s="274">
        <v>0</v>
      </c>
      <c r="Y118" s="274">
        <v>0</v>
      </c>
      <c r="Z118" s="274">
        <v>0</v>
      </c>
      <c r="AA118" s="274">
        <v>0</v>
      </c>
      <c r="AB118" s="276">
        <v>2020</v>
      </c>
    </row>
    <row r="119" spans="1:28" s="6" customFormat="1" ht="35.25" x14ac:dyDescent="0.5">
      <c r="A119" s="6">
        <v>1</v>
      </c>
      <c r="B119" s="135">
        <f>SUBTOTAL(103,$A$7:A119)</f>
        <v>111</v>
      </c>
      <c r="C119" s="270" t="s">
        <v>2022</v>
      </c>
      <c r="D119" s="271">
        <f t="shared" si="4"/>
        <v>382402.8</v>
      </c>
      <c r="E119" s="274">
        <v>0</v>
      </c>
      <c r="F119" s="274">
        <v>0</v>
      </c>
      <c r="G119" s="274">
        <v>0</v>
      </c>
      <c r="H119" s="274">
        <v>0</v>
      </c>
      <c r="I119" s="274">
        <v>0</v>
      </c>
      <c r="J119" s="274">
        <v>0</v>
      </c>
      <c r="K119" s="275">
        <v>0</v>
      </c>
      <c r="L119" s="274">
        <v>0</v>
      </c>
      <c r="M119" s="274">
        <v>185479.3</v>
      </c>
      <c r="N119" s="274">
        <v>0</v>
      </c>
      <c r="O119" s="274">
        <v>196923.5</v>
      </c>
      <c r="P119" s="274">
        <v>0</v>
      </c>
      <c r="Q119" s="274">
        <v>0</v>
      </c>
      <c r="R119" s="274">
        <v>0</v>
      </c>
      <c r="S119" s="274">
        <v>0</v>
      </c>
      <c r="T119" s="274">
        <v>0</v>
      </c>
      <c r="U119" s="274">
        <v>0</v>
      </c>
      <c r="V119" s="274">
        <v>0</v>
      </c>
      <c r="W119" s="274">
        <v>0</v>
      </c>
      <c r="X119" s="274">
        <v>0</v>
      </c>
      <c r="Y119" s="274">
        <v>0</v>
      </c>
      <c r="Z119" s="274">
        <v>0</v>
      </c>
      <c r="AA119" s="274">
        <v>0</v>
      </c>
      <c r="AB119" s="276">
        <v>2020</v>
      </c>
    </row>
    <row r="120" spans="1:28" s="6" customFormat="1" ht="35.25" x14ac:dyDescent="0.5">
      <c r="A120" s="6">
        <v>1</v>
      </c>
      <c r="B120" s="135">
        <f>SUBTOTAL(103,$A$7:A120)</f>
        <v>112</v>
      </c>
      <c r="C120" s="270" t="s">
        <v>2023</v>
      </c>
      <c r="D120" s="271">
        <f t="shared" si="4"/>
        <v>1134646</v>
      </c>
      <c r="E120" s="274">
        <v>0</v>
      </c>
      <c r="F120" s="274">
        <v>0</v>
      </c>
      <c r="G120" s="274">
        <v>0</v>
      </c>
      <c r="H120" s="274">
        <v>0</v>
      </c>
      <c r="I120" s="274">
        <v>0</v>
      </c>
      <c r="J120" s="274">
        <v>0</v>
      </c>
      <c r="K120" s="275">
        <v>0</v>
      </c>
      <c r="L120" s="274">
        <v>0</v>
      </c>
      <c r="M120" s="274">
        <v>1134646</v>
      </c>
      <c r="N120" s="274">
        <v>0</v>
      </c>
      <c r="O120" s="274">
        <v>0</v>
      </c>
      <c r="P120" s="274">
        <v>0</v>
      </c>
      <c r="Q120" s="274">
        <v>0</v>
      </c>
      <c r="R120" s="274">
        <v>0</v>
      </c>
      <c r="S120" s="274">
        <v>0</v>
      </c>
      <c r="T120" s="274">
        <v>0</v>
      </c>
      <c r="U120" s="274">
        <v>0</v>
      </c>
      <c r="V120" s="274">
        <v>0</v>
      </c>
      <c r="W120" s="274">
        <v>0</v>
      </c>
      <c r="X120" s="274">
        <v>0</v>
      </c>
      <c r="Y120" s="274">
        <v>0</v>
      </c>
      <c r="Z120" s="274">
        <v>0</v>
      </c>
      <c r="AA120" s="274">
        <v>0</v>
      </c>
      <c r="AB120" s="276">
        <v>2020</v>
      </c>
    </row>
    <row r="121" spans="1:28" s="6" customFormat="1" ht="35.25" x14ac:dyDescent="0.5">
      <c r="A121" s="6">
        <v>1</v>
      </c>
      <c r="B121" s="135">
        <f>SUBTOTAL(103,$A$7:A121)</f>
        <v>113</v>
      </c>
      <c r="C121" s="270" t="s">
        <v>2024</v>
      </c>
      <c r="D121" s="271">
        <f t="shared" si="4"/>
        <v>437000</v>
      </c>
      <c r="E121" s="274">
        <v>0</v>
      </c>
      <c r="F121" s="274">
        <v>0</v>
      </c>
      <c r="G121" s="274">
        <v>0</v>
      </c>
      <c r="H121" s="274">
        <v>0</v>
      </c>
      <c r="I121" s="274">
        <v>0</v>
      </c>
      <c r="J121" s="274">
        <v>0</v>
      </c>
      <c r="K121" s="275">
        <v>0</v>
      </c>
      <c r="L121" s="274">
        <v>0</v>
      </c>
      <c r="M121" s="274">
        <v>0</v>
      </c>
      <c r="N121" s="274">
        <v>0</v>
      </c>
      <c r="O121" s="274">
        <v>437000</v>
      </c>
      <c r="P121" s="274">
        <v>0</v>
      </c>
      <c r="Q121" s="274">
        <v>0</v>
      </c>
      <c r="R121" s="274">
        <v>0</v>
      </c>
      <c r="S121" s="274">
        <v>0</v>
      </c>
      <c r="T121" s="274">
        <v>0</v>
      </c>
      <c r="U121" s="274">
        <v>0</v>
      </c>
      <c r="V121" s="274">
        <v>0</v>
      </c>
      <c r="W121" s="274">
        <v>0</v>
      </c>
      <c r="X121" s="274">
        <v>0</v>
      </c>
      <c r="Y121" s="274">
        <v>0</v>
      </c>
      <c r="Z121" s="274">
        <v>0</v>
      </c>
      <c r="AA121" s="274">
        <v>0</v>
      </c>
      <c r="AB121" s="276">
        <v>2020</v>
      </c>
    </row>
    <row r="122" spans="1:28" s="6" customFormat="1" ht="35.25" x14ac:dyDescent="0.5">
      <c r="A122" s="6">
        <v>1</v>
      </c>
      <c r="B122" s="135">
        <f>SUBTOTAL(103,$A$7:A122)</f>
        <v>114</v>
      </c>
      <c r="C122" s="270" t="s">
        <v>2025</v>
      </c>
      <c r="D122" s="271">
        <f t="shared" si="4"/>
        <v>38391.56</v>
      </c>
      <c r="E122" s="274">
        <v>0</v>
      </c>
      <c r="F122" s="274">
        <v>0</v>
      </c>
      <c r="G122" s="274">
        <v>38391.56</v>
      </c>
      <c r="H122" s="274">
        <v>0</v>
      </c>
      <c r="I122" s="274">
        <v>0</v>
      </c>
      <c r="J122" s="274">
        <v>0</v>
      </c>
      <c r="K122" s="275">
        <v>0</v>
      </c>
      <c r="L122" s="274">
        <v>0</v>
      </c>
      <c r="M122" s="274">
        <v>0</v>
      </c>
      <c r="N122" s="274">
        <v>0</v>
      </c>
      <c r="O122" s="274">
        <v>0</v>
      </c>
      <c r="P122" s="274">
        <v>0</v>
      </c>
      <c r="Q122" s="274">
        <v>0</v>
      </c>
      <c r="R122" s="274">
        <v>0</v>
      </c>
      <c r="S122" s="274">
        <v>0</v>
      </c>
      <c r="T122" s="274">
        <v>0</v>
      </c>
      <c r="U122" s="274">
        <v>0</v>
      </c>
      <c r="V122" s="274">
        <v>0</v>
      </c>
      <c r="W122" s="274">
        <v>0</v>
      </c>
      <c r="X122" s="274">
        <v>0</v>
      </c>
      <c r="Y122" s="274">
        <v>0</v>
      </c>
      <c r="Z122" s="274">
        <v>0</v>
      </c>
      <c r="AA122" s="274">
        <v>0</v>
      </c>
      <c r="AB122" s="276">
        <v>2020</v>
      </c>
    </row>
    <row r="123" spans="1:28" s="6" customFormat="1" ht="35.25" x14ac:dyDescent="0.5">
      <c r="A123" s="6">
        <v>1</v>
      </c>
      <c r="B123" s="135">
        <f>SUBTOTAL(103,$A$7:A123)</f>
        <v>115</v>
      </c>
      <c r="C123" s="270" t="s">
        <v>2026</v>
      </c>
      <c r="D123" s="271">
        <f t="shared" si="4"/>
        <v>95313.83</v>
      </c>
      <c r="E123" s="274">
        <v>95313.83</v>
      </c>
      <c r="F123" s="274">
        <v>0</v>
      </c>
      <c r="G123" s="274">
        <v>0</v>
      </c>
      <c r="H123" s="274">
        <v>0</v>
      </c>
      <c r="I123" s="274">
        <v>0</v>
      </c>
      <c r="J123" s="274">
        <v>0</v>
      </c>
      <c r="K123" s="275">
        <v>0</v>
      </c>
      <c r="L123" s="274">
        <v>0</v>
      </c>
      <c r="M123" s="274">
        <v>0</v>
      </c>
      <c r="N123" s="274">
        <v>0</v>
      </c>
      <c r="O123" s="274">
        <v>0</v>
      </c>
      <c r="P123" s="274">
        <v>0</v>
      </c>
      <c r="Q123" s="274">
        <v>0</v>
      </c>
      <c r="R123" s="274">
        <v>0</v>
      </c>
      <c r="S123" s="274">
        <v>0</v>
      </c>
      <c r="T123" s="274">
        <v>0</v>
      </c>
      <c r="U123" s="274">
        <v>0</v>
      </c>
      <c r="V123" s="274">
        <v>0</v>
      </c>
      <c r="W123" s="274">
        <v>0</v>
      </c>
      <c r="X123" s="274">
        <v>0</v>
      </c>
      <c r="Y123" s="274">
        <v>0</v>
      </c>
      <c r="Z123" s="274">
        <v>0</v>
      </c>
      <c r="AA123" s="274">
        <v>0</v>
      </c>
      <c r="AB123" s="276">
        <v>2020</v>
      </c>
    </row>
    <row r="124" spans="1:28" s="6" customFormat="1" ht="35.25" x14ac:dyDescent="0.5">
      <c r="A124" s="6">
        <v>1</v>
      </c>
      <c r="B124" s="135">
        <f>SUBTOTAL(103,$A$7:A124)</f>
        <v>116</v>
      </c>
      <c r="C124" s="270" t="s">
        <v>2027</v>
      </c>
      <c r="D124" s="271">
        <f t="shared" si="4"/>
        <v>723801.52</v>
      </c>
      <c r="E124" s="274">
        <v>0</v>
      </c>
      <c r="F124" s="274">
        <v>0</v>
      </c>
      <c r="G124" s="274">
        <v>174204</v>
      </c>
      <c r="H124" s="274">
        <v>0</v>
      </c>
      <c r="I124" s="274">
        <v>0</v>
      </c>
      <c r="J124" s="274">
        <v>0</v>
      </c>
      <c r="K124" s="275">
        <v>0</v>
      </c>
      <c r="L124" s="274">
        <v>0</v>
      </c>
      <c r="M124" s="274">
        <v>549597.52</v>
      </c>
      <c r="N124" s="274">
        <v>0</v>
      </c>
      <c r="O124" s="274">
        <v>0</v>
      </c>
      <c r="P124" s="274">
        <v>0</v>
      </c>
      <c r="Q124" s="274">
        <v>0</v>
      </c>
      <c r="R124" s="274">
        <v>0</v>
      </c>
      <c r="S124" s="274">
        <v>0</v>
      </c>
      <c r="T124" s="274">
        <v>0</v>
      </c>
      <c r="U124" s="274">
        <v>0</v>
      </c>
      <c r="V124" s="274">
        <v>0</v>
      </c>
      <c r="W124" s="274">
        <v>0</v>
      </c>
      <c r="X124" s="274">
        <v>0</v>
      </c>
      <c r="Y124" s="274">
        <v>0</v>
      </c>
      <c r="Z124" s="274">
        <v>0</v>
      </c>
      <c r="AA124" s="274">
        <v>0</v>
      </c>
      <c r="AB124" s="276">
        <v>2020</v>
      </c>
    </row>
    <row r="125" spans="1:28" s="6" customFormat="1" ht="35.25" x14ac:dyDescent="0.5">
      <c r="A125" s="6">
        <v>1</v>
      </c>
      <c r="B125" s="135">
        <f>SUBTOTAL(103,$A$7:A125)</f>
        <v>117</v>
      </c>
      <c r="C125" s="270" t="s">
        <v>2028</v>
      </c>
      <c r="D125" s="271">
        <f>E125+F125+G125+H125+I125+J125+L125+M125+N125+O125+P125+Q125+R125+S125+T125+U125+V125+W125+X125+Y125+Z125+AA125</f>
        <v>460900</v>
      </c>
      <c r="E125" s="274">
        <v>0</v>
      </c>
      <c r="F125" s="274">
        <v>0</v>
      </c>
      <c r="G125" s="274">
        <v>0</v>
      </c>
      <c r="H125" s="274">
        <v>0</v>
      </c>
      <c r="I125" s="274">
        <v>0</v>
      </c>
      <c r="J125" s="274">
        <v>0</v>
      </c>
      <c r="K125" s="275">
        <v>0</v>
      </c>
      <c r="L125" s="274">
        <v>0</v>
      </c>
      <c r="M125" s="274">
        <v>0</v>
      </c>
      <c r="N125" s="274">
        <v>0</v>
      </c>
      <c r="O125" s="274">
        <v>460900</v>
      </c>
      <c r="P125" s="274">
        <v>0</v>
      </c>
      <c r="Q125" s="274">
        <v>0</v>
      </c>
      <c r="R125" s="274">
        <v>0</v>
      </c>
      <c r="S125" s="274">
        <v>0</v>
      </c>
      <c r="T125" s="274">
        <v>0</v>
      </c>
      <c r="U125" s="274">
        <v>0</v>
      </c>
      <c r="V125" s="274">
        <v>0</v>
      </c>
      <c r="W125" s="274">
        <v>0</v>
      </c>
      <c r="X125" s="274">
        <v>0</v>
      </c>
      <c r="Y125" s="274">
        <v>0</v>
      </c>
      <c r="Z125" s="274">
        <v>0</v>
      </c>
      <c r="AA125" s="274">
        <v>0</v>
      </c>
      <c r="AB125" s="276">
        <v>2020</v>
      </c>
    </row>
    <row r="126" spans="1:28" s="6" customFormat="1" ht="35.25" x14ac:dyDescent="0.5">
      <c r="A126" s="6">
        <v>1</v>
      </c>
      <c r="B126" s="135">
        <f>SUBTOTAL(103,$A$7:A126)</f>
        <v>118</v>
      </c>
      <c r="C126" s="270" t="s">
        <v>2029</v>
      </c>
      <c r="D126" s="271">
        <f t="shared" si="4"/>
        <v>154035</v>
      </c>
      <c r="E126" s="274">
        <v>0</v>
      </c>
      <c r="F126" s="274">
        <v>0</v>
      </c>
      <c r="G126" s="274">
        <v>0</v>
      </c>
      <c r="H126" s="274">
        <v>0</v>
      </c>
      <c r="I126" s="274">
        <v>15485</v>
      </c>
      <c r="J126" s="274">
        <v>0</v>
      </c>
      <c r="K126" s="275">
        <v>0</v>
      </c>
      <c r="L126" s="274">
        <v>0</v>
      </c>
      <c r="M126" s="274">
        <v>138550</v>
      </c>
      <c r="N126" s="274">
        <v>0</v>
      </c>
      <c r="O126" s="274">
        <v>0</v>
      </c>
      <c r="P126" s="274">
        <v>0</v>
      </c>
      <c r="Q126" s="274">
        <v>0</v>
      </c>
      <c r="R126" s="274">
        <v>0</v>
      </c>
      <c r="S126" s="274">
        <v>0</v>
      </c>
      <c r="T126" s="274">
        <v>0</v>
      </c>
      <c r="U126" s="274">
        <v>0</v>
      </c>
      <c r="V126" s="274">
        <v>0</v>
      </c>
      <c r="W126" s="274">
        <v>0</v>
      </c>
      <c r="X126" s="274">
        <v>0</v>
      </c>
      <c r="Y126" s="274">
        <v>0</v>
      </c>
      <c r="Z126" s="274">
        <v>0</v>
      </c>
      <c r="AA126" s="274">
        <v>0</v>
      </c>
      <c r="AB126" s="276">
        <v>2020</v>
      </c>
    </row>
    <row r="127" spans="1:28" s="6" customFormat="1" ht="35.25" x14ac:dyDescent="0.5">
      <c r="A127" s="6">
        <v>1</v>
      </c>
      <c r="B127" s="135">
        <f>SUBTOTAL(103,$A$7:A127)</f>
        <v>119</v>
      </c>
      <c r="C127" s="270" t="s">
        <v>2030</v>
      </c>
      <c r="D127" s="271">
        <f t="shared" si="4"/>
        <v>329973</v>
      </c>
      <c r="E127" s="274">
        <v>0</v>
      </c>
      <c r="F127" s="274">
        <v>0</v>
      </c>
      <c r="G127" s="274">
        <v>0</v>
      </c>
      <c r="H127" s="274">
        <v>0</v>
      </c>
      <c r="I127" s="274">
        <v>0</v>
      </c>
      <c r="J127" s="274">
        <v>0</v>
      </c>
      <c r="K127" s="275">
        <v>0</v>
      </c>
      <c r="L127" s="274">
        <v>0</v>
      </c>
      <c r="M127" s="274">
        <v>0</v>
      </c>
      <c r="N127" s="274">
        <v>0</v>
      </c>
      <c r="O127" s="274">
        <v>329973</v>
      </c>
      <c r="P127" s="274">
        <v>0</v>
      </c>
      <c r="Q127" s="274">
        <v>0</v>
      </c>
      <c r="R127" s="274">
        <v>0</v>
      </c>
      <c r="S127" s="274">
        <v>0</v>
      </c>
      <c r="T127" s="274">
        <v>0</v>
      </c>
      <c r="U127" s="274">
        <v>0</v>
      </c>
      <c r="V127" s="274">
        <v>0</v>
      </c>
      <c r="W127" s="274">
        <v>0</v>
      </c>
      <c r="X127" s="274">
        <v>0</v>
      </c>
      <c r="Y127" s="274">
        <v>0</v>
      </c>
      <c r="Z127" s="274">
        <v>0</v>
      </c>
      <c r="AA127" s="274">
        <v>0</v>
      </c>
      <c r="AB127" s="276">
        <v>2020</v>
      </c>
    </row>
    <row r="128" spans="1:28" s="6" customFormat="1" ht="35.25" x14ac:dyDescent="0.5">
      <c r="A128" s="6">
        <v>1</v>
      </c>
      <c r="B128" s="135">
        <f>SUBTOTAL(103,$A$7:A128)</f>
        <v>120</v>
      </c>
      <c r="C128" s="270" t="s">
        <v>2031</v>
      </c>
      <c r="D128" s="271">
        <f t="shared" si="4"/>
        <v>500731.2</v>
      </c>
      <c r="E128" s="274">
        <v>0</v>
      </c>
      <c r="F128" s="274">
        <v>0</v>
      </c>
      <c r="G128" s="274">
        <v>0</v>
      </c>
      <c r="H128" s="274">
        <v>0</v>
      </c>
      <c r="I128" s="274">
        <v>0</v>
      </c>
      <c r="J128" s="274">
        <v>0</v>
      </c>
      <c r="K128" s="275">
        <v>0</v>
      </c>
      <c r="L128" s="274">
        <v>0</v>
      </c>
      <c r="M128" s="274">
        <v>0</v>
      </c>
      <c r="N128" s="274">
        <v>0</v>
      </c>
      <c r="O128" s="274">
        <v>0</v>
      </c>
      <c r="P128" s="274">
        <v>500731.2</v>
      </c>
      <c r="Q128" s="274">
        <v>0</v>
      </c>
      <c r="R128" s="274">
        <v>0</v>
      </c>
      <c r="S128" s="274">
        <v>0</v>
      </c>
      <c r="T128" s="274">
        <v>0</v>
      </c>
      <c r="U128" s="274">
        <v>0</v>
      </c>
      <c r="V128" s="274">
        <v>0</v>
      </c>
      <c r="W128" s="274">
        <v>0</v>
      </c>
      <c r="X128" s="274">
        <v>0</v>
      </c>
      <c r="Y128" s="274">
        <v>0</v>
      </c>
      <c r="Z128" s="274">
        <v>0</v>
      </c>
      <c r="AA128" s="274">
        <v>0</v>
      </c>
      <c r="AB128" s="276">
        <v>2020</v>
      </c>
    </row>
    <row r="129" spans="1:28" s="6" customFormat="1" ht="35.25" x14ac:dyDescent="0.5">
      <c r="A129" s="6">
        <v>1</v>
      </c>
      <c r="B129" s="135">
        <f>SUBTOTAL(103,$A$7:A129)</f>
        <v>121</v>
      </c>
      <c r="C129" s="270" t="s">
        <v>2032</v>
      </c>
      <c r="D129" s="271">
        <f t="shared" si="4"/>
        <v>169106</v>
      </c>
      <c r="E129" s="274">
        <v>0</v>
      </c>
      <c r="F129" s="274">
        <v>0</v>
      </c>
      <c r="G129" s="274">
        <v>0</v>
      </c>
      <c r="H129" s="274">
        <v>0</v>
      </c>
      <c r="I129" s="274">
        <v>0</v>
      </c>
      <c r="J129" s="274">
        <v>0</v>
      </c>
      <c r="K129" s="275">
        <v>0</v>
      </c>
      <c r="L129" s="274">
        <v>0</v>
      </c>
      <c r="M129" s="274">
        <v>169106</v>
      </c>
      <c r="N129" s="274">
        <v>0</v>
      </c>
      <c r="O129" s="274">
        <v>0</v>
      </c>
      <c r="P129" s="274">
        <v>0</v>
      </c>
      <c r="Q129" s="274">
        <v>0</v>
      </c>
      <c r="R129" s="274">
        <v>0</v>
      </c>
      <c r="S129" s="274">
        <v>0</v>
      </c>
      <c r="T129" s="274">
        <v>0</v>
      </c>
      <c r="U129" s="274">
        <v>0</v>
      </c>
      <c r="V129" s="274">
        <v>0</v>
      </c>
      <c r="W129" s="274">
        <v>0</v>
      </c>
      <c r="X129" s="274">
        <v>0</v>
      </c>
      <c r="Y129" s="274">
        <v>0</v>
      </c>
      <c r="Z129" s="274">
        <v>0</v>
      </c>
      <c r="AA129" s="274">
        <v>0</v>
      </c>
      <c r="AB129" s="276">
        <v>2020</v>
      </c>
    </row>
    <row r="130" spans="1:28" s="6" customFormat="1" ht="35.25" x14ac:dyDescent="0.5">
      <c r="A130" s="6">
        <v>1</v>
      </c>
      <c r="B130" s="135">
        <f>SUBTOTAL(103,$A$7:A130)</f>
        <v>122</v>
      </c>
      <c r="C130" s="270" t="s">
        <v>1782</v>
      </c>
      <c r="D130" s="271">
        <f t="shared" si="4"/>
        <v>221206.97</v>
      </c>
      <c r="E130" s="274">
        <v>0</v>
      </c>
      <c r="F130" s="274">
        <v>159320.97</v>
      </c>
      <c r="G130" s="274">
        <v>0</v>
      </c>
      <c r="H130" s="274">
        <v>0</v>
      </c>
      <c r="I130" s="274">
        <v>0</v>
      </c>
      <c r="J130" s="274">
        <v>0</v>
      </c>
      <c r="K130" s="275">
        <v>2</v>
      </c>
      <c r="L130" s="274">
        <v>61886</v>
      </c>
      <c r="M130" s="274">
        <v>0</v>
      </c>
      <c r="N130" s="274">
        <v>0</v>
      </c>
      <c r="O130" s="274">
        <v>0</v>
      </c>
      <c r="P130" s="274">
        <v>0</v>
      </c>
      <c r="Q130" s="274">
        <v>0</v>
      </c>
      <c r="R130" s="274">
        <v>0</v>
      </c>
      <c r="S130" s="274">
        <v>0</v>
      </c>
      <c r="T130" s="274">
        <v>0</v>
      </c>
      <c r="U130" s="274">
        <v>0</v>
      </c>
      <c r="V130" s="274">
        <v>0</v>
      </c>
      <c r="W130" s="274">
        <v>0</v>
      </c>
      <c r="X130" s="274">
        <v>0</v>
      </c>
      <c r="Y130" s="274">
        <v>0</v>
      </c>
      <c r="Z130" s="274">
        <v>0</v>
      </c>
      <c r="AA130" s="274">
        <v>0</v>
      </c>
      <c r="AB130" s="276">
        <v>2020</v>
      </c>
    </row>
    <row r="131" spans="1:28" s="6" customFormat="1" ht="35.25" x14ac:dyDescent="0.5">
      <c r="A131" s="6">
        <v>1</v>
      </c>
      <c r="B131" s="135">
        <f>SUBTOTAL(103,$A$7:A131)</f>
        <v>123</v>
      </c>
      <c r="C131" s="270" t="s">
        <v>2033</v>
      </c>
      <c r="D131" s="271">
        <f t="shared" si="4"/>
        <v>329415.37</v>
      </c>
      <c r="E131" s="274">
        <v>0</v>
      </c>
      <c r="F131" s="274">
        <v>0</v>
      </c>
      <c r="G131" s="274">
        <v>329415.37</v>
      </c>
      <c r="H131" s="274">
        <v>0</v>
      </c>
      <c r="I131" s="274">
        <v>0</v>
      </c>
      <c r="J131" s="274">
        <v>0</v>
      </c>
      <c r="K131" s="275">
        <v>0</v>
      </c>
      <c r="L131" s="274">
        <v>0</v>
      </c>
      <c r="M131" s="274">
        <v>0</v>
      </c>
      <c r="N131" s="274">
        <v>0</v>
      </c>
      <c r="O131" s="274">
        <v>0</v>
      </c>
      <c r="P131" s="274">
        <v>0</v>
      </c>
      <c r="Q131" s="274">
        <v>0</v>
      </c>
      <c r="R131" s="274">
        <v>0</v>
      </c>
      <c r="S131" s="274">
        <v>0</v>
      </c>
      <c r="T131" s="274">
        <v>0</v>
      </c>
      <c r="U131" s="274">
        <v>0</v>
      </c>
      <c r="V131" s="274">
        <v>0</v>
      </c>
      <c r="W131" s="274">
        <v>0</v>
      </c>
      <c r="X131" s="274">
        <v>0</v>
      </c>
      <c r="Y131" s="274">
        <v>0</v>
      </c>
      <c r="Z131" s="274">
        <v>0</v>
      </c>
      <c r="AA131" s="274">
        <v>0</v>
      </c>
      <c r="AB131" s="276">
        <v>2020</v>
      </c>
    </row>
    <row r="132" spans="1:28" s="6" customFormat="1" ht="35.25" x14ac:dyDescent="0.5">
      <c r="A132" s="6">
        <v>1</v>
      </c>
      <c r="B132" s="135">
        <f>SUBTOTAL(103,$A$7:A132)</f>
        <v>124</v>
      </c>
      <c r="C132" s="270" t="s">
        <v>2034</v>
      </c>
      <c r="D132" s="271">
        <f t="shared" si="4"/>
        <v>354653</v>
      </c>
      <c r="E132" s="274">
        <v>177326.5</v>
      </c>
      <c r="F132" s="274">
        <v>177326.5</v>
      </c>
      <c r="G132" s="274">
        <v>0</v>
      </c>
      <c r="H132" s="274">
        <v>0</v>
      </c>
      <c r="I132" s="274">
        <v>0</v>
      </c>
      <c r="J132" s="274">
        <v>0</v>
      </c>
      <c r="K132" s="275">
        <v>0</v>
      </c>
      <c r="L132" s="274">
        <v>0</v>
      </c>
      <c r="M132" s="274">
        <v>0</v>
      </c>
      <c r="N132" s="274">
        <v>0</v>
      </c>
      <c r="O132" s="274">
        <v>0</v>
      </c>
      <c r="P132" s="274">
        <v>0</v>
      </c>
      <c r="Q132" s="274">
        <v>0</v>
      </c>
      <c r="R132" s="274">
        <v>0</v>
      </c>
      <c r="S132" s="274">
        <v>0</v>
      </c>
      <c r="T132" s="274">
        <v>0</v>
      </c>
      <c r="U132" s="274">
        <v>0</v>
      </c>
      <c r="V132" s="274">
        <v>0</v>
      </c>
      <c r="W132" s="274">
        <v>0</v>
      </c>
      <c r="X132" s="274">
        <v>0</v>
      </c>
      <c r="Y132" s="274">
        <v>0</v>
      </c>
      <c r="Z132" s="274">
        <v>0</v>
      </c>
      <c r="AA132" s="274">
        <v>0</v>
      </c>
      <c r="AB132" s="276">
        <v>2020</v>
      </c>
    </row>
    <row r="133" spans="1:28" s="6" customFormat="1" ht="35.25" x14ac:dyDescent="0.5">
      <c r="A133" s="6">
        <v>1</v>
      </c>
      <c r="B133" s="135">
        <f>SUBTOTAL(103,$A$7:A133)</f>
        <v>125</v>
      </c>
      <c r="C133" s="270" t="s">
        <v>2035</v>
      </c>
      <c r="D133" s="271">
        <f t="shared" si="4"/>
        <v>150000</v>
      </c>
      <c r="E133" s="274">
        <v>0</v>
      </c>
      <c r="F133" s="274">
        <v>0</v>
      </c>
      <c r="G133" s="274">
        <v>0</v>
      </c>
      <c r="H133" s="274">
        <v>0</v>
      </c>
      <c r="I133" s="274">
        <v>150000</v>
      </c>
      <c r="J133" s="274">
        <v>0</v>
      </c>
      <c r="K133" s="275">
        <v>0</v>
      </c>
      <c r="L133" s="274">
        <v>0</v>
      </c>
      <c r="M133" s="274">
        <v>0</v>
      </c>
      <c r="N133" s="274">
        <v>0</v>
      </c>
      <c r="O133" s="274">
        <v>0</v>
      </c>
      <c r="P133" s="274">
        <v>0</v>
      </c>
      <c r="Q133" s="274">
        <v>0</v>
      </c>
      <c r="R133" s="274">
        <v>0</v>
      </c>
      <c r="S133" s="274">
        <v>0</v>
      </c>
      <c r="T133" s="274">
        <v>0</v>
      </c>
      <c r="U133" s="274">
        <v>0</v>
      </c>
      <c r="V133" s="274">
        <v>0</v>
      </c>
      <c r="W133" s="274">
        <v>0</v>
      </c>
      <c r="X133" s="274">
        <v>0</v>
      </c>
      <c r="Y133" s="274">
        <v>0</v>
      </c>
      <c r="Z133" s="274">
        <v>0</v>
      </c>
      <c r="AA133" s="274">
        <v>0</v>
      </c>
      <c r="AB133" s="276">
        <v>2020</v>
      </c>
    </row>
    <row r="134" spans="1:28" s="6" customFormat="1" ht="35.25" x14ac:dyDescent="0.5">
      <c r="A134" s="6">
        <v>1</v>
      </c>
      <c r="B134" s="135">
        <f>SUBTOTAL(103,$A$7:A134)</f>
        <v>126</v>
      </c>
      <c r="C134" s="270" t="s">
        <v>2036</v>
      </c>
      <c r="D134" s="271">
        <f t="shared" si="4"/>
        <v>643266.46</v>
      </c>
      <c r="E134" s="274">
        <v>0</v>
      </c>
      <c r="F134" s="274">
        <v>0</v>
      </c>
      <c r="G134" s="274">
        <v>0</v>
      </c>
      <c r="H134" s="274">
        <v>0</v>
      </c>
      <c r="I134" s="274">
        <v>62413.85</v>
      </c>
      <c r="J134" s="274">
        <v>0</v>
      </c>
      <c r="K134" s="275">
        <v>0</v>
      </c>
      <c r="L134" s="274">
        <v>0</v>
      </c>
      <c r="M134" s="274">
        <v>580852.61</v>
      </c>
      <c r="N134" s="274">
        <v>0</v>
      </c>
      <c r="O134" s="274">
        <v>0</v>
      </c>
      <c r="P134" s="274">
        <v>0</v>
      </c>
      <c r="Q134" s="274">
        <v>0</v>
      </c>
      <c r="R134" s="274">
        <v>0</v>
      </c>
      <c r="S134" s="274">
        <v>0</v>
      </c>
      <c r="T134" s="274">
        <v>0</v>
      </c>
      <c r="U134" s="274">
        <v>0</v>
      </c>
      <c r="V134" s="274">
        <v>0</v>
      </c>
      <c r="W134" s="274">
        <v>0</v>
      </c>
      <c r="X134" s="274">
        <v>0</v>
      </c>
      <c r="Y134" s="274">
        <v>0</v>
      </c>
      <c r="Z134" s="274">
        <v>0</v>
      </c>
      <c r="AA134" s="274">
        <v>0</v>
      </c>
      <c r="AB134" s="276">
        <v>2020</v>
      </c>
    </row>
    <row r="135" spans="1:28" s="6" customFormat="1" ht="35.25" x14ac:dyDescent="0.5">
      <c r="A135" s="6">
        <v>1</v>
      </c>
      <c r="B135" s="135">
        <f>SUBTOTAL(103,$A$7:A135)</f>
        <v>127</v>
      </c>
      <c r="C135" s="270" t="s">
        <v>2037</v>
      </c>
      <c r="D135" s="271">
        <f t="shared" si="4"/>
        <v>254624</v>
      </c>
      <c r="E135" s="274">
        <v>0</v>
      </c>
      <c r="F135" s="274">
        <v>0</v>
      </c>
      <c r="G135" s="274">
        <v>254624</v>
      </c>
      <c r="H135" s="274">
        <v>0</v>
      </c>
      <c r="I135" s="274">
        <v>0</v>
      </c>
      <c r="J135" s="274">
        <v>0</v>
      </c>
      <c r="K135" s="275">
        <v>0</v>
      </c>
      <c r="L135" s="274">
        <v>0</v>
      </c>
      <c r="M135" s="274">
        <v>0</v>
      </c>
      <c r="N135" s="274">
        <v>0</v>
      </c>
      <c r="O135" s="274">
        <v>0</v>
      </c>
      <c r="P135" s="274">
        <v>0</v>
      </c>
      <c r="Q135" s="274">
        <v>0</v>
      </c>
      <c r="R135" s="274">
        <v>0</v>
      </c>
      <c r="S135" s="274">
        <v>0</v>
      </c>
      <c r="T135" s="274">
        <v>0</v>
      </c>
      <c r="U135" s="274">
        <v>0</v>
      </c>
      <c r="V135" s="274">
        <v>0</v>
      </c>
      <c r="W135" s="274">
        <v>0</v>
      </c>
      <c r="X135" s="274">
        <v>0</v>
      </c>
      <c r="Y135" s="274">
        <v>0</v>
      </c>
      <c r="Z135" s="274">
        <v>0</v>
      </c>
      <c r="AA135" s="274">
        <v>0</v>
      </c>
      <c r="AB135" s="276">
        <v>2020</v>
      </c>
    </row>
    <row r="136" spans="1:28" s="6" customFormat="1" ht="35.25" x14ac:dyDescent="0.5">
      <c r="A136" s="6">
        <v>1</v>
      </c>
      <c r="B136" s="135">
        <f>SUBTOTAL(103,$A$7:A136)</f>
        <v>128</v>
      </c>
      <c r="C136" s="270" t="s">
        <v>2038</v>
      </c>
      <c r="D136" s="271">
        <f t="shared" si="4"/>
        <v>735354</v>
      </c>
      <c r="E136" s="274">
        <v>0</v>
      </c>
      <c r="F136" s="274">
        <v>0</v>
      </c>
      <c r="G136" s="274">
        <v>0</v>
      </c>
      <c r="H136" s="274">
        <v>0</v>
      </c>
      <c r="I136" s="274">
        <v>0</v>
      </c>
      <c r="J136" s="274">
        <v>0</v>
      </c>
      <c r="K136" s="275">
        <v>1</v>
      </c>
      <c r="L136" s="274">
        <v>735354</v>
      </c>
      <c r="M136" s="274">
        <v>0</v>
      </c>
      <c r="N136" s="274">
        <v>0</v>
      </c>
      <c r="O136" s="274">
        <v>0</v>
      </c>
      <c r="P136" s="274">
        <v>0</v>
      </c>
      <c r="Q136" s="274">
        <v>0</v>
      </c>
      <c r="R136" s="274">
        <v>0</v>
      </c>
      <c r="S136" s="274">
        <v>0</v>
      </c>
      <c r="T136" s="274">
        <v>0</v>
      </c>
      <c r="U136" s="274">
        <v>0</v>
      </c>
      <c r="V136" s="274">
        <v>0</v>
      </c>
      <c r="W136" s="274">
        <v>0</v>
      </c>
      <c r="X136" s="274">
        <v>0</v>
      </c>
      <c r="Y136" s="274">
        <v>0</v>
      </c>
      <c r="Z136" s="274">
        <v>0</v>
      </c>
      <c r="AA136" s="274">
        <v>0</v>
      </c>
      <c r="AB136" s="276">
        <v>2020</v>
      </c>
    </row>
    <row r="137" spans="1:28" s="6" customFormat="1" ht="35.25" x14ac:dyDescent="0.5">
      <c r="A137" s="6">
        <v>1</v>
      </c>
      <c r="B137" s="135">
        <f>SUBTOTAL(103,$A$7:A137)</f>
        <v>129</v>
      </c>
      <c r="C137" s="270" t="s">
        <v>2039</v>
      </c>
      <c r="D137" s="271">
        <f t="shared" si="4"/>
        <v>259971</v>
      </c>
      <c r="E137" s="274">
        <v>0</v>
      </c>
      <c r="F137" s="274">
        <v>0</v>
      </c>
      <c r="G137" s="274">
        <v>0</v>
      </c>
      <c r="H137" s="274">
        <v>0</v>
      </c>
      <c r="I137" s="274">
        <v>0</v>
      </c>
      <c r="J137" s="274">
        <v>0</v>
      </c>
      <c r="K137" s="275">
        <v>0</v>
      </c>
      <c r="L137" s="274">
        <v>0</v>
      </c>
      <c r="M137" s="274">
        <v>0</v>
      </c>
      <c r="N137" s="274">
        <v>0</v>
      </c>
      <c r="O137" s="274">
        <v>259971</v>
      </c>
      <c r="P137" s="274">
        <v>0</v>
      </c>
      <c r="Q137" s="274">
        <v>0</v>
      </c>
      <c r="R137" s="274">
        <v>0</v>
      </c>
      <c r="S137" s="274">
        <v>0</v>
      </c>
      <c r="T137" s="274">
        <v>0</v>
      </c>
      <c r="U137" s="274">
        <v>0</v>
      </c>
      <c r="V137" s="274">
        <v>0</v>
      </c>
      <c r="W137" s="274">
        <v>0</v>
      </c>
      <c r="X137" s="274">
        <v>0</v>
      </c>
      <c r="Y137" s="274">
        <v>0</v>
      </c>
      <c r="Z137" s="274">
        <v>0</v>
      </c>
      <c r="AA137" s="274">
        <v>0</v>
      </c>
      <c r="AB137" s="276">
        <v>2020</v>
      </c>
    </row>
    <row r="138" spans="1:28" s="6" customFormat="1" ht="35.25" x14ac:dyDescent="0.5">
      <c r="A138" s="6">
        <v>1</v>
      </c>
      <c r="B138" s="135">
        <f>SUBTOTAL(103,$A$7:A138)</f>
        <v>130</v>
      </c>
      <c r="C138" s="270" t="s">
        <v>2040</v>
      </c>
      <c r="D138" s="271">
        <f t="shared" si="4"/>
        <v>682180.8</v>
      </c>
      <c r="E138" s="274">
        <v>0</v>
      </c>
      <c r="F138" s="274">
        <v>0</v>
      </c>
      <c r="G138" s="274">
        <v>0</v>
      </c>
      <c r="H138" s="274">
        <v>0</v>
      </c>
      <c r="I138" s="274">
        <v>0</v>
      </c>
      <c r="J138" s="274">
        <v>0</v>
      </c>
      <c r="K138" s="275">
        <v>0</v>
      </c>
      <c r="L138" s="274">
        <v>0</v>
      </c>
      <c r="M138" s="274">
        <v>0</v>
      </c>
      <c r="N138" s="274">
        <v>0</v>
      </c>
      <c r="O138" s="274">
        <v>682180.8</v>
      </c>
      <c r="P138" s="274">
        <v>0</v>
      </c>
      <c r="Q138" s="274">
        <v>0</v>
      </c>
      <c r="R138" s="274">
        <v>0</v>
      </c>
      <c r="S138" s="274">
        <v>0</v>
      </c>
      <c r="T138" s="274">
        <v>0</v>
      </c>
      <c r="U138" s="274">
        <v>0</v>
      </c>
      <c r="V138" s="274">
        <v>0</v>
      </c>
      <c r="W138" s="274">
        <v>0</v>
      </c>
      <c r="X138" s="274">
        <v>0</v>
      </c>
      <c r="Y138" s="274">
        <v>0</v>
      </c>
      <c r="Z138" s="274">
        <v>0</v>
      </c>
      <c r="AA138" s="274">
        <v>0</v>
      </c>
      <c r="AB138" s="276">
        <v>2020</v>
      </c>
    </row>
    <row r="139" spans="1:28" s="6" customFormat="1" ht="35.25" x14ac:dyDescent="0.5">
      <c r="A139" s="6">
        <v>1</v>
      </c>
      <c r="B139" s="135">
        <f>SUBTOTAL(103,$A$7:A139)</f>
        <v>131</v>
      </c>
      <c r="C139" s="270" t="s">
        <v>1760</v>
      </c>
      <c r="D139" s="271">
        <f t="shared" si="4"/>
        <v>7398819</v>
      </c>
      <c r="E139" s="274">
        <v>0</v>
      </c>
      <c r="F139" s="274">
        <v>0</v>
      </c>
      <c r="G139" s="274">
        <v>0</v>
      </c>
      <c r="H139" s="274">
        <v>0</v>
      </c>
      <c r="I139" s="274">
        <v>0</v>
      </c>
      <c r="J139" s="274">
        <v>0</v>
      </c>
      <c r="K139" s="275">
        <v>7</v>
      </c>
      <c r="L139" s="274">
        <v>1200000</v>
      </c>
      <c r="M139" s="274">
        <v>4954168</v>
      </c>
      <c r="N139" s="274">
        <v>0</v>
      </c>
      <c r="O139" s="274">
        <v>1244651</v>
      </c>
      <c r="P139" s="274">
        <v>0</v>
      </c>
      <c r="Q139" s="274">
        <v>0</v>
      </c>
      <c r="R139" s="274">
        <v>0</v>
      </c>
      <c r="S139" s="274">
        <v>0</v>
      </c>
      <c r="T139" s="274">
        <v>0</v>
      </c>
      <c r="U139" s="274">
        <v>0</v>
      </c>
      <c r="V139" s="274">
        <v>0</v>
      </c>
      <c r="W139" s="274">
        <v>0</v>
      </c>
      <c r="X139" s="274">
        <v>0</v>
      </c>
      <c r="Y139" s="274">
        <v>0</v>
      </c>
      <c r="Z139" s="274">
        <v>0</v>
      </c>
      <c r="AA139" s="274">
        <v>0</v>
      </c>
      <c r="AB139" s="276">
        <v>2020</v>
      </c>
    </row>
    <row r="140" spans="1:28" s="6" customFormat="1" ht="35.25" x14ac:dyDescent="0.5">
      <c r="A140" s="6">
        <v>1</v>
      </c>
      <c r="B140" s="135">
        <f>SUBTOTAL(103,$A$7:A140)</f>
        <v>132</v>
      </c>
      <c r="C140" s="270" t="s">
        <v>2041</v>
      </c>
      <c r="D140" s="271">
        <f t="shared" si="4"/>
        <v>1079600</v>
      </c>
      <c r="E140" s="274">
        <v>0</v>
      </c>
      <c r="F140" s="274">
        <v>0</v>
      </c>
      <c r="G140" s="274">
        <v>0</v>
      </c>
      <c r="H140" s="274">
        <v>0</v>
      </c>
      <c r="I140" s="274">
        <v>0</v>
      </c>
      <c r="J140" s="274">
        <v>0</v>
      </c>
      <c r="K140" s="275">
        <v>0</v>
      </c>
      <c r="L140" s="274">
        <v>0</v>
      </c>
      <c r="M140" s="274">
        <v>1079600</v>
      </c>
      <c r="N140" s="274">
        <v>0</v>
      </c>
      <c r="O140" s="274">
        <v>0</v>
      </c>
      <c r="P140" s="274">
        <v>0</v>
      </c>
      <c r="Q140" s="274">
        <v>0</v>
      </c>
      <c r="R140" s="274">
        <v>0</v>
      </c>
      <c r="S140" s="274">
        <v>0</v>
      </c>
      <c r="T140" s="274">
        <v>0</v>
      </c>
      <c r="U140" s="274">
        <v>0</v>
      </c>
      <c r="V140" s="274">
        <v>0</v>
      </c>
      <c r="W140" s="274">
        <v>0</v>
      </c>
      <c r="X140" s="274">
        <v>0</v>
      </c>
      <c r="Y140" s="274">
        <v>0</v>
      </c>
      <c r="Z140" s="274">
        <v>0</v>
      </c>
      <c r="AA140" s="274">
        <v>0</v>
      </c>
      <c r="AB140" s="276">
        <v>2020</v>
      </c>
    </row>
    <row r="141" spans="1:28" s="6" customFormat="1" ht="35.25" x14ac:dyDescent="0.5">
      <c r="A141" s="6">
        <v>1</v>
      </c>
      <c r="B141" s="135">
        <f>SUBTOTAL(103,$A$7:A141)</f>
        <v>133</v>
      </c>
      <c r="C141" s="270" t="s">
        <v>2042</v>
      </c>
      <c r="D141" s="271">
        <f t="shared" si="4"/>
        <v>285704</v>
      </c>
      <c r="E141" s="274">
        <v>0</v>
      </c>
      <c r="F141" s="274">
        <v>0</v>
      </c>
      <c r="G141" s="274">
        <v>0</v>
      </c>
      <c r="H141" s="274">
        <v>0</v>
      </c>
      <c r="I141" s="274">
        <v>0</v>
      </c>
      <c r="J141" s="274">
        <v>0</v>
      </c>
      <c r="K141" s="275">
        <v>0</v>
      </c>
      <c r="L141" s="274">
        <v>0</v>
      </c>
      <c r="M141" s="274">
        <v>0</v>
      </c>
      <c r="N141" s="274">
        <v>68000</v>
      </c>
      <c r="O141" s="274">
        <v>217704</v>
      </c>
      <c r="P141" s="274">
        <v>0</v>
      </c>
      <c r="Q141" s="274">
        <v>0</v>
      </c>
      <c r="R141" s="274">
        <v>0</v>
      </c>
      <c r="S141" s="274">
        <v>0</v>
      </c>
      <c r="T141" s="274">
        <v>0</v>
      </c>
      <c r="U141" s="274">
        <v>0</v>
      </c>
      <c r="V141" s="274">
        <v>0</v>
      </c>
      <c r="W141" s="274">
        <v>0</v>
      </c>
      <c r="X141" s="274">
        <v>0</v>
      </c>
      <c r="Y141" s="274">
        <v>0</v>
      </c>
      <c r="Z141" s="274">
        <v>0</v>
      </c>
      <c r="AA141" s="274">
        <v>0</v>
      </c>
      <c r="AB141" s="276">
        <v>2020</v>
      </c>
    </row>
    <row r="142" spans="1:28" s="6" customFormat="1" ht="35.25" x14ac:dyDescent="0.5">
      <c r="A142" s="6">
        <v>1</v>
      </c>
      <c r="B142" s="135">
        <f>SUBTOTAL(103,$A$7:A142)</f>
        <v>134</v>
      </c>
      <c r="C142" s="270" t="s">
        <v>2043</v>
      </c>
      <c r="D142" s="271">
        <f t="shared" si="4"/>
        <v>165037</v>
      </c>
      <c r="E142" s="274">
        <v>0</v>
      </c>
      <c r="F142" s="274">
        <v>165037</v>
      </c>
      <c r="G142" s="274">
        <v>0</v>
      </c>
      <c r="H142" s="274">
        <v>0</v>
      </c>
      <c r="I142" s="274">
        <v>0</v>
      </c>
      <c r="J142" s="274">
        <v>0</v>
      </c>
      <c r="K142" s="275">
        <v>0</v>
      </c>
      <c r="L142" s="274">
        <v>0</v>
      </c>
      <c r="M142" s="274">
        <v>0</v>
      </c>
      <c r="N142" s="274">
        <v>0</v>
      </c>
      <c r="O142" s="274">
        <v>0</v>
      </c>
      <c r="P142" s="274">
        <v>0</v>
      </c>
      <c r="Q142" s="274">
        <v>0</v>
      </c>
      <c r="R142" s="274">
        <v>0</v>
      </c>
      <c r="S142" s="274">
        <v>0</v>
      </c>
      <c r="T142" s="274">
        <v>0</v>
      </c>
      <c r="U142" s="274">
        <v>0</v>
      </c>
      <c r="V142" s="274">
        <v>0</v>
      </c>
      <c r="W142" s="274">
        <v>0</v>
      </c>
      <c r="X142" s="274">
        <v>0</v>
      </c>
      <c r="Y142" s="274">
        <v>0</v>
      </c>
      <c r="Z142" s="274">
        <v>0</v>
      </c>
      <c r="AA142" s="274">
        <v>0</v>
      </c>
      <c r="AB142" s="276">
        <v>2020</v>
      </c>
    </row>
    <row r="143" spans="1:28" s="6" customFormat="1" ht="35.25" x14ac:dyDescent="0.5">
      <c r="A143" s="6">
        <v>1</v>
      </c>
      <c r="B143" s="135">
        <f>SUBTOTAL(103,$A$7:A143)</f>
        <v>135</v>
      </c>
      <c r="C143" s="270" t="s">
        <v>2044</v>
      </c>
      <c r="D143" s="271">
        <f t="shared" si="4"/>
        <v>589000</v>
      </c>
      <c r="E143" s="274">
        <v>0</v>
      </c>
      <c r="F143" s="274">
        <v>0</v>
      </c>
      <c r="G143" s="274">
        <v>0</v>
      </c>
      <c r="H143" s="274">
        <v>0</v>
      </c>
      <c r="I143" s="274">
        <v>589000</v>
      </c>
      <c r="J143" s="274">
        <v>0</v>
      </c>
      <c r="K143" s="275">
        <v>0</v>
      </c>
      <c r="L143" s="274">
        <v>0</v>
      </c>
      <c r="M143" s="274">
        <v>0</v>
      </c>
      <c r="N143" s="274">
        <v>0</v>
      </c>
      <c r="O143" s="274">
        <v>0</v>
      </c>
      <c r="P143" s="274">
        <v>0</v>
      </c>
      <c r="Q143" s="274">
        <v>0</v>
      </c>
      <c r="R143" s="274">
        <v>0</v>
      </c>
      <c r="S143" s="274">
        <v>0</v>
      </c>
      <c r="T143" s="274">
        <v>0</v>
      </c>
      <c r="U143" s="274">
        <v>0</v>
      </c>
      <c r="V143" s="274">
        <v>0</v>
      </c>
      <c r="W143" s="274">
        <v>0</v>
      </c>
      <c r="X143" s="274">
        <v>0</v>
      </c>
      <c r="Y143" s="274">
        <v>0</v>
      </c>
      <c r="Z143" s="274">
        <v>0</v>
      </c>
      <c r="AA143" s="274">
        <v>0</v>
      </c>
      <c r="AB143" s="276">
        <v>2020</v>
      </c>
    </row>
    <row r="144" spans="1:28" s="6" customFormat="1" ht="35.25" x14ac:dyDescent="0.5">
      <c r="A144" s="6">
        <v>1</v>
      </c>
      <c r="B144" s="135">
        <f>SUBTOTAL(103,$A$7:A144)</f>
        <v>136</v>
      </c>
      <c r="C144" s="270" t="s">
        <v>2045</v>
      </c>
      <c r="D144" s="271">
        <f t="shared" si="4"/>
        <v>906097.15999999992</v>
      </c>
      <c r="E144" s="274">
        <v>0</v>
      </c>
      <c r="F144" s="274">
        <v>89686.6</v>
      </c>
      <c r="G144" s="274">
        <v>538073.86</v>
      </c>
      <c r="H144" s="274">
        <v>278336.7</v>
      </c>
      <c r="I144" s="274">
        <v>0</v>
      </c>
      <c r="J144" s="274">
        <v>0</v>
      </c>
      <c r="K144" s="275">
        <v>0</v>
      </c>
      <c r="L144" s="274">
        <v>0</v>
      </c>
      <c r="M144" s="274">
        <v>0</v>
      </c>
      <c r="N144" s="274">
        <v>0</v>
      </c>
      <c r="O144" s="274">
        <v>0</v>
      </c>
      <c r="P144" s="274">
        <v>0</v>
      </c>
      <c r="Q144" s="274">
        <v>0</v>
      </c>
      <c r="R144" s="274">
        <v>0</v>
      </c>
      <c r="S144" s="274">
        <v>0</v>
      </c>
      <c r="T144" s="274">
        <v>0</v>
      </c>
      <c r="U144" s="274">
        <v>0</v>
      </c>
      <c r="V144" s="274">
        <v>0</v>
      </c>
      <c r="W144" s="274">
        <v>0</v>
      </c>
      <c r="X144" s="274">
        <v>0</v>
      </c>
      <c r="Y144" s="274">
        <v>0</v>
      </c>
      <c r="Z144" s="274">
        <v>0</v>
      </c>
      <c r="AA144" s="274">
        <v>0</v>
      </c>
      <c r="AB144" s="276">
        <v>2020</v>
      </c>
    </row>
    <row r="145" spans="1:28" s="6" customFormat="1" ht="35.25" x14ac:dyDescent="0.5">
      <c r="A145" s="6">
        <v>1</v>
      </c>
      <c r="B145" s="135">
        <f>SUBTOTAL(103,$A$7:A145)</f>
        <v>137</v>
      </c>
      <c r="C145" s="270" t="s">
        <v>2046</v>
      </c>
      <c r="D145" s="271">
        <f t="shared" si="4"/>
        <v>322432.34999999998</v>
      </c>
      <c r="E145" s="274">
        <v>0</v>
      </c>
      <c r="F145" s="274">
        <v>0</v>
      </c>
      <c r="G145" s="274">
        <v>0</v>
      </c>
      <c r="H145" s="274">
        <v>0</v>
      </c>
      <c r="I145" s="274">
        <v>0</v>
      </c>
      <c r="J145" s="274">
        <v>0</v>
      </c>
      <c r="K145" s="275">
        <v>0</v>
      </c>
      <c r="L145" s="274">
        <v>0</v>
      </c>
      <c r="M145" s="274">
        <v>322432.34999999998</v>
      </c>
      <c r="N145" s="274">
        <v>0</v>
      </c>
      <c r="O145" s="274">
        <v>0</v>
      </c>
      <c r="P145" s="274">
        <v>0</v>
      </c>
      <c r="Q145" s="274">
        <v>0</v>
      </c>
      <c r="R145" s="274">
        <v>0</v>
      </c>
      <c r="S145" s="274">
        <v>0</v>
      </c>
      <c r="T145" s="274">
        <v>0</v>
      </c>
      <c r="U145" s="274">
        <v>0</v>
      </c>
      <c r="V145" s="274">
        <v>0</v>
      </c>
      <c r="W145" s="274">
        <v>0</v>
      </c>
      <c r="X145" s="274">
        <v>0</v>
      </c>
      <c r="Y145" s="274">
        <v>0</v>
      </c>
      <c r="Z145" s="274">
        <v>0</v>
      </c>
      <c r="AA145" s="274">
        <v>0</v>
      </c>
      <c r="AB145" s="276">
        <v>2020</v>
      </c>
    </row>
    <row r="146" spans="1:28" s="6" customFormat="1" ht="35.25" x14ac:dyDescent="0.5">
      <c r="A146" s="6">
        <v>1</v>
      </c>
      <c r="B146" s="135">
        <f>SUBTOTAL(103,$A$7:A146)</f>
        <v>138</v>
      </c>
      <c r="C146" s="270" t="s">
        <v>2047</v>
      </c>
      <c r="D146" s="271">
        <f t="shared" si="4"/>
        <v>64270.13</v>
      </c>
      <c r="E146" s="274">
        <v>0</v>
      </c>
      <c r="F146" s="274">
        <v>0</v>
      </c>
      <c r="G146" s="274">
        <v>64270.13</v>
      </c>
      <c r="H146" s="274">
        <v>0</v>
      </c>
      <c r="I146" s="274">
        <v>0</v>
      </c>
      <c r="J146" s="274">
        <v>0</v>
      </c>
      <c r="K146" s="275">
        <v>0</v>
      </c>
      <c r="L146" s="274">
        <v>0</v>
      </c>
      <c r="M146" s="274">
        <v>0</v>
      </c>
      <c r="N146" s="274">
        <v>0</v>
      </c>
      <c r="O146" s="274">
        <v>0</v>
      </c>
      <c r="P146" s="274">
        <v>0</v>
      </c>
      <c r="Q146" s="274">
        <v>0</v>
      </c>
      <c r="R146" s="274">
        <v>0</v>
      </c>
      <c r="S146" s="274">
        <v>0</v>
      </c>
      <c r="T146" s="274">
        <v>0</v>
      </c>
      <c r="U146" s="274">
        <v>0</v>
      </c>
      <c r="V146" s="274">
        <v>0</v>
      </c>
      <c r="W146" s="274">
        <v>0</v>
      </c>
      <c r="X146" s="274">
        <v>0</v>
      </c>
      <c r="Y146" s="274">
        <v>0</v>
      </c>
      <c r="Z146" s="274">
        <v>0</v>
      </c>
      <c r="AA146" s="274">
        <v>0</v>
      </c>
      <c r="AB146" s="276">
        <v>2020</v>
      </c>
    </row>
    <row r="147" spans="1:28" s="6" customFormat="1" ht="35.25" x14ac:dyDescent="0.5">
      <c r="A147" s="6">
        <v>1</v>
      </c>
      <c r="B147" s="135">
        <f>SUBTOTAL(103,$A$7:A147)</f>
        <v>139</v>
      </c>
      <c r="C147" s="270" t="s">
        <v>2048</v>
      </c>
      <c r="D147" s="271">
        <f t="shared" si="4"/>
        <v>512800</v>
      </c>
      <c r="E147" s="274">
        <v>0</v>
      </c>
      <c r="F147" s="274">
        <v>0</v>
      </c>
      <c r="G147" s="274">
        <v>0</v>
      </c>
      <c r="H147" s="274">
        <v>0</v>
      </c>
      <c r="I147" s="274">
        <v>0</v>
      </c>
      <c r="J147" s="274">
        <v>0</v>
      </c>
      <c r="K147" s="275">
        <v>0</v>
      </c>
      <c r="L147" s="274">
        <v>0</v>
      </c>
      <c r="M147" s="274">
        <v>0</v>
      </c>
      <c r="N147" s="274">
        <v>0</v>
      </c>
      <c r="O147" s="274">
        <v>512800</v>
      </c>
      <c r="P147" s="274">
        <v>0</v>
      </c>
      <c r="Q147" s="274">
        <v>0</v>
      </c>
      <c r="R147" s="274">
        <v>0</v>
      </c>
      <c r="S147" s="274">
        <v>0</v>
      </c>
      <c r="T147" s="274">
        <v>0</v>
      </c>
      <c r="U147" s="274">
        <v>0</v>
      </c>
      <c r="V147" s="274">
        <v>0</v>
      </c>
      <c r="W147" s="274">
        <v>0</v>
      </c>
      <c r="X147" s="274">
        <v>0</v>
      </c>
      <c r="Y147" s="274">
        <v>0</v>
      </c>
      <c r="Z147" s="274">
        <v>0</v>
      </c>
      <c r="AA147" s="274">
        <v>0</v>
      </c>
      <c r="AB147" s="276">
        <v>2020</v>
      </c>
    </row>
    <row r="148" spans="1:28" s="6" customFormat="1" ht="35.25" x14ac:dyDescent="0.5">
      <c r="A148" s="6">
        <v>1</v>
      </c>
      <c r="B148" s="135">
        <f>SUBTOTAL(103,$A$7:A148)</f>
        <v>140</v>
      </c>
      <c r="C148" s="270" t="s">
        <v>2049</v>
      </c>
      <c r="D148" s="271">
        <f t="shared" si="4"/>
        <v>92047.5</v>
      </c>
      <c r="E148" s="274">
        <v>0</v>
      </c>
      <c r="F148" s="274">
        <v>0</v>
      </c>
      <c r="G148" s="274">
        <v>0</v>
      </c>
      <c r="H148" s="274">
        <v>0</v>
      </c>
      <c r="I148" s="274">
        <v>0</v>
      </c>
      <c r="J148" s="274">
        <v>0</v>
      </c>
      <c r="K148" s="275">
        <v>0</v>
      </c>
      <c r="L148" s="274">
        <v>0</v>
      </c>
      <c r="M148" s="274">
        <v>0</v>
      </c>
      <c r="N148" s="274">
        <v>55807.5</v>
      </c>
      <c r="O148" s="274">
        <v>36240</v>
      </c>
      <c r="P148" s="274">
        <v>0</v>
      </c>
      <c r="Q148" s="274">
        <v>0</v>
      </c>
      <c r="R148" s="274">
        <v>0</v>
      </c>
      <c r="S148" s="274">
        <v>0</v>
      </c>
      <c r="T148" s="274">
        <v>0</v>
      </c>
      <c r="U148" s="274">
        <v>0</v>
      </c>
      <c r="V148" s="274">
        <v>0</v>
      </c>
      <c r="W148" s="274">
        <v>0</v>
      </c>
      <c r="X148" s="274">
        <v>0</v>
      </c>
      <c r="Y148" s="274">
        <v>0</v>
      </c>
      <c r="Z148" s="274">
        <v>0</v>
      </c>
      <c r="AA148" s="274">
        <v>0</v>
      </c>
      <c r="AB148" s="276">
        <v>2020</v>
      </c>
    </row>
    <row r="149" spans="1:28" s="6" customFormat="1" ht="35.25" x14ac:dyDescent="0.5">
      <c r="A149" s="6">
        <v>1</v>
      </c>
      <c r="B149" s="135">
        <f>SUBTOTAL(103,$A$7:A149)</f>
        <v>141</v>
      </c>
      <c r="C149" s="270" t="s">
        <v>2050</v>
      </c>
      <c r="D149" s="271">
        <f t="shared" si="4"/>
        <v>96754</v>
      </c>
      <c r="E149" s="274">
        <v>48377</v>
      </c>
      <c r="F149" s="274">
        <v>48377</v>
      </c>
      <c r="G149" s="274">
        <v>0</v>
      </c>
      <c r="H149" s="274">
        <v>0</v>
      </c>
      <c r="I149" s="274">
        <v>0</v>
      </c>
      <c r="J149" s="274">
        <v>0</v>
      </c>
      <c r="K149" s="275">
        <v>0</v>
      </c>
      <c r="L149" s="274">
        <v>0</v>
      </c>
      <c r="M149" s="274">
        <v>0</v>
      </c>
      <c r="N149" s="274">
        <v>0</v>
      </c>
      <c r="O149" s="274">
        <v>0</v>
      </c>
      <c r="P149" s="274">
        <v>0</v>
      </c>
      <c r="Q149" s="274">
        <v>0</v>
      </c>
      <c r="R149" s="274">
        <v>0</v>
      </c>
      <c r="S149" s="274">
        <v>0</v>
      </c>
      <c r="T149" s="274">
        <v>0</v>
      </c>
      <c r="U149" s="274">
        <v>0</v>
      </c>
      <c r="V149" s="274">
        <v>0</v>
      </c>
      <c r="W149" s="274">
        <v>0</v>
      </c>
      <c r="X149" s="274">
        <v>0</v>
      </c>
      <c r="Y149" s="274">
        <v>0</v>
      </c>
      <c r="Z149" s="274">
        <v>0</v>
      </c>
      <c r="AA149" s="274">
        <v>0</v>
      </c>
      <c r="AB149" s="276">
        <v>2020</v>
      </c>
    </row>
    <row r="150" spans="1:28" s="6" customFormat="1" ht="35.25" x14ac:dyDescent="0.5">
      <c r="A150" s="6">
        <v>1</v>
      </c>
      <c r="B150" s="135">
        <f>SUBTOTAL(103,$A$7:A150)</f>
        <v>142</v>
      </c>
      <c r="C150" s="270" t="s">
        <v>2051</v>
      </c>
      <c r="D150" s="271">
        <f t="shared" si="4"/>
        <v>143710.21</v>
      </c>
      <c r="E150" s="274">
        <v>143710.21</v>
      </c>
      <c r="F150" s="274">
        <v>0</v>
      </c>
      <c r="G150" s="274">
        <v>0</v>
      </c>
      <c r="H150" s="274">
        <v>0</v>
      </c>
      <c r="I150" s="274">
        <v>0</v>
      </c>
      <c r="J150" s="274">
        <v>0</v>
      </c>
      <c r="K150" s="275">
        <v>0</v>
      </c>
      <c r="L150" s="274">
        <v>0</v>
      </c>
      <c r="M150" s="274">
        <v>0</v>
      </c>
      <c r="N150" s="274">
        <v>0</v>
      </c>
      <c r="O150" s="274">
        <v>0</v>
      </c>
      <c r="P150" s="274">
        <v>0</v>
      </c>
      <c r="Q150" s="274">
        <v>0</v>
      </c>
      <c r="R150" s="274">
        <v>0</v>
      </c>
      <c r="S150" s="274">
        <v>0</v>
      </c>
      <c r="T150" s="274">
        <v>0</v>
      </c>
      <c r="U150" s="274">
        <v>0</v>
      </c>
      <c r="V150" s="274">
        <v>0</v>
      </c>
      <c r="W150" s="274">
        <v>0</v>
      </c>
      <c r="X150" s="274">
        <v>0</v>
      </c>
      <c r="Y150" s="274">
        <v>0</v>
      </c>
      <c r="Z150" s="274">
        <v>0</v>
      </c>
      <c r="AA150" s="274">
        <v>0</v>
      </c>
      <c r="AB150" s="276">
        <v>2020</v>
      </c>
    </row>
    <row r="151" spans="1:28" s="6" customFormat="1" ht="35.25" x14ac:dyDescent="0.5">
      <c r="A151" s="6">
        <v>1</v>
      </c>
      <c r="B151" s="135">
        <f>SUBTOTAL(103,$A$7:A151)</f>
        <v>143</v>
      </c>
      <c r="C151" s="270" t="s">
        <v>2052</v>
      </c>
      <c r="D151" s="271">
        <f t="shared" si="4"/>
        <v>129672.73</v>
      </c>
      <c r="E151" s="274">
        <v>0</v>
      </c>
      <c r="F151" s="274">
        <v>0</v>
      </c>
      <c r="G151" s="274">
        <v>0</v>
      </c>
      <c r="H151" s="274">
        <v>0</v>
      </c>
      <c r="I151" s="274">
        <v>0</v>
      </c>
      <c r="J151" s="274">
        <v>0</v>
      </c>
      <c r="K151" s="275">
        <v>0</v>
      </c>
      <c r="L151" s="274">
        <v>0</v>
      </c>
      <c r="M151" s="274">
        <v>0</v>
      </c>
      <c r="N151" s="274">
        <v>0</v>
      </c>
      <c r="O151" s="274">
        <v>129672.73</v>
      </c>
      <c r="P151" s="274">
        <v>0</v>
      </c>
      <c r="Q151" s="274">
        <v>0</v>
      </c>
      <c r="R151" s="274">
        <v>0</v>
      </c>
      <c r="S151" s="274">
        <v>0</v>
      </c>
      <c r="T151" s="274">
        <v>0</v>
      </c>
      <c r="U151" s="274">
        <v>0</v>
      </c>
      <c r="V151" s="274">
        <v>0</v>
      </c>
      <c r="W151" s="274">
        <v>0</v>
      </c>
      <c r="X151" s="274">
        <v>0</v>
      </c>
      <c r="Y151" s="274">
        <v>0</v>
      </c>
      <c r="Z151" s="274">
        <v>0</v>
      </c>
      <c r="AA151" s="274">
        <v>0</v>
      </c>
      <c r="AB151" s="276">
        <v>2020</v>
      </c>
    </row>
    <row r="152" spans="1:28" s="6" customFormat="1" ht="35.25" x14ac:dyDescent="0.5">
      <c r="A152" s="6">
        <v>1</v>
      </c>
      <c r="B152" s="135">
        <f>SUBTOTAL(103,$A$7:A152)</f>
        <v>144</v>
      </c>
      <c r="C152" s="270" t="s">
        <v>2053</v>
      </c>
      <c r="D152" s="271">
        <f t="shared" si="4"/>
        <v>338000</v>
      </c>
      <c r="E152" s="274">
        <v>0</v>
      </c>
      <c r="F152" s="274">
        <v>0</v>
      </c>
      <c r="G152" s="274">
        <v>0</v>
      </c>
      <c r="H152" s="274">
        <v>0</v>
      </c>
      <c r="I152" s="274">
        <v>0</v>
      </c>
      <c r="J152" s="274">
        <v>0</v>
      </c>
      <c r="K152" s="275">
        <v>0</v>
      </c>
      <c r="L152" s="274">
        <v>0</v>
      </c>
      <c r="M152" s="274">
        <v>0</v>
      </c>
      <c r="N152" s="274">
        <v>0</v>
      </c>
      <c r="O152" s="274">
        <v>338000</v>
      </c>
      <c r="P152" s="274">
        <v>0</v>
      </c>
      <c r="Q152" s="274">
        <v>0</v>
      </c>
      <c r="R152" s="274">
        <v>0</v>
      </c>
      <c r="S152" s="274">
        <v>0</v>
      </c>
      <c r="T152" s="274">
        <v>0</v>
      </c>
      <c r="U152" s="274">
        <v>0</v>
      </c>
      <c r="V152" s="274">
        <v>0</v>
      </c>
      <c r="W152" s="274">
        <v>0</v>
      </c>
      <c r="X152" s="274">
        <v>0</v>
      </c>
      <c r="Y152" s="274">
        <v>0</v>
      </c>
      <c r="Z152" s="274">
        <v>0</v>
      </c>
      <c r="AA152" s="274">
        <v>0</v>
      </c>
      <c r="AB152" s="276">
        <v>2020</v>
      </c>
    </row>
    <row r="153" spans="1:28" s="6" customFormat="1" ht="35.25" x14ac:dyDescent="0.5">
      <c r="A153" s="6">
        <v>1</v>
      </c>
      <c r="B153" s="135">
        <f>SUBTOTAL(103,$A$7:A153)</f>
        <v>145</v>
      </c>
      <c r="C153" s="270" t="s">
        <v>2054</v>
      </c>
      <c r="D153" s="271">
        <f t="shared" si="4"/>
        <v>56014</v>
      </c>
      <c r="E153" s="274">
        <v>0</v>
      </c>
      <c r="F153" s="274">
        <v>0</v>
      </c>
      <c r="G153" s="274">
        <v>0</v>
      </c>
      <c r="H153" s="274">
        <v>0</v>
      </c>
      <c r="I153" s="274">
        <v>0</v>
      </c>
      <c r="J153" s="274">
        <v>0</v>
      </c>
      <c r="K153" s="275">
        <v>0</v>
      </c>
      <c r="L153" s="274">
        <v>0</v>
      </c>
      <c r="M153" s="274">
        <v>0</v>
      </c>
      <c r="N153" s="274">
        <v>0</v>
      </c>
      <c r="O153" s="274">
        <v>56014</v>
      </c>
      <c r="P153" s="274">
        <v>0</v>
      </c>
      <c r="Q153" s="274">
        <v>0</v>
      </c>
      <c r="R153" s="274">
        <v>0</v>
      </c>
      <c r="S153" s="274">
        <v>0</v>
      </c>
      <c r="T153" s="274">
        <v>0</v>
      </c>
      <c r="U153" s="274">
        <v>0</v>
      </c>
      <c r="V153" s="274">
        <v>0</v>
      </c>
      <c r="W153" s="274">
        <v>0</v>
      </c>
      <c r="X153" s="274">
        <v>0</v>
      </c>
      <c r="Y153" s="274">
        <v>0</v>
      </c>
      <c r="Z153" s="274">
        <v>0</v>
      </c>
      <c r="AA153" s="274">
        <v>0</v>
      </c>
      <c r="AB153" s="276">
        <v>2020</v>
      </c>
    </row>
    <row r="154" spans="1:28" s="6" customFormat="1" ht="35.25" x14ac:dyDescent="0.5">
      <c r="A154" s="6">
        <v>1</v>
      </c>
      <c r="B154" s="135">
        <f>SUBTOTAL(103,$A$7:A154)</f>
        <v>146</v>
      </c>
      <c r="C154" s="270" t="s">
        <v>2055</v>
      </c>
      <c r="D154" s="271">
        <f t="shared" si="4"/>
        <v>1050000</v>
      </c>
      <c r="E154" s="274">
        <v>0</v>
      </c>
      <c r="F154" s="274">
        <v>0</v>
      </c>
      <c r="G154" s="274">
        <v>0</v>
      </c>
      <c r="H154" s="274">
        <v>0</v>
      </c>
      <c r="I154" s="274">
        <v>0</v>
      </c>
      <c r="J154" s="274">
        <v>0</v>
      </c>
      <c r="K154" s="275">
        <v>0</v>
      </c>
      <c r="L154" s="274">
        <v>0</v>
      </c>
      <c r="M154" s="274">
        <v>1050000</v>
      </c>
      <c r="N154" s="274">
        <v>0</v>
      </c>
      <c r="O154" s="274">
        <v>0</v>
      </c>
      <c r="P154" s="274">
        <v>0</v>
      </c>
      <c r="Q154" s="274">
        <v>0</v>
      </c>
      <c r="R154" s="274">
        <v>0</v>
      </c>
      <c r="S154" s="274">
        <v>0</v>
      </c>
      <c r="T154" s="274">
        <v>0</v>
      </c>
      <c r="U154" s="274">
        <v>0</v>
      </c>
      <c r="V154" s="274">
        <v>0</v>
      </c>
      <c r="W154" s="274">
        <v>0</v>
      </c>
      <c r="X154" s="274">
        <v>0</v>
      </c>
      <c r="Y154" s="274">
        <v>0</v>
      </c>
      <c r="Z154" s="274">
        <v>0</v>
      </c>
      <c r="AA154" s="274">
        <v>0</v>
      </c>
      <c r="AB154" s="276">
        <v>2020</v>
      </c>
    </row>
    <row r="155" spans="1:28" s="6" customFormat="1" ht="35.25" x14ac:dyDescent="0.5">
      <c r="A155" s="6">
        <v>1</v>
      </c>
      <c r="B155" s="135">
        <f>SUBTOTAL(103,$A$7:A155)</f>
        <v>147</v>
      </c>
      <c r="C155" s="270" t="s">
        <v>2056</v>
      </c>
      <c r="D155" s="271">
        <f t="shared" si="4"/>
        <v>533500</v>
      </c>
      <c r="E155" s="274">
        <v>0</v>
      </c>
      <c r="F155" s="274">
        <v>0</v>
      </c>
      <c r="G155" s="274">
        <v>0</v>
      </c>
      <c r="H155" s="274">
        <v>0</v>
      </c>
      <c r="I155" s="274">
        <v>0</v>
      </c>
      <c r="J155" s="274">
        <v>0</v>
      </c>
      <c r="K155" s="275">
        <v>0</v>
      </c>
      <c r="L155" s="274">
        <v>0</v>
      </c>
      <c r="M155" s="274">
        <v>533500</v>
      </c>
      <c r="N155" s="274">
        <v>0</v>
      </c>
      <c r="O155" s="274">
        <v>0</v>
      </c>
      <c r="P155" s="274">
        <v>0</v>
      </c>
      <c r="Q155" s="274">
        <v>0</v>
      </c>
      <c r="R155" s="274">
        <v>0</v>
      </c>
      <c r="S155" s="274">
        <v>0</v>
      </c>
      <c r="T155" s="274">
        <v>0</v>
      </c>
      <c r="U155" s="274">
        <v>0</v>
      </c>
      <c r="V155" s="274">
        <v>0</v>
      </c>
      <c r="W155" s="274">
        <v>0</v>
      </c>
      <c r="X155" s="274">
        <v>0</v>
      </c>
      <c r="Y155" s="274">
        <v>0</v>
      </c>
      <c r="Z155" s="274">
        <v>0</v>
      </c>
      <c r="AA155" s="274">
        <v>0</v>
      </c>
      <c r="AB155" s="276">
        <v>2020</v>
      </c>
    </row>
    <row r="156" spans="1:28" s="6" customFormat="1" ht="35.25" x14ac:dyDescent="0.5">
      <c r="A156" s="6">
        <v>1</v>
      </c>
      <c r="B156" s="135">
        <f>SUBTOTAL(103,$A$7:A156)</f>
        <v>148</v>
      </c>
      <c r="C156" s="270" t="s">
        <v>2057</v>
      </c>
      <c r="D156" s="271">
        <f t="shared" si="4"/>
        <v>126461.17</v>
      </c>
      <c r="E156" s="274">
        <v>0</v>
      </c>
      <c r="F156" s="274">
        <v>0</v>
      </c>
      <c r="G156" s="274">
        <v>0</v>
      </c>
      <c r="H156" s="274">
        <v>0</v>
      </c>
      <c r="I156" s="274">
        <v>0</v>
      </c>
      <c r="J156" s="274">
        <v>0</v>
      </c>
      <c r="K156" s="275">
        <v>0</v>
      </c>
      <c r="L156" s="274">
        <v>0</v>
      </c>
      <c r="M156" s="274">
        <v>0</v>
      </c>
      <c r="N156" s="274">
        <v>0</v>
      </c>
      <c r="O156" s="274">
        <v>126461.17</v>
      </c>
      <c r="P156" s="274">
        <v>0</v>
      </c>
      <c r="Q156" s="274">
        <v>0</v>
      </c>
      <c r="R156" s="274">
        <v>0</v>
      </c>
      <c r="S156" s="274">
        <v>0</v>
      </c>
      <c r="T156" s="274">
        <v>0</v>
      </c>
      <c r="U156" s="274">
        <v>0</v>
      </c>
      <c r="V156" s="274">
        <v>0</v>
      </c>
      <c r="W156" s="274">
        <v>0</v>
      </c>
      <c r="X156" s="274">
        <v>0</v>
      </c>
      <c r="Y156" s="274">
        <v>0</v>
      </c>
      <c r="Z156" s="274">
        <v>0</v>
      </c>
      <c r="AA156" s="274">
        <v>0</v>
      </c>
      <c r="AB156" s="276">
        <v>2020</v>
      </c>
    </row>
    <row r="157" spans="1:28" s="6" customFormat="1" ht="35.25" x14ac:dyDescent="0.5">
      <c r="A157" s="6">
        <v>1</v>
      </c>
      <c r="B157" s="135">
        <f>SUBTOTAL(103,$A$7:A157)</f>
        <v>149</v>
      </c>
      <c r="C157" s="270" t="s">
        <v>2058</v>
      </c>
      <c r="D157" s="271">
        <f t="shared" si="4"/>
        <v>1330416</v>
      </c>
      <c r="E157" s="274">
        <v>0</v>
      </c>
      <c r="F157" s="274">
        <v>0</v>
      </c>
      <c r="G157" s="274">
        <v>0</v>
      </c>
      <c r="H157" s="274">
        <v>0</v>
      </c>
      <c r="I157" s="274">
        <v>0</v>
      </c>
      <c r="J157" s="274">
        <v>0</v>
      </c>
      <c r="K157" s="275">
        <v>0</v>
      </c>
      <c r="L157" s="274">
        <v>0</v>
      </c>
      <c r="M157" s="274">
        <v>238341</v>
      </c>
      <c r="N157" s="274">
        <v>0</v>
      </c>
      <c r="O157" s="274">
        <v>0</v>
      </c>
      <c r="P157" s="274">
        <v>1092075</v>
      </c>
      <c r="Q157" s="274">
        <v>0</v>
      </c>
      <c r="R157" s="274">
        <v>0</v>
      </c>
      <c r="S157" s="274">
        <v>0</v>
      </c>
      <c r="T157" s="274">
        <v>0</v>
      </c>
      <c r="U157" s="274">
        <v>0</v>
      </c>
      <c r="V157" s="274">
        <v>0</v>
      </c>
      <c r="W157" s="274">
        <v>0</v>
      </c>
      <c r="X157" s="274">
        <v>0</v>
      </c>
      <c r="Y157" s="274">
        <v>0</v>
      </c>
      <c r="Z157" s="274">
        <v>0</v>
      </c>
      <c r="AA157" s="274">
        <v>0</v>
      </c>
      <c r="AB157" s="276">
        <v>2020</v>
      </c>
    </row>
    <row r="158" spans="1:28" s="6" customFormat="1" ht="35.25" x14ac:dyDescent="0.5">
      <c r="A158" s="6">
        <v>1</v>
      </c>
      <c r="B158" s="135">
        <f>SUBTOTAL(103,$A$7:A158)</f>
        <v>150</v>
      </c>
      <c r="C158" s="270" t="s">
        <v>1771</v>
      </c>
      <c r="D158" s="271">
        <f t="shared" si="4"/>
        <v>1300000</v>
      </c>
      <c r="E158" s="274">
        <v>0</v>
      </c>
      <c r="F158" s="274">
        <v>0</v>
      </c>
      <c r="G158" s="274">
        <v>0</v>
      </c>
      <c r="H158" s="274">
        <v>0</v>
      </c>
      <c r="I158" s="274">
        <v>0</v>
      </c>
      <c r="J158" s="274">
        <v>0</v>
      </c>
      <c r="K158" s="275">
        <v>2</v>
      </c>
      <c r="L158" s="274">
        <v>1300000</v>
      </c>
      <c r="M158" s="274">
        <v>0</v>
      </c>
      <c r="N158" s="274">
        <v>0</v>
      </c>
      <c r="O158" s="274">
        <v>0</v>
      </c>
      <c r="P158" s="274">
        <v>0</v>
      </c>
      <c r="Q158" s="274">
        <v>0</v>
      </c>
      <c r="R158" s="274">
        <v>0</v>
      </c>
      <c r="S158" s="274">
        <v>0</v>
      </c>
      <c r="T158" s="274">
        <v>0</v>
      </c>
      <c r="U158" s="274">
        <v>0</v>
      </c>
      <c r="V158" s="274">
        <v>0</v>
      </c>
      <c r="W158" s="274">
        <v>0</v>
      </c>
      <c r="X158" s="274">
        <v>0</v>
      </c>
      <c r="Y158" s="274">
        <v>0</v>
      </c>
      <c r="Z158" s="274">
        <v>0</v>
      </c>
      <c r="AA158" s="274">
        <v>0</v>
      </c>
      <c r="AB158" s="276">
        <v>2020</v>
      </c>
    </row>
    <row r="159" spans="1:28" s="6" customFormat="1" ht="35.25" x14ac:dyDescent="0.5">
      <c r="A159" s="6">
        <v>1</v>
      </c>
      <c r="B159" s="135">
        <f>SUBTOTAL(103,$A$7:A159)</f>
        <v>151</v>
      </c>
      <c r="C159" s="270" t="s">
        <v>2059</v>
      </c>
      <c r="D159" s="271">
        <f t="shared" si="4"/>
        <v>1842506</v>
      </c>
      <c r="E159" s="274">
        <v>0</v>
      </c>
      <c r="F159" s="274">
        <v>0</v>
      </c>
      <c r="G159" s="274">
        <v>0</v>
      </c>
      <c r="H159" s="274">
        <v>0</v>
      </c>
      <c r="I159" s="274">
        <v>0</v>
      </c>
      <c r="J159" s="274">
        <v>0</v>
      </c>
      <c r="K159" s="275">
        <v>0</v>
      </c>
      <c r="L159" s="274">
        <v>0</v>
      </c>
      <c r="M159" s="274">
        <v>0</v>
      </c>
      <c r="N159" s="274">
        <v>0</v>
      </c>
      <c r="O159" s="274">
        <v>1842506</v>
      </c>
      <c r="P159" s="274">
        <v>0</v>
      </c>
      <c r="Q159" s="274">
        <v>0</v>
      </c>
      <c r="R159" s="274">
        <v>0</v>
      </c>
      <c r="S159" s="274">
        <v>0</v>
      </c>
      <c r="T159" s="274">
        <v>0</v>
      </c>
      <c r="U159" s="274">
        <v>0</v>
      </c>
      <c r="V159" s="274">
        <v>0</v>
      </c>
      <c r="W159" s="274">
        <v>0</v>
      </c>
      <c r="X159" s="274">
        <v>0</v>
      </c>
      <c r="Y159" s="274">
        <v>0</v>
      </c>
      <c r="Z159" s="274">
        <v>0</v>
      </c>
      <c r="AA159" s="274">
        <v>0</v>
      </c>
      <c r="AB159" s="276">
        <v>2020</v>
      </c>
    </row>
    <row r="160" spans="1:28" s="6" customFormat="1" ht="35.25" x14ac:dyDescent="0.5">
      <c r="A160" s="6">
        <v>1</v>
      </c>
      <c r="B160" s="135">
        <f>SUBTOTAL(103,$A$7:A160)</f>
        <v>152</v>
      </c>
      <c r="C160" s="270" t="s">
        <v>2060</v>
      </c>
      <c r="D160" s="271">
        <f t="shared" si="4"/>
        <v>327139.40000000002</v>
      </c>
      <c r="E160" s="274">
        <v>0</v>
      </c>
      <c r="F160" s="274">
        <v>0</v>
      </c>
      <c r="G160" s="274">
        <v>0</v>
      </c>
      <c r="H160" s="274">
        <v>0</v>
      </c>
      <c r="I160" s="274">
        <v>0</v>
      </c>
      <c r="J160" s="274">
        <v>0</v>
      </c>
      <c r="K160" s="275">
        <v>0</v>
      </c>
      <c r="L160" s="274">
        <v>0</v>
      </c>
      <c r="M160" s="274">
        <v>327139.40000000002</v>
      </c>
      <c r="N160" s="274">
        <v>0</v>
      </c>
      <c r="O160" s="274">
        <v>0</v>
      </c>
      <c r="P160" s="274">
        <v>0</v>
      </c>
      <c r="Q160" s="274">
        <v>0</v>
      </c>
      <c r="R160" s="274">
        <v>0</v>
      </c>
      <c r="S160" s="274">
        <v>0</v>
      </c>
      <c r="T160" s="274">
        <v>0</v>
      </c>
      <c r="U160" s="274">
        <v>0</v>
      </c>
      <c r="V160" s="274">
        <v>0</v>
      </c>
      <c r="W160" s="274">
        <v>0</v>
      </c>
      <c r="X160" s="274">
        <v>0</v>
      </c>
      <c r="Y160" s="274">
        <v>0</v>
      </c>
      <c r="Z160" s="274">
        <v>0</v>
      </c>
      <c r="AA160" s="274">
        <v>0</v>
      </c>
      <c r="AB160" s="276">
        <v>2020</v>
      </c>
    </row>
    <row r="161" spans="1:28" s="6" customFormat="1" ht="35.25" x14ac:dyDescent="0.5">
      <c r="A161" s="6">
        <v>1</v>
      </c>
      <c r="B161" s="135">
        <f>SUBTOTAL(103,$A$7:A161)</f>
        <v>153</v>
      </c>
      <c r="C161" s="270" t="s">
        <v>2061</v>
      </c>
      <c r="D161" s="271">
        <f t="shared" si="4"/>
        <v>561000</v>
      </c>
      <c r="E161" s="274">
        <v>0</v>
      </c>
      <c r="F161" s="274">
        <v>0</v>
      </c>
      <c r="G161" s="274">
        <v>0</v>
      </c>
      <c r="H161" s="274">
        <v>0</v>
      </c>
      <c r="I161" s="274">
        <v>0</v>
      </c>
      <c r="J161" s="274">
        <v>0</v>
      </c>
      <c r="K161" s="275">
        <v>1</v>
      </c>
      <c r="L161" s="274">
        <v>561000</v>
      </c>
      <c r="M161" s="274">
        <v>0</v>
      </c>
      <c r="N161" s="274">
        <v>0</v>
      </c>
      <c r="O161" s="274">
        <v>0</v>
      </c>
      <c r="P161" s="274">
        <v>0</v>
      </c>
      <c r="Q161" s="274">
        <v>0</v>
      </c>
      <c r="R161" s="274">
        <v>0</v>
      </c>
      <c r="S161" s="274">
        <v>0</v>
      </c>
      <c r="T161" s="274">
        <v>0</v>
      </c>
      <c r="U161" s="274">
        <v>0</v>
      </c>
      <c r="V161" s="274">
        <v>0</v>
      </c>
      <c r="W161" s="274">
        <v>0</v>
      </c>
      <c r="X161" s="274">
        <v>0</v>
      </c>
      <c r="Y161" s="274">
        <v>0</v>
      </c>
      <c r="Z161" s="274">
        <v>0</v>
      </c>
      <c r="AA161" s="274">
        <v>0</v>
      </c>
      <c r="AB161" s="276">
        <v>2020</v>
      </c>
    </row>
    <row r="162" spans="1:28" s="6" customFormat="1" ht="35.25" x14ac:dyDescent="0.5">
      <c r="A162" s="6">
        <v>1</v>
      </c>
      <c r="B162" s="135">
        <f>SUBTOTAL(103,$A$7:A162)</f>
        <v>154</v>
      </c>
      <c r="C162" s="270" t="s">
        <v>2062</v>
      </c>
      <c r="D162" s="271">
        <f t="shared" si="4"/>
        <v>284860</v>
      </c>
      <c r="E162" s="274">
        <v>41758</v>
      </c>
      <c r="F162" s="274">
        <v>0</v>
      </c>
      <c r="G162" s="274">
        <v>0</v>
      </c>
      <c r="H162" s="274">
        <v>0</v>
      </c>
      <c r="I162" s="274">
        <v>0</v>
      </c>
      <c r="J162" s="274">
        <v>0</v>
      </c>
      <c r="K162" s="275">
        <v>0</v>
      </c>
      <c r="L162" s="274">
        <v>0</v>
      </c>
      <c r="M162" s="274">
        <v>0</v>
      </c>
      <c r="N162" s="274">
        <v>0</v>
      </c>
      <c r="O162" s="274">
        <v>243102</v>
      </c>
      <c r="P162" s="274">
        <v>0</v>
      </c>
      <c r="Q162" s="274">
        <v>0</v>
      </c>
      <c r="R162" s="274">
        <v>0</v>
      </c>
      <c r="S162" s="274">
        <v>0</v>
      </c>
      <c r="T162" s="274">
        <v>0</v>
      </c>
      <c r="U162" s="274">
        <v>0</v>
      </c>
      <c r="V162" s="274">
        <v>0</v>
      </c>
      <c r="W162" s="274">
        <v>0</v>
      </c>
      <c r="X162" s="274">
        <v>0</v>
      </c>
      <c r="Y162" s="274">
        <v>0</v>
      </c>
      <c r="Z162" s="274">
        <v>0</v>
      </c>
      <c r="AA162" s="274">
        <v>0</v>
      </c>
      <c r="AB162" s="276">
        <v>2020</v>
      </c>
    </row>
    <row r="163" spans="1:28" s="6" customFormat="1" ht="35.25" x14ac:dyDescent="0.5">
      <c r="A163" s="6">
        <v>1</v>
      </c>
      <c r="B163" s="135">
        <f>SUBTOTAL(103,$A$7:A163)</f>
        <v>155</v>
      </c>
      <c r="C163" s="270" t="s">
        <v>2063</v>
      </c>
      <c r="D163" s="271">
        <f t="shared" si="4"/>
        <v>562718</v>
      </c>
      <c r="E163" s="274">
        <v>0</v>
      </c>
      <c r="F163" s="274">
        <v>0</v>
      </c>
      <c r="G163" s="274">
        <v>0</v>
      </c>
      <c r="H163" s="274">
        <v>0</v>
      </c>
      <c r="I163" s="274">
        <v>0</v>
      </c>
      <c r="J163" s="274">
        <v>0</v>
      </c>
      <c r="K163" s="275">
        <v>0</v>
      </c>
      <c r="L163" s="274">
        <v>0</v>
      </c>
      <c r="M163" s="274">
        <v>0</v>
      </c>
      <c r="N163" s="274">
        <v>562718</v>
      </c>
      <c r="O163" s="274">
        <v>0</v>
      </c>
      <c r="P163" s="274">
        <v>0</v>
      </c>
      <c r="Q163" s="274">
        <v>0</v>
      </c>
      <c r="R163" s="274">
        <v>0</v>
      </c>
      <c r="S163" s="274">
        <v>0</v>
      </c>
      <c r="T163" s="274">
        <v>0</v>
      </c>
      <c r="U163" s="274">
        <v>0</v>
      </c>
      <c r="V163" s="274">
        <v>0</v>
      </c>
      <c r="W163" s="274">
        <v>0</v>
      </c>
      <c r="X163" s="274">
        <v>0</v>
      </c>
      <c r="Y163" s="274">
        <v>0</v>
      </c>
      <c r="Z163" s="274">
        <v>0</v>
      </c>
      <c r="AA163" s="274">
        <v>0</v>
      </c>
      <c r="AB163" s="276">
        <v>2020</v>
      </c>
    </row>
    <row r="164" spans="1:28" s="6" customFormat="1" ht="35.25" x14ac:dyDescent="0.5">
      <c r="A164" s="6">
        <v>1</v>
      </c>
      <c r="B164" s="135">
        <f>SUBTOTAL(103,$A$7:A164)</f>
        <v>156</v>
      </c>
      <c r="C164" s="270" t="s">
        <v>2064</v>
      </c>
      <c r="D164" s="271">
        <f t="shared" si="4"/>
        <v>523273.69</v>
      </c>
      <c r="E164" s="274">
        <v>0</v>
      </c>
      <c r="F164" s="274">
        <v>0</v>
      </c>
      <c r="G164" s="274">
        <v>0</v>
      </c>
      <c r="H164" s="274">
        <v>0</v>
      </c>
      <c r="I164" s="274">
        <v>0</v>
      </c>
      <c r="J164" s="274">
        <v>0</v>
      </c>
      <c r="K164" s="275">
        <v>0</v>
      </c>
      <c r="L164" s="274">
        <v>0</v>
      </c>
      <c r="M164" s="274">
        <v>523273.69</v>
      </c>
      <c r="N164" s="274">
        <v>0</v>
      </c>
      <c r="O164" s="274">
        <v>0</v>
      </c>
      <c r="P164" s="274">
        <v>0</v>
      </c>
      <c r="Q164" s="274">
        <v>0</v>
      </c>
      <c r="R164" s="274">
        <v>0</v>
      </c>
      <c r="S164" s="274">
        <v>0</v>
      </c>
      <c r="T164" s="274">
        <v>0</v>
      </c>
      <c r="U164" s="274">
        <v>0</v>
      </c>
      <c r="V164" s="274">
        <v>0</v>
      </c>
      <c r="W164" s="274">
        <v>0</v>
      </c>
      <c r="X164" s="274">
        <v>0</v>
      </c>
      <c r="Y164" s="274">
        <v>0</v>
      </c>
      <c r="Z164" s="274">
        <v>0</v>
      </c>
      <c r="AA164" s="274">
        <v>0</v>
      </c>
      <c r="AB164" s="276">
        <v>2020</v>
      </c>
    </row>
    <row r="165" spans="1:28" s="6" customFormat="1" ht="35.25" x14ac:dyDescent="0.5">
      <c r="A165" s="6">
        <v>1</v>
      </c>
      <c r="B165" s="135">
        <f>SUBTOTAL(103,$A$7:A165)</f>
        <v>157</v>
      </c>
      <c r="C165" s="270" t="s">
        <v>2065</v>
      </c>
      <c r="D165" s="271">
        <f t="shared" si="4"/>
        <v>405244</v>
      </c>
      <c r="E165" s="274">
        <v>0</v>
      </c>
      <c r="F165" s="274">
        <v>405244</v>
      </c>
      <c r="G165" s="274">
        <v>0</v>
      </c>
      <c r="H165" s="274">
        <v>0</v>
      </c>
      <c r="I165" s="274">
        <v>0</v>
      </c>
      <c r="J165" s="274">
        <v>0</v>
      </c>
      <c r="K165" s="275">
        <v>0</v>
      </c>
      <c r="L165" s="274">
        <v>0</v>
      </c>
      <c r="M165" s="274">
        <v>0</v>
      </c>
      <c r="N165" s="274">
        <v>0</v>
      </c>
      <c r="O165" s="274">
        <v>0</v>
      </c>
      <c r="P165" s="274">
        <v>0</v>
      </c>
      <c r="Q165" s="274">
        <v>0</v>
      </c>
      <c r="R165" s="274">
        <v>0</v>
      </c>
      <c r="S165" s="274">
        <v>0</v>
      </c>
      <c r="T165" s="274">
        <v>0</v>
      </c>
      <c r="U165" s="274">
        <v>0</v>
      </c>
      <c r="V165" s="274">
        <v>0</v>
      </c>
      <c r="W165" s="274">
        <v>0</v>
      </c>
      <c r="X165" s="274">
        <v>0</v>
      </c>
      <c r="Y165" s="274">
        <v>0</v>
      </c>
      <c r="Z165" s="274">
        <v>0</v>
      </c>
      <c r="AA165" s="274">
        <v>0</v>
      </c>
      <c r="AB165" s="276">
        <v>2020</v>
      </c>
    </row>
    <row r="166" spans="1:28" s="6" customFormat="1" ht="35.25" x14ac:dyDescent="0.5">
      <c r="A166" s="6">
        <v>1</v>
      </c>
      <c r="B166" s="135">
        <f>SUBTOTAL(103,$A$7:A166)</f>
        <v>158</v>
      </c>
      <c r="C166" s="270" t="s">
        <v>2066</v>
      </c>
      <c r="D166" s="271">
        <f t="shared" si="4"/>
        <v>31500</v>
      </c>
      <c r="E166" s="274">
        <v>0</v>
      </c>
      <c r="F166" s="274">
        <v>0</v>
      </c>
      <c r="G166" s="274">
        <v>0</v>
      </c>
      <c r="H166" s="274">
        <v>0</v>
      </c>
      <c r="I166" s="274">
        <v>0</v>
      </c>
      <c r="J166" s="274">
        <v>0</v>
      </c>
      <c r="K166" s="275">
        <v>0</v>
      </c>
      <c r="L166" s="274">
        <v>0</v>
      </c>
      <c r="M166" s="274">
        <v>31500</v>
      </c>
      <c r="N166" s="274">
        <v>0</v>
      </c>
      <c r="O166" s="274">
        <v>0</v>
      </c>
      <c r="P166" s="274">
        <v>0</v>
      </c>
      <c r="Q166" s="274">
        <v>0</v>
      </c>
      <c r="R166" s="274">
        <v>0</v>
      </c>
      <c r="S166" s="274">
        <v>0</v>
      </c>
      <c r="T166" s="274">
        <v>0</v>
      </c>
      <c r="U166" s="274">
        <v>0</v>
      </c>
      <c r="V166" s="274">
        <v>0</v>
      </c>
      <c r="W166" s="274">
        <v>0</v>
      </c>
      <c r="X166" s="274">
        <v>0</v>
      </c>
      <c r="Y166" s="274">
        <v>0</v>
      </c>
      <c r="Z166" s="274">
        <v>0</v>
      </c>
      <c r="AA166" s="274">
        <v>0</v>
      </c>
      <c r="AB166" s="276">
        <v>2020</v>
      </c>
    </row>
    <row r="167" spans="1:28" s="6" customFormat="1" ht="35.25" x14ac:dyDescent="0.5">
      <c r="A167" s="6">
        <v>1</v>
      </c>
      <c r="B167" s="135">
        <f>SUBTOTAL(103,$A$7:A167)</f>
        <v>159</v>
      </c>
      <c r="C167" s="270" t="s">
        <v>1776</v>
      </c>
      <c r="D167" s="271">
        <f t="shared" si="4"/>
        <v>597216.73</v>
      </c>
      <c r="E167" s="274">
        <v>0</v>
      </c>
      <c r="F167" s="274">
        <v>0</v>
      </c>
      <c r="G167" s="274">
        <v>0</v>
      </c>
      <c r="H167" s="274">
        <v>0</v>
      </c>
      <c r="I167" s="274">
        <v>0</v>
      </c>
      <c r="J167" s="274">
        <v>0</v>
      </c>
      <c r="K167" s="275">
        <v>0</v>
      </c>
      <c r="L167" s="274">
        <v>85000</v>
      </c>
      <c r="M167" s="274">
        <v>247409</v>
      </c>
      <c r="N167" s="274">
        <v>0</v>
      </c>
      <c r="O167" s="274">
        <v>264807.73</v>
      </c>
      <c r="P167" s="274">
        <v>0</v>
      </c>
      <c r="Q167" s="274">
        <v>0</v>
      </c>
      <c r="R167" s="274">
        <v>0</v>
      </c>
      <c r="S167" s="274">
        <v>0</v>
      </c>
      <c r="T167" s="274">
        <v>0</v>
      </c>
      <c r="U167" s="274">
        <v>0</v>
      </c>
      <c r="V167" s="274">
        <v>0</v>
      </c>
      <c r="W167" s="274">
        <v>0</v>
      </c>
      <c r="X167" s="274">
        <v>0</v>
      </c>
      <c r="Y167" s="274">
        <v>0</v>
      </c>
      <c r="Z167" s="274">
        <v>0</v>
      </c>
      <c r="AA167" s="274">
        <v>0</v>
      </c>
      <c r="AB167" s="276">
        <v>2020</v>
      </c>
    </row>
    <row r="168" spans="1:28" s="6" customFormat="1" ht="35.25" x14ac:dyDescent="0.5">
      <c r="A168" s="6">
        <v>1</v>
      </c>
      <c r="B168" s="135">
        <f>SUBTOTAL(103,$A$7:A168)</f>
        <v>160</v>
      </c>
      <c r="C168" s="270" t="s">
        <v>2067</v>
      </c>
      <c r="D168" s="271">
        <f t="shared" si="4"/>
        <v>389342</v>
      </c>
      <c r="E168" s="274">
        <v>0</v>
      </c>
      <c r="F168" s="274">
        <v>0</v>
      </c>
      <c r="G168" s="274">
        <v>0</v>
      </c>
      <c r="H168" s="274">
        <v>0</v>
      </c>
      <c r="I168" s="274">
        <v>0</v>
      </c>
      <c r="J168" s="274">
        <v>0</v>
      </c>
      <c r="K168" s="275">
        <v>0</v>
      </c>
      <c r="L168" s="274">
        <v>0</v>
      </c>
      <c r="M168" s="274">
        <v>0</v>
      </c>
      <c r="N168" s="274">
        <v>0</v>
      </c>
      <c r="O168" s="274">
        <v>389342</v>
      </c>
      <c r="P168" s="274">
        <v>0</v>
      </c>
      <c r="Q168" s="274">
        <v>0</v>
      </c>
      <c r="R168" s="274">
        <v>0</v>
      </c>
      <c r="S168" s="274">
        <v>0</v>
      </c>
      <c r="T168" s="274">
        <v>0</v>
      </c>
      <c r="U168" s="274">
        <v>0</v>
      </c>
      <c r="V168" s="274">
        <v>0</v>
      </c>
      <c r="W168" s="274">
        <v>0</v>
      </c>
      <c r="X168" s="274">
        <v>0</v>
      </c>
      <c r="Y168" s="274">
        <v>0</v>
      </c>
      <c r="Z168" s="274">
        <v>0</v>
      </c>
      <c r="AA168" s="274">
        <v>0</v>
      </c>
      <c r="AB168" s="276">
        <v>2020</v>
      </c>
    </row>
    <row r="169" spans="1:28" s="6" customFormat="1" ht="35.25" x14ac:dyDescent="0.5">
      <c r="A169" s="6">
        <v>1</v>
      </c>
      <c r="B169" s="135">
        <f>SUBTOTAL(103,$A$7:A169)</f>
        <v>161</v>
      </c>
      <c r="C169" s="270" t="s">
        <v>2068</v>
      </c>
      <c r="D169" s="271">
        <f t="shared" ref="D169:D176" si="5">E169+F169+G169+H169+I169+J169+L169+M169+N169+O169+P169+Q169+R169+S169+T169+U169+V169+W169+X169+Y169+Z169+AA169</f>
        <v>425173.92000000004</v>
      </c>
      <c r="E169" s="274">
        <v>0</v>
      </c>
      <c r="F169" s="274">
        <v>0</v>
      </c>
      <c r="G169" s="274">
        <v>192500</v>
      </c>
      <c r="H169" s="274">
        <v>0</v>
      </c>
      <c r="I169" s="274">
        <v>0</v>
      </c>
      <c r="J169" s="274">
        <v>0</v>
      </c>
      <c r="K169" s="275">
        <v>0</v>
      </c>
      <c r="L169" s="274">
        <v>0</v>
      </c>
      <c r="M169" s="274">
        <v>0</v>
      </c>
      <c r="N169" s="274">
        <v>0</v>
      </c>
      <c r="O169" s="274">
        <v>232673.92000000001</v>
      </c>
      <c r="P169" s="274">
        <v>0</v>
      </c>
      <c r="Q169" s="274">
        <v>0</v>
      </c>
      <c r="R169" s="274">
        <v>0</v>
      </c>
      <c r="S169" s="274">
        <v>0</v>
      </c>
      <c r="T169" s="274">
        <v>0</v>
      </c>
      <c r="U169" s="274">
        <v>0</v>
      </c>
      <c r="V169" s="274">
        <v>0</v>
      </c>
      <c r="W169" s="274">
        <v>0</v>
      </c>
      <c r="X169" s="274">
        <v>0</v>
      </c>
      <c r="Y169" s="274">
        <v>0</v>
      </c>
      <c r="Z169" s="274">
        <v>0</v>
      </c>
      <c r="AA169" s="274">
        <v>0</v>
      </c>
      <c r="AB169" s="276">
        <v>2020</v>
      </c>
    </row>
    <row r="170" spans="1:28" s="6" customFormat="1" ht="35.25" x14ac:dyDescent="0.5">
      <c r="A170" s="6">
        <v>1</v>
      </c>
      <c r="B170" s="135">
        <f>SUBTOTAL(103,$A$7:A170)</f>
        <v>162</v>
      </c>
      <c r="C170" s="270" t="s">
        <v>2069</v>
      </c>
      <c r="D170" s="271">
        <f t="shared" si="5"/>
        <v>1855885.31</v>
      </c>
      <c r="E170" s="274">
        <v>0</v>
      </c>
      <c r="F170" s="274">
        <v>0</v>
      </c>
      <c r="G170" s="274">
        <v>0</v>
      </c>
      <c r="H170" s="274">
        <v>0</v>
      </c>
      <c r="I170" s="274">
        <v>0</v>
      </c>
      <c r="J170" s="274">
        <v>0</v>
      </c>
      <c r="K170" s="275">
        <v>0</v>
      </c>
      <c r="L170" s="274">
        <v>0</v>
      </c>
      <c r="M170" s="274">
        <v>1768030</v>
      </c>
      <c r="N170" s="274">
        <v>0</v>
      </c>
      <c r="O170" s="274">
        <v>87855.31</v>
      </c>
      <c r="P170" s="274">
        <v>0</v>
      </c>
      <c r="Q170" s="274">
        <v>0</v>
      </c>
      <c r="R170" s="274">
        <v>0</v>
      </c>
      <c r="S170" s="274">
        <v>0</v>
      </c>
      <c r="T170" s="274">
        <v>0</v>
      </c>
      <c r="U170" s="274">
        <v>0</v>
      </c>
      <c r="V170" s="274">
        <v>0</v>
      </c>
      <c r="W170" s="274">
        <v>0</v>
      </c>
      <c r="X170" s="274">
        <v>0</v>
      </c>
      <c r="Y170" s="274">
        <v>0</v>
      </c>
      <c r="Z170" s="274">
        <v>0</v>
      </c>
      <c r="AA170" s="274">
        <v>0</v>
      </c>
      <c r="AB170" s="276">
        <v>2020</v>
      </c>
    </row>
    <row r="171" spans="1:28" s="6" customFormat="1" ht="35.25" x14ac:dyDescent="0.5">
      <c r="A171" s="6">
        <v>1</v>
      </c>
      <c r="B171" s="135">
        <f>SUBTOTAL(103,$A$7:A171)</f>
        <v>163</v>
      </c>
      <c r="C171" s="270" t="s">
        <v>2070</v>
      </c>
      <c r="D171" s="271">
        <f t="shared" si="5"/>
        <v>498750</v>
      </c>
      <c r="E171" s="274">
        <v>0</v>
      </c>
      <c r="F171" s="274">
        <v>0</v>
      </c>
      <c r="G171" s="274">
        <v>0</v>
      </c>
      <c r="H171" s="274">
        <v>0</v>
      </c>
      <c r="I171" s="274">
        <v>0</v>
      </c>
      <c r="J171" s="274">
        <v>0</v>
      </c>
      <c r="K171" s="275">
        <v>0</v>
      </c>
      <c r="L171" s="274">
        <v>0</v>
      </c>
      <c r="M171" s="274">
        <v>0</v>
      </c>
      <c r="N171" s="274">
        <v>0</v>
      </c>
      <c r="O171" s="274">
        <v>498750</v>
      </c>
      <c r="P171" s="274">
        <v>0</v>
      </c>
      <c r="Q171" s="274">
        <v>0</v>
      </c>
      <c r="R171" s="274">
        <v>0</v>
      </c>
      <c r="S171" s="274">
        <v>0</v>
      </c>
      <c r="T171" s="274">
        <v>0</v>
      </c>
      <c r="U171" s="274">
        <v>0</v>
      </c>
      <c r="V171" s="274">
        <v>0</v>
      </c>
      <c r="W171" s="274">
        <v>0</v>
      </c>
      <c r="X171" s="274">
        <v>0</v>
      </c>
      <c r="Y171" s="274">
        <v>0</v>
      </c>
      <c r="Z171" s="274">
        <v>0</v>
      </c>
      <c r="AA171" s="274">
        <v>0</v>
      </c>
      <c r="AB171" s="276">
        <v>2020</v>
      </c>
    </row>
    <row r="172" spans="1:28" s="6" customFormat="1" ht="35.25" x14ac:dyDescent="0.5">
      <c r="A172" s="6">
        <v>1</v>
      </c>
      <c r="B172" s="135">
        <f>SUBTOTAL(103,$A$7:A172)</f>
        <v>164</v>
      </c>
      <c r="C172" s="270" t="s">
        <v>2071</v>
      </c>
      <c r="D172" s="271">
        <f t="shared" si="5"/>
        <v>781837.52</v>
      </c>
      <c r="E172" s="274">
        <v>0</v>
      </c>
      <c r="F172" s="274">
        <v>0</v>
      </c>
      <c r="G172" s="274">
        <v>0</v>
      </c>
      <c r="H172" s="274">
        <v>0</v>
      </c>
      <c r="I172" s="274">
        <v>0</v>
      </c>
      <c r="J172" s="274">
        <v>0</v>
      </c>
      <c r="K172" s="275">
        <v>0</v>
      </c>
      <c r="L172" s="274">
        <v>0</v>
      </c>
      <c r="M172" s="274">
        <v>72227.39</v>
      </c>
      <c r="N172" s="274">
        <v>380731.18</v>
      </c>
      <c r="O172" s="274">
        <v>328878.95</v>
      </c>
      <c r="P172" s="274">
        <v>0</v>
      </c>
      <c r="Q172" s="274">
        <v>0</v>
      </c>
      <c r="R172" s="274">
        <v>0</v>
      </c>
      <c r="S172" s="274">
        <v>0</v>
      </c>
      <c r="T172" s="274">
        <v>0</v>
      </c>
      <c r="U172" s="274">
        <v>0</v>
      </c>
      <c r="V172" s="274">
        <v>0</v>
      </c>
      <c r="W172" s="274">
        <v>0</v>
      </c>
      <c r="X172" s="274">
        <v>0</v>
      </c>
      <c r="Y172" s="274">
        <v>0</v>
      </c>
      <c r="Z172" s="274">
        <v>0</v>
      </c>
      <c r="AA172" s="274">
        <v>0</v>
      </c>
      <c r="AB172" s="276">
        <v>2020</v>
      </c>
    </row>
    <row r="173" spans="1:28" s="6" customFormat="1" ht="35.25" x14ac:dyDescent="0.5">
      <c r="A173" s="6">
        <v>1</v>
      </c>
      <c r="B173" s="135">
        <f>SUBTOTAL(103,$A$7:A173)</f>
        <v>165</v>
      </c>
      <c r="C173" s="270" t="s">
        <v>2072</v>
      </c>
      <c r="D173" s="271">
        <f t="shared" si="5"/>
        <v>105000</v>
      </c>
      <c r="E173" s="274">
        <v>105000</v>
      </c>
      <c r="F173" s="274">
        <v>0</v>
      </c>
      <c r="G173" s="274">
        <v>0</v>
      </c>
      <c r="H173" s="274">
        <v>0</v>
      </c>
      <c r="I173" s="274">
        <v>0</v>
      </c>
      <c r="J173" s="274">
        <v>0</v>
      </c>
      <c r="K173" s="275">
        <v>0</v>
      </c>
      <c r="L173" s="274">
        <v>0</v>
      </c>
      <c r="M173" s="274">
        <v>0</v>
      </c>
      <c r="N173" s="274">
        <v>0</v>
      </c>
      <c r="O173" s="274">
        <v>0</v>
      </c>
      <c r="P173" s="274">
        <v>0</v>
      </c>
      <c r="Q173" s="274">
        <v>0</v>
      </c>
      <c r="R173" s="274">
        <v>0</v>
      </c>
      <c r="S173" s="274">
        <v>0</v>
      </c>
      <c r="T173" s="274">
        <v>0</v>
      </c>
      <c r="U173" s="274">
        <v>0</v>
      </c>
      <c r="V173" s="274">
        <v>0</v>
      </c>
      <c r="W173" s="274">
        <v>0</v>
      </c>
      <c r="X173" s="274">
        <v>0</v>
      </c>
      <c r="Y173" s="274">
        <v>0</v>
      </c>
      <c r="Z173" s="274">
        <v>0</v>
      </c>
      <c r="AA173" s="274">
        <v>0</v>
      </c>
      <c r="AB173" s="276">
        <v>2020</v>
      </c>
    </row>
    <row r="174" spans="1:28" s="6" customFormat="1" ht="35.25" x14ac:dyDescent="0.5">
      <c r="A174" s="6">
        <v>1</v>
      </c>
      <c r="B174" s="135">
        <f>SUBTOTAL(103,$A$7:A174)</f>
        <v>166</v>
      </c>
      <c r="C174" s="270" t="s">
        <v>2073</v>
      </c>
      <c r="D174" s="271">
        <f t="shared" si="5"/>
        <v>525162</v>
      </c>
      <c r="E174" s="274">
        <v>0</v>
      </c>
      <c r="F174" s="274">
        <v>0</v>
      </c>
      <c r="G174" s="274">
        <v>0</v>
      </c>
      <c r="H174" s="274">
        <v>0</v>
      </c>
      <c r="I174" s="274">
        <v>0</v>
      </c>
      <c r="J174" s="274">
        <v>0</v>
      </c>
      <c r="K174" s="275">
        <v>0</v>
      </c>
      <c r="L174" s="274">
        <v>0</v>
      </c>
      <c r="M174" s="274">
        <v>525162</v>
      </c>
      <c r="N174" s="274">
        <v>0</v>
      </c>
      <c r="O174" s="274">
        <v>0</v>
      </c>
      <c r="P174" s="274">
        <v>0</v>
      </c>
      <c r="Q174" s="274">
        <v>0</v>
      </c>
      <c r="R174" s="274">
        <v>0</v>
      </c>
      <c r="S174" s="274">
        <v>0</v>
      </c>
      <c r="T174" s="274">
        <v>0</v>
      </c>
      <c r="U174" s="274">
        <v>0</v>
      </c>
      <c r="V174" s="274">
        <v>0</v>
      </c>
      <c r="W174" s="274">
        <v>0</v>
      </c>
      <c r="X174" s="274">
        <v>0</v>
      </c>
      <c r="Y174" s="274">
        <v>0</v>
      </c>
      <c r="Z174" s="274">
        <v>0</v>
      </c>
      <c r="AA174" s="274">
        <v>0</v>
      </c>
      <c r="AB174" s="276">
        <v>2020</v>
      </c>
    </row>
    <row r="175" spans="1:28" s="6" customFormat="1" ht="35.25" x14ac:dyDescent="0.5">
      <c r="A175" s="6">
        <v>1</v>
      </c>
      <c r="B175" s="135">
        <f>SUBTOTAL(103,$A$7:A175)</f>
        <v>167</v>
      </c>
      <c r="C175" s="270" t="s">
        <v>1780</v>
      </c>
      <c r="D175" s="271">
        <f t="shared" si="5"/>
        <v>1389500</v>
      </c>
      <c r="E175" s="274">
        <v>0</v>
      </c>
      <c r="F175" s="274">
        <v>0</v>
      </c>
      <c r="G175" s="274">
        <v>0</v>
      </c>
      <c r="H175" s="274">
        <v>0</v>
      </c>
      <c r="I175" s="274">
        <v>0</v>
      </c>
      <c r="J175" s="274">
        <v>0</v>
      </c>
      <c r="K175" s="275">
        <v>0</v>
      </c>
      <c r="L175" s="274">
        <v>0</v>
      </c>
      <c r="M175" s="274">
        <v>1389500</v>
      </c>
      <c r="N175" s="274">
        <v>0</v>
      </c>
      <c r="O175" s="274">
        <v>0</v>
      </c>
      <c r="P175" s="274">
        <v>0</v>
      </c>
      <c r="Q175" s="274">
        <v>0</v>
      </c>
      <c r="R175" s="274">
        <v>0</v>
      </c>
      <c r="S175" s="274">
        <v>0</v>
      </c>
      <c r="T175" s="274">
        <v>0</v>
      </c>
      <c r="U175" s="274">
        <v>0</v>
      </c>
      <c r="V175" s="274">
        <v>0</v>
      </c>
      <c r="W175" s="274">
        <v>0</v>
      </c>
      <c r="X175" s="274">
        <v>0</v>
      </c>
      <c r="Y175" s="274">
        <v>0</v>
      </c>
      <c r="Z175" s="274">
        <v>0</v>
      </c>
      <c r="AA175" s="274">
        <v>0</v>
      </c>
      <c r="AB175" s="276">
        <v>2020</v>
      </c>
    </row>
    <row r="176" spans="1:28" s="6" customFormat="1" ht="35.25" x14ac:dyDescent="0.5">
      <c r="A176" s="6">
        <v>1</v>
      </c>
      <c r="B176" s="135">
        <f>SUBTOTAL(103,$A$7:A176)</f>
        <v>168</v>
      </c>
      <c r="C176" s="270" t="s">
        <v>1781</v>
      </c>
      <c r="D176" s="271">
        <f t="shared" si="5"/>
        <v>1078705</v>
      </c>
      <c r="E176" s="274">
        <v>215265</v>
      </c>
      <c r="F176" s="274">
        <v>85000</v>
      </c>
      <c r="G176" s="274">
        <v>0</v>
      </c>
      <c r="H176" s="274">
        <v>0</v>
      </c>
      <c r="I176" s="274">
        <v>121325</v>
      </c>
      <c r="J176" s="274">
        <v>0</v>
      </c>
      <c r="K176" s="275">
        <v>0</v>
      </c>
      <c r="L176" s="274">
        <v>0</v>
      </c>
      <c r="M176" s="274">
        <v>450000</v>
      </c>
      <c r="N176" s="274">
        <v>174615</v>
      </c>
      <c r="O176" s="274">
        <v>32500</v>
      </c>
      <c r="P176" s="274">
        <v>0</v>
      </c>
      <c r="Q176" s="274">
        <v>0</v>
      </c>
      <c r="R176" s="274">
        <v>0</v>
      </c>
      <c r="S176" s="274">
        <v>0</v>
      </c>
      <c r="T176" s="274">
        <v>0</v>
      </c>
      <c r="U176" s="274">
        <v>0</v>
      </c>
      <c r="V176" s="274">
        <v>0</v>
      </c>
      <c r="W176" s="274">
        <v>0</v>
      </c>
      <c r="X176" s="274">
        <v>0</v>
      </c>
      <c r="Y176" s="274">
        <v>0</v>
      </c>
      <c r="Z176" s="274">
        <v>0</v>
      </c>
      <c r="AA176" s="274">
        <v>0</v>
      </c>
      <c r="AB176" s="276">
        <v>2020</v>
      </c>
    </row>
    <row r="177" spans="1:28" s="6" customFormat="1" ht="35.25" x14ac:dyDescent="0.5">
      <c r="A177" s="6">
        <v>1</v>
      </c>
      <c r="B177" s="135">
        <f>SUBTOTAL(103,$A$7:A177)</f>
        <v>169</v>
      </c>
      <c r="C177" s="270" t="s">
        <v>2074</v>
      </c>
      <c r="D177" s="271">
        <f>E177+F177+G177+H177+I177+J177+L177+M177+N177+O177+P177+Q177+R177+S177+T177+U177+V177+W177+X177+Y177+Z177+AA177</f>
        <v>403507.08</v>
      </c>
      <c r="E177" s="274">
        <v>201753.54</v>
      </c>
      <c r="F177" s="274">
        <v>201753.54</v>
      </c>
      <c r="G177" s="274">
        <v>0</v>
      </c>
      <c r="H177" s="274">
        <v>0</v>
      </c>
      <c r="I177" s="274">
        <v>0</v>
      </c>
      <c r="J177" s="274">
        <v>0</v>
      </c>
      <c r="K177" s="275">
        <v>0</v>
      </c>
      <c r="L177" s="274">
        <v>0</v>
      </c>
      <c r="M177" s="274">
        <v>0</v>
      </c>
      <c r="N177" s="274">
        <v>0</v>
      </c>
      <c r="O177" s="274">
        <v>0</v>
      </c>
      <c r="P177" s="274">
        <v>0</v>
      </c>
      <c r="Q177" s="274">
        <v>0</v>
      </c>
      <c r="R177" s="274">
        <v>0</v>
      </c>
      <c r="S177" s="274">
        <v>0</v>
      </c>
      <c r="T177" s="274">
        <v>0</v>
      </c>
      <c r="U177" s="274">
        <v>0</v>
      </c>
      <c r="V177" s="274">
        <v>0</v>
      </c>
      <c r="W177" s="274">
        <v>0</v>
      </c>
      <c r="X177" s="274">
        <v>0</v>
      </c>
      <c r="Y177" s="274">
        <v>0</v>
      </c>
      <c r="Z177" s="274">
        <v>0</v>
      </c>
      <c r="AA177" s="274">
        <v>0</v>
      </c>
      <c r="AB177" s="276">
        <v>2020</v>
      </c>
    </row>
    <row r="178" spans="1:28" s="6" customFormat="1" ht="35.25" x14ac:dyDescent="0.5">
      <c r="A178" s="6">
        <v>1</v>
      </c>
      <c r="B178" s="135">
        <f>SUBTOTAL(103,$A$7:A178)</f>
        <v>170</v>
      </c>
      <c r="C178" s="270" t="s">
        <v>2075</v>
      </c>
      <c r="D178" s="271">
        <f>E178+F178+G178+H178+I178+J178+L178+M178+N178+O178+P178+Q178+R178+S178+T178+U178+V178+W178+X178+Y178+Z178+AA178</f>
        <v>515016</v>
      </c>
      <c r="E178" s="274">
        <v>0</v>
      </c>
      <c r="F178" s="274">
        <v>0</v>
      </c>
      <c r="G178" s="274">
        <v>0</v>
      </c>
      <c r="H178" s="274">
        <v>0</v>
      </c>
      <c r="I178" s="274">
        <v>0</v>
      </c>
      <c r="J178" s="274">
        <v>0</v>
      </c>
      <c r="K178" s="275">
        <v>0</v>
      </c>
      <c r="L178" s="274">
        <v>0</v>
      </c>
      <c r="M178" s="274">
        <v>515016</v>
      </c>
      <c r="N178" s="274">
        <v>0</v>
      </c>
      <c r="O178" s="274">
        <v>0</v>
      </c>
      <c r="P178" s="274">
        <v>0</v>
      </c>
      <c r="Q178" s="274">
        <v>0</v>
      </c>
      <c r="R178" s="274">
        <v>0</v>
      </c>
      <c r="S178" s="274">
        <v>0</v>
      </c>
      <c r="T178" s="274">
        <v>0</v>
      </c>
      <c r="U178" s="274">
        <v>0</v>
      </c>
      <c r="V178" s="274">
        <v>0</v>
      </c>
      <c r="W178" s="274">
        <v>0</v>
      </c>
      <c r="X178" s="274">
        <v>0</v>
      </c>
      <c r="Y178" s="274">
        <v>0</v>
      </c>
      <c r="Z178" s="274">
        <v>0</v>
      </c>
      <c r="AA178" s="274">
        <v>0</v>
      </c>
      <c r="AB178" s="276">
        <v>2020</v>
      </c>
    </row>
    <row r="179" spans="1:28" s="6" customFormat="1" ht="35.25" x14ac:dyDescent="0.5">
      <c r="A179" s="6">
        <v>1</v>
      </c>
      <c r="B179" s="135">
        <f>SUBTOTAL(103,$A$7:A179)</f>
        <v>171</v>
      </c>
      <c r="C179" s="270" t="s">
        <v>2076</v>
      </c>
      <c r="D179" s="271">
        <f>E179+F179+G179+H179+I179+J179+L179+M179+N179+O179+P179+Q179+R179+S179+T179+U179+V179+W179+X179+Y179+Z179+AA179</f>
        <v>144846</v>
      </c>
      <c r="E179" s="274">
        <v>0</v>
      </c>
      <c r="F179" s="274">
        <v>0</v>
      </c>
      <c r="G179" s="274">
        <v>144846</v>
      </c>
      <c r="H179" s="274">
        <v>0</v>
      </c>
      <c r="I179" s="274">
        <v>0</v>
      </c>
      <c r="J179" s="274">
        <v>0</v>
      </c>
      <c r="K179" s="275">
        <v>0</v>
      </c>
      <c r="L179" s="274">
        <v>0</v>
      </c>
      <c r="M179" s="274">
        <v>0</v>
      </c>
      <c r="N179" s="274">
        <v>0</v>
      </c>
      <c r="O179" s="274">
        <v>0</v>
      </c>
      <c r="P179" s="274">
        <v>0</v>
      </c>
      <c r="Q179" s="274">
        <v>0</v>
      </c>
      <c r="R179" s="274">
        <v>0</v>
      </c>
      <c r="S179" s="274">
        <v>0</v>
      </c>
      <c r="T179" s="274">
        <v>0</v>
      </c>
      <c r="U179" s="274">
        <v>0</v>
      </c>
      <c r="V179" s="274">
        <v>0</v>
      </c>
      <c r="W179" s="274">
        <v>0</v>
      </c>
      <c r="X179" s="274">
        <v>0</v>
      </c>
      <c r="Y179" s="274">
        <v>0</v>
      </c>
      <c r="Z179" s="274">
        <v>0</v>
      </c>
      <c r="AA179" s="274">
        <v>0</v>
      </c>
      <c r="AB179" s="276">
        <v>2020</v>
      </c>
    </row>
    <row r="180" spans="1:28" s="6" customFormat="1" ht="35.25" x14ac:dyDescent="0.5">
      <c r="A180" s="6">
        <v>1</v>
      </c>
      <c r="B180" s="135">
        <f>SUBTOTAL(103,$A$7:A180)</f>
        <v>172</v>
      </c>
      <c r="C180" s="270" t="s">
        <v>2077</v>
      </c>
      <c r="D180" s="271">
        <f>E180+F180+G180+H180+I180+J180+L180+M180+N180+O180+P180+Q180+R180+S180+T180+U180+V180+W180+X180+Y180+Z180+AA180</f>
        <v>276982</v>
      </c>
      <c r="E180" s="274">
        <v>0</v>
      </c>
      <c r="F180" s="274">
        <v>0</v>
      </c>
      <c r="G180" s="274">
        <v>0</v>
      </c>
      <c r="H180" s="274">
        <v>0</v>
      </c>
      <c r="I180" s="274">
        <v>0</v>
      </c>
      <c r="J180" s="274">
        <v>0</v>
      </c>
      <c r="K180" s="275">
        <v>0</v>
      </c>
      <c r="L180" s="274">
        <v>0</v>
      </c>
      <c r="M180" s="274">
        <v>0</v>
      </c>
      <c r="N180" s="274">
        <v>0</v>
      </c>
      <c r="O180" s="274">
        <v>276982</v>
      </c>
      <c r="P180" s="274">
        <v>0</v>
      </c>
      <c r="Q180" s="274">
        <v>0</v>
      </c>
      <c r="R180" s="274">
        <v>0</v>
      </c>
      <c r="S180" s="274">
        <v>0</v>
      </c>
      <c r="T180" s="274">
        <v>0</v>
      </c>
      <c r="U180" s="274">
        <v>0</v>
      </c>
      <c r="V180" s="274">
        <v>0</v>
      </c>
      <c r="W180" s="274">
        <v>0</v>
      </c>
      <c r="X180" s="274">
        <v>0</v>
      </c>
      <c r="Y180" s="274">
        <v>0</v>
      </c>
      <c r="Z180" s="274">
        <v>0</v>
      </c>
      <c r="AA180" s="274">
        <v>0</v>
      </c>
      <c r="AB180" s="276">
        <v>2020</v>
      </c>
    </row>
    <row r="181" spans="1:28" s="6" customFormat="1" ht="35.25" x14ac:dyDescent="0.5">
      <c r="A181" s="6">
        <v>1</v>
      </c>
      <c r="B181" s="135">
        <f>SUBTOTAL(103,$A$7:A181)</f>
        <v>173</v>
      </c>
      <c r="C181" s="270" t="s">
        <v>2078</v>
      </c>
      <c r="D181" s="271">
        <f>E181+F181+G181+H181+I181+J181+L181+M181+N181+O181+P181+Q181+R181+S181+T181+U181+V181+W181+X181+Y181+Z181+AA181</f>
        <v>1316629</v>
      </c>
      <c r="E181" s="274">
        <v>0</v>
      </c>
      <c r="F181" s="274">
        <v>0</v>
      </c>
      <c r="G181" s="274">
        <v>0</v>
      </c>
      <c r="H181" s="274">
        <v>0</v>
      </c>
      <c r="I181" s="274">
        <v>0</v>
      </c>
      <c r="J181" s="274">
        <v>0</v>
      </c>
      <c r="K181" s="275">
        <v>0</v>
      </c>
      <c r="L181" s="274">
        <v>0</v>
      </c>
      <c r="M181" s="274">
        <v>1316629</v>
      </c>
      <c r="N181" s="274">
        <v>0</v>
      </c>
      <c r="O181" s="274">
        <v>0</v>
      </c>
      <c r="P181" s="274">
        <v>0</v>
      </c>
      <c r="Q181" s="274">
        <v>0</v>
      </c>
      <c r="R181" s="274">
        <v>0</v>
      </c>
      <c r="S181" s="274">
        <v>0</v>
      </c>
      <c r="T181" s="274">
        <v>0</v>
      </c>
      <c r="U181" s="274">
        <v>0</v>
      </c>
      <c r="V181" s="274">
        <v>0</v>
      </c>
      <c r="W181" s="274">
        <v>0</v>
      </c>
      <c r="X181" s="274">
        <v>0</v>
      </c>
      <c r="Y181" s="274">
        <v>0</v>
      </c>
      <c r="Z181" s="274">
        <v>0</v>
      </c>
      <c r="AA181" s="274">
        <v>0</v>
      </c>
      <c r="AB181" s="276">
        <v>2020</v>
      </c>
    </row>
    <row r="182" spans="1:28" s="6" customFormat="1" ht="35.25" x14ac:dyDescent="0.5">
      <c r="A182" s="6">
        <v>1</v>
      </c>
      <c r="B182" s="135">
        <f>SUBTOTAL(103,$A$7:A182)</f>
        <v>174</v>
      </c>
      <c r="C182" s="279" t="s">
        <v>2079</v>
      </c>
      <c r="D182" s="271">
        <v>1247639</v>
      </c>
      <c r="E182" s="277">
        <v>0</v>
      </c>
      <c r="F182" s="277">
        <v>0</v>
      </c>
      <c r="G182" s="277">
        <v>0</v>
      </c>
      <c r="H182" s="277">
        <v>0</v>
      </c>
      <c r="I182" s="277">
        <v>0</v>
      </c>
      <c r="J182" s="277">
        <v>0</v>
      </c>
      <c r="K182" s="275">
        <v>0</v>
      </c>
      <c r="L182" s="277">
        <v>0</v>
      </c>
      <c r="M182" s="277">
        <v>1247639</v>
      </c>
      <c r="N182" s="277">
        <v>0</v>
      </c>
      <c r="O182" s="277">
        <v>0</v>
      </c>
      <c r="P182" s="277">
        <v>0</v>
      </c>
      <c r="Q182" s="277">
        <v>0</v>
      </c>
      <c r="R182" s="277">
        <v>0</v>
      </c>
      <c r="S182" s="277">
        <v>0</v>
      </c>
      <c r="T182" s="277">
        <v>0</v>
      </c>
      <c r="U182" s="277">
        <v>0</v>
      </c>
      <c r="V182" s="277">
        <v>0</v>
      </c>
      <c r="W182" s="277">
        <v>0</v>
      </c>
      <c r="X182" s="277">
        <v>0</v>
      </c>
      <c r="Y182" s="277">
        <v>0</v>
      </c>
      <c r="Z182" s="277">
        <v>0</v>
      </c>
      <c r="AA182" s="277">
        <v>0</v>
      </c>
      <c r="AB182" s="276">
        <v>2020</v>
      </c>
    </row>
    <row r="183" spans="1:28" s="6" customFormat="1" ht="35.25" customHeight="1" x14ac:dyDescent="0.5">
      <c r="B183" s="269" t="s">
        <v>821</v>
      </c>
      <c r="C183" s="270"/>
      <c r="D183" s="271">
        <f>SUM(D184:D199)</f>
        <v>11010055.84</v>
      </c>
      <c r="E183" s="271">
        <f t="shared" ref="E183:AA183" si="6">SUM(E184:E199)</f>
        <v>467041.56000000006</v>
      </c>
      <c r="F183" s="271">
        <f t="shared" si="6"/>
        <v>0</v>
      </c>
      <c r="G183" s="271">
        <f t="shared" si="6"/>
        <v>0</v>
      </c>
      <c r="H183" s="271">
        <f t="shared" si="6"/>
        <v>0</v>
      </c>
      <c r="I183" s="271">
        <f t="shared" si="6"/>
        <v>0</v>
      </c>
      <c r="J183" s="271">
        <f t="shared" si="6"/>
        <v>0</v>
      </c>
      <c r="K183" s="275">
        <f t="shared" si="6"/>
        <v>1</v>
      </c>
      <c r="L183" s="271">
        <f t="shared" si="6"/>
        <v>1204000</v>
      </c>
      <c r="M183" s="271">
        <f t="shared" si="6"/>
        <v>8238613.7299999995</v>
      </c>
      <c r="N183" s="271">
        <f t="shared" si="6"/>
        <v>0</v>
      </c>
      <c r="O183" s="271">
        <f t="shared" si="6"/>
        <v>1100400.55</v>
      </c>
      <c r="P183" s="271">
        <f t="shared" si="6"/>
        <v>0</v>
      </c>
      <c r="Q183" s="271">
        <f t="shared" si="6"/>
        <v>0</v>
      </c>
      <c r="R183" s="271">
        <f t="shared" si="6"/>
        <v>0</v>
      </c>
      <c r="S183" s="271">
        <f t="shared" si="6"/>
        <v>0</v>
      </c>
      <c r="T183" s="271">
        <f t="shared" si="6"/>
        <v>0</v>
      </c>
      <c r="U183" s="271">
        <f t="shared" si="6"/>
        <v>0</v>
      </c>
      <c r="V183" s="271">
        <f t="shared" si="6"/>
        <v>0</v>
      </c>
      <c r="W183" s="271">
        <f t="shared" si="6"/>
        <v>0</v>
      </c>
      <c r="X183" s="271">
        <f t="shared" si="6"/>
        <v>0</v>
      </c>
      <c r="Y183" s="271">
        <f t="shared" si="6"/>
        <v>0</v>
      </c>
      <c r="Z183" s="271">
        <f t="shared" si="6"/>
        <v>0</v>
      </c>
      <c r="AA183" s="271">
        <f t="shared" si="6"/>
        <v>0</v>
      </c>
      <c r="AB183" s="273" t="s">
        <v>896</v>
      </c>
    </row>
    <row r="184" spans="1:28" s="6" customFormat="1" ht="35.25" customHeight="1" x14ac:dyDescent="0.5">
      <c r="A184" s="6">
        <v>1</v>
      </c>
      <c r="B184" s="135">
        <f>SUBTOTAL(103,$A$7:A184)</f>
        <v>175</v>
      </c>
      <c r="C184" s="270" t="s">
        <v>1816</v>
      </c>
      <c r="D184" s="271">
        <f>E184+F184+G184+H184+I184+J184+L184+M184+N184+O184+P184+Q184+R184+S184+T184+U184+V184+W184+X184+Y184+Z184+AA184</f>
        <v>1204000</v>
      </c>
      <c r="E184" s="274">
        <v>0</v>
      </c>
      <c r="F184" s="274">
        <v>0</v>
      </c>
      <c r="G184" s="274">
        <v>0</v>
      </c>
      <c r="H184" s="274">
        <v>0</v>
      </c>
      <c r="I184" s="274">
        <v>0</v>
      </c>
      <c r="J184" s="274">
        <v>0</v>
      </c>
      <c r="K184" s="275">
        <v>1</v>
      </c>
      <c r="L184" s="274">
        <v>1204000</v>
      </c>
      <c r="M184" s="274">
        <v>0</v>
      </c>
      <c r="N184" s="274">
        <v>0</v>
      </c>
      <c r="O184" s="274">
        <v>0</v>
      </c>
      <c r="P184" s="274">
        <v>0</v>
      </c>
      <c r="Q184" s="274">
        <v>0</v>
      </c>
      <c r="R184" s="274">
        <v>0</v>
      </c>
      <c r="S184" s="274">
        <v>0</v>
      </c>
      <c r="T184" s="274">
        <v>0</v>
      </c>
      <c r="U184" s="274">
        <v>0</v>
      </c>
      <c r="V184" s="274">
        <v>0</v>
      </c>
      <c r="W184" s="274">
        <v>0</v>
      </c>
      <c r="X184" s="274">
        <v>0</v>
      </c>
      <c r="Y184" s="274">
        <v>0</v>
      </c>
      <c r="Z184" s="274">
        <v>0</v>
      </c>
      <c r="AA184" s="274">
        <v>0</v>
      </c>
      <c r="AB184" s="276">
        <v>2020</v>
      </c>
    </row>
    <row r="185" spans="1:28" s="6" customFormat="1" ht="35.25" x14ac:dyDescent="0.5">
      <c r="A185" s="6">
        <v>1</v>
      </c>
      <c r="B185" s="135">
        <f>SUBTOTAL(103,$A$7:A185)</f>
        <v>176</v>
      </c>
      <c r="C185" s="270" t="s">
        <v>2080</v>
      </c>
      <c r="D185" s="271">
        <f>E185+F185+G185+H185+I185+J185+L185+M185+N185+O185+P185+Q185+R185+S185+T185+U185+V185+W185+X185+Y185+Z185+AA185</f>
        <v>795195</v>
      </c>
      <c r="E185" s="274">
        <v>0</v>
      </c>
      <c r="F185" s="274">
        <v>0</v>
      </c>
      <c r="G185" s="274">
        <v>0</v>
      </c>
      <c r="H185" s="274">
        <v>0</v>
      </c>
      <c r="I185" s="274">
        <v>0</v>
      </c>
      <c r="J185" s="274">
        <v>0</v>
      </c>
      <c r="K185" s="275">
        <v>0</v>
      </c>
      <c r="L185" s="274">
        <v>0</v>
      </c>
      <c r="M185" s="274">
        <v>795195</v>
      </c>
      <c r="N185" s="274">
        <v>0</v>
      </c>
      <c r="O185" s="274">
        <v>0</v>
      </c>
      <c r="P185" s="274">
        <v>0</v>
      </c>
      <c r="Q185" s="274">
        <v>0</v>
      </c>
      <c r="R185" s="274">
        <v>0</v>
      </c>
      <c r="S185" s="274">
        <v>0</v>
      </c>
      <c r="T185" s="274">
        <v>0</v>
      </c>
      <c r="U185" s="274">
        <v>0</v>
      </c>
      <c r="V185" s="274">
        <v>0</v>
      </c>
      <c r="W185" s="274">
        <v>0</v>
      </c>
      <c r="X185" s="274">
        <v>0</v>
      </c>
      <c r="Y185" s="274">
        <v>0</v>
      </c>
      <c r="Z185" s="274">
        <v>0</v>
      </c>
      <c r="AA185" s="274">
        <v>0</v>
      </c>
      <c r="AB185" s="276">
        <v>2020</v>
      </c>
    </row>
    <row r="186" spans="1:28" s="6" customFormat="1" ht="35.25" x14ac:dyDescent="0.5">
      <c r="A186" s="6">
        <v>1</v>
      </c>
      <c r="B186" s="135">
        <f>SUBTOTAL(103,$A$7:A186)</f>
        <v>177</v>
      </c>
      <c r="C186" s="270" t="s">
        <v>2081</v>
      </c>
      <c r="D186" s="271">
        <f>E186+F186+G186+H186+I186+J186+L186+M186+N186+O186+P186+Q186+R186+S186+T186+U186+V186+W186+X186+Y186+Z186+AA186</f>
        <v>1098000</v>
      </c>
      <c r="E186" s="274">
        <v>0</v>
      </c>
      <c r="F186" s="274">
        <v>0</v>
      </c>
      <c r="G186" s="274">
        <v>0</v>
      </c>
      <c r="H186" s="274">
        <v>0</v>
      </c>
      <c r="I186" s="274">
        <v>0</v>
      </c>
      <c r="J186" s="274">
        <v>0</v>
      </c>
      <c r="K186" s="275">
        <v>0</v>
      </c>
      <c r="L186" s="274">
        <v>0</v>
      </c>
      <c r="M186" s="274">
        <v>1098000</v>
      </c>
      <c r="N186" s="274">
        <v>0</v>
      </c>
      <c r="O186" s="274">
        <v>0</v>
      </c>
      <c r="P186" s="274">
        <v>0</v>
      </c>
      <c r="Q186" s="274">
        <v>0</v>
      </c>
      <c r="R186" s="274">
        <v>0</v>
      </c>
      <c r="S186" s="274">
        <v>0</v>
      </c>
      <c r="T186" s="274">
        <v>0</v>
      </c>
      <c r="U186" s="274">
        <v>0</v>
      </c>
      <c r="V186" s="274">
        <v>0</v>
      </c>
      <c r="W186" s="274">
        <v>0</v>
      </c>
      <c r="X186" s="274">
        <v>0</v>
      </c>
      <c r="Y186" s="274">
        <v>0</v>
      </c>
      <c r="Z186" s="274">
        <v>0</v>
      </c>
      <c r="AA186" s="274">
        <v>0</v>
      </c>
      <c r="AB186" s="276">
        <v>2020</v>
      </c>
    </row>
    <row r="187" spans="1:28" s="6" customFormat="1" ht="35.25" x14ac:dyDescent="0.5">
      <c r="A187" s="6">
        <v>1</v>
      </c>
      <c r="B187" s="135">
        <f>SUBTOTAL(103,$A$7:A187)</f>
        <v>178</v>
      </c>
      <c r="C187" s="270" t="s">
        <v>2082</v>
      </c>
      <c r="D187" s="271">
        <f t="shared" ref="D187:D198" si="7">E187+F187+G187+H187+I187+J187+L187+M187+N187+O187+P187+Q187+R187+S187+T187+U187+V187+W187+X187+Y187+Z187+AA187</f>
        <v>200000</v>
      </c>
      <c r="E187" s="274">
        <v>0</v>
      </c>
      <c r="F187" s="274">
        <v>0</v>
      </c>
      <c r="G187" s="274">
        <v>0</v>
      </c>
      <c r="H187" s="274">
        <v>0</v>
      </c>
      <c r="I187" s="274">
        <v>0</v>
      </c>
      <c r="J187" s="274">
        <v>0</v>
      </c>
      <c r="K187" s="275">
        <v>0</v>
      </c>
      <c r="L187" s="274">
        <v>0</v>
      </c>
      <c r="M187" s="274">
        <v>200000</v>
      </c>
      <c r="N187" s="274">
        <v>0</v>
      </c>
      <c r="O187" s="274">
        <v>0</v>
      </c>
      <c r="P187" s="274">
        <v>0</v>
      </c>
      <c r="Q187" s="274">
        <v>0</v>
      </c>
      <c r="R187" s="274">
        <v>0</v>
      </c>
      <c r="S187" s="274">
        <v>0</v>
      </c>
      <c r="T187" s="274">
        <v>0</v>
      </c>
      <c r="U187" s="274">
        <v>0</v>
      </c>
      <c r="V187" s="274">
        <v>0</v>
      </c>
      <c r="W187" s="274">
        <v>0</v>
      </c>
      <c r="X187" s="274">
        <v>0</v>
      </c>
      <c r="Y187" s="274">
        <v>0</v>
      </c>
      <c r="Z187" s="274">
        <v>0</v>
      </c>
      <c r="AA187" s="274">
        <v>0</v>
      </c>
      <c r="AB187" s="276">
        <v>2020</v>
      </c>
    </row>
    <row r="188" spans="1:28" s="6" customFormat="1" ht="35.25" x14ac:dyDescent="0.5">
      <c r="A188" s="6">
        <v>1</v>
      </c>
      <c r="B188" s="135">
        <f>SUBTOTAL(103,$A$7:A188)</f>
        <v>179</v>
      </c>
      <c r="C188" s="270" t="s">
        <v>2083</v>
      </c>
      <c r="D188" s="271">
        <f t="shared" si="7"/>
        <v>61367.98</v>
      </c>
      <c r="E188" s="274">
        <v>0</v>
      </c>
      <c r="F188" s="274">
        <v>0</v>
      </c>
      <c r="G188" s="274">
        <v>0</v>
      </c>
      <c r="H188" s="274">
        <v>0</v>
      </c>
      <c r="I188" s="274">
        <v>0</v>
      </c>
      <c r="J188" s="274">
        <v>0</v>
      </c>
      <c r="K188" s="275">
        <v>0</v>
      </c>
      <c r="L188" s="274">
        <v>0</v>
      </c>
      <c r="M188" s="274">
        <v>0</v>
      </c>
      <c r="N188" s="274">
        <v>0</v>
      </c>
      <c r="O188" s="274">
        <v>61367.98</v>
      </c>
      <c r="P188" s="274">
        <v>0</v>
      </c>
      <c r="Q188" s="274">
        <v>0</v>
      </c>
      <c r="R188" s="274">
        <v>0</v>
      </c>
      <c r="S188" s="274">
        <v>0</v>
      </c>
      <c r="T188" s="274">
        <v>0</v>
      </c>
      <c r="U188" s="274">
        <v>0</v>
      </c>
      <c r="V188" s="274">
        <v>0</v>
      </c>
      <c r="W188" s="274">
        <v>0</v>
      </c>
      <c r="X188" s="274">
        <v>0</v>
      </c>
      <c r="Y188" s="274">
        <v>0</v>
      </c>
      <c r="Z188" s="274">
        <v>0</v>
      </c>
      <c r="AA188" s="274">
        <v>0</v>
      </c>
      <c r="AB188" s="276">
        <v>2020</v>
      </c>
    </row>
    <row r="189" spans="1:28" s="6" customFormat="1" ht="35.25" x14ac:dyDescent="0.5">
      <c r="A189" s="6">
        <v>1</v>
      </c>
      <c r="B189" s="135">
        <f>SUBTOTAL(103,$A$7:A189)</f>
        <v>180</v>
      </c>
      <c r="C189" s="270" t="s">
        <v>2084</v>
      </c>
      <c r="D189" s="271">
        <f t="shared" si="7"/>
        <v>1400026</v>
      </c>
      <c r="E189" s="274">
        <v>0</v>
      </c>
      <c r="F189" s="274">
        <v>0</v>
      </c>
      <c r="G189" s="274">
        <v>0</v>
      </c>
      <c r="H189" s="274">
        <v>0</v>
      </c>
      <c r="I189" s="274">
        <v>0</v>
      </c>
      <c r="J189" s="274">
        <v>0</v>
      </c>
      <c r="K189" s="275">
        <v>0</v>
      </c>
      <c r="L189" s="274">
        <v>0</v>
      </c>
      <c r="M189" s="274">
        <v>1400026</v>
      </c>
      <c r="N189" s="274">
        <v>0</v>
      </c>
      <c r="O189" s="274">
        <v>0</v>
      </c>
      <c r="P189" s="274">
        <v>0</v>
      </c>
      <c r="Q189" s="274">
        <v>0</v>
      </c>
      <c r="R189" s="274">
        <v>0</v>
      </c>
      <c r="S189" s="274">
        <v>0</v>
      </c>
      <c r="T189" s="274">
        <v>0</v>
      </c>
      <c r="U189" s="274">
        <v>0</v>
      </c>
      <c r="V189" s="274">
        <v>0</v>
      </c>
      <c r="W189" s="274">
        <v>0</v>
      </c>
      <c r="X189" s="274">
        <v>0</v>
      </c>
      <c r="Y189" s="274">
        <v>0</v>
      </c>
      <c r="Z189" s="274">
        <v>0</v>
      </c>
      <c r="AA189" s="274">
        <v>0</v>
      </c>
      <c r="AB189" s="276">
        <v>2020</v>
      </c>
    </row>
    <row r="190" spans="1:28" s="6" customFormat="1" ht="35.25" x14ac:dyDescent="0.5">
      <c r="A190" s="6">
        <v>1</v>
      </c>
      <c r="B190" s="135">
        <f>SUBTOTAL(103,$A$7:A190)</f>
        <v>181</v>
      </c>
      <c r="C190" s="270" t="s">
        <v>2085</v>
      </c>
      <c r="D190" s="271">
        <f t="shared" si="7"/>
        <v>337102.5</v>
      </c>
      <c r="E190" s="274">
        <v>0</v>
      </c>
      <c r="F190" s="274">
        <v>0</v>
      </c>
      <c r="G190" s="274">
        <v>0</v>
      </c>
      <c r="H190" s="274">
        <v>0</v>
      </c>
      <c r="I190" s="274">
        <v>0</v>
      </c>
      <c r="J190" s="274">
        <v>0</v>
      </c>
      <c r="K190" s="275">
        <v>0</v>
      </c>
      <c r="L190" s="274">
        <v>0</v>
      </c>
      <c r="M190" s="274">
        <v>0</v>
      </c>
      <c r="N190" s="274">
        <v>0</v>
      </c>
      <c r="O190" s="274">
        <v>337102.5</v>
      </c>
      <c r="P190" s="274">
        <v>0</v>
      </c>
      <c r="Q190" s="274">
        <v>0</v>
      </c>
      <c r="R190" s="274">
        <v>0</v>
      </c>
      <c r="S190" s="274">
        <v>0</v>
      </c>
      <c r="T190" s="274">
        <v>0</v>
      </c>
      <c r="U190" s="274">
        <v>0</v>
      </c>
      <c r="V190" s="274">
        <v>0</v>
      </c>
      <c r="W190" s="274">
        <v>0</v>
      </c>
      <c r="X190" s="274">
        <v>0</v>
      </c>
      <c r="Y190" s="274">
        <v>0</v>
      </c>
      <c r="Z190" s="274">
        <v>0</v>
      </c>
      <c r="AA190" s="274">
        <v>0</v>
      </c>
      <c r="AB190" s="276">
        <v>2020</v>
      </c>
    </row>
    <row r="191" spans="1:28" s="6" customFormat="1" ht="35.25" x14ac:dyDescent="0.5">
      <c r="A191" s="6">
        <v>1</v>
      </c>
      <c r="B191" s="135">
        <f>SUBTOTAL(103,$A$7:A191)</f>
        <v>182</v>
      </c>
      <c r="C191" s="270" t="s">
        <v>2086</v>
      </c>
      <c r="D191" s="271">
        <f t="shared" si="7"/>
        <v>116978.6</v>
      </c>
      <c r="E191" s="274">
        <v>0</v>
      </c>
      <c r="F191" s="274">
        <v>0</v>
      </c>
      <c r="G191" s="274">
        <v>0</v>
      </c>
      <c r="H191" s="274">
        <v>0</v>
      </c>
      <c r="I191" s="274">
        <v>0</v>
      </c>
      <c r="J191" s="274">
        <v>0</v>
      </c>
      <c r="K191" s="275">
        <v>0</v>
      </c>
      <c r="L191" s="274">
        <v>0</v>
      </c>
      <c r="M191" s="274">
        <v>0</v>
      </c>
      <c r="N191" s="274">
        <v>0</v>
      </c>
      <c r="O191" s="274">
        <v>116978.6</v>
      </c>
      <c r="P191" s="274">
        <v>0</v>
      </c>
      <c r="Q191" s="274">
        <v>0</v>
      </c>
      <c r="R191" s="274">
        <v>0</v>
      </c>
      <c r="S191" s="274">
        <v>0</v>
      </c>
      <c r="T191" s="274">
        <v>0</v>
      </c>
      <c r="U191" s="274">
        <v>0</v>
      </c>
      <c r="V191" s="274">
        <v>0</v>
      </c>
      <c r="W191" s="274">
        <v>0</v>
      </c>
      <c r="X191" s="274">
        <v>0</v>
      </c>
      <c r="Y191" s="274">
        <v>0</v>
      </c>
      <c r="Z191" s="274">
        <v>0</v>
      </c>
      <c r="AA191" s="274">
        <v>0</v>
      </c>
      <c r="AB191" s="276">
        <v>2020</v>
      </c>
    </row>
    <row r="192" spans="1:28" s="6" customFormat="1" ht="35.25" x14ac:dyDescent="0.5">
      <c r="A192" s="6">
        <v>1</v>
      </c>
      <c r="B192" s="135">
        <f>SUBTOTAL(103,$A$7:A192)</f>
        <v>183</v>
      </c>
      <c r="C192" s="270" t="s">
        <v>2087</v>
      </c>
      <c r="D192" s="271">
        <f t="shared" si="7"/>
        <v>1743260</v>
      </c>
      <c r="E192" s="274">
        <v>0</v>
      </c>
      <c r="F192" s="274">
        <v>0</v>
      </c>
      <c r="G192" s="274">
        <v>0</v>
      </c>
      <c r="H192" s="274">
        <v>0</v>
      </c>
      <c r="I192" s="274">
        <v>0</v>
      </c>
      <c r="J192" s="274">
        <v>0</v>
      </c>
      <c r="K192" s="275">
        <v>0</v>
      </c>
      <c r="L192" s="274">
        <v>0</v>
      </c>
      <c r="M192" s="274">
        <v>1743260</v>
      </c>
      <c r="N192" s="274">
        <v>0</v>
      </c>
      <c r="O192" s="274">
        <v>0</v>
      </c>
      <c r="P192" s="274">
        <v>0</v>
      </c>
      <c r="Q192" s="274">
        <v>0</v>
      </c>
      <c r="R192" s="274">
        <v>0</v>
      </c>
      <c r="S192" s="274">
        <v>0</v>
      </c>
      <c r="T192" s="274">
        <v>0</v>
      </c>
      <c r="U192" s="274">
        <v>0</v>
      </c>
      <c r="V192" s="274">
        <v>0</v>
      </c>
      <c r="W192" s="274">
        <v>0</v>
      </c>
      <c r="X192" s="274">
        <v>0</v>
      </c>
      <c r="Y192" s="274">
        <v>0</v>
      </c>
      <c r="Z192" s="274">
        <v>0</v>
      </c>
      <c r="AA192" s="274">
        <v>0</v>
      </c>
      <c r="AB192" s="276">
        <v>2020</v>
      </c>
    </row>
    <row r="193" spans="1:28" s="6" customFormat="1" ht="35.25" x14ac:dyDescent="0.5">
      <c r="A193" s="6">
        <v>1</v>
      </c>
      <c r="B193" s="135">
        <f>SUBTOTAL(103,$A$7:A193)</f>
        <v>184</v>
      </c>
      <c r="C193" s="270" t="s">
        <v>2088</v>
      </c>
      <c r="D193" s="271">
        <f t="shared" si="7"/>
        <v>443151.81</v>
      </c>
      <c r="E193" s="274">
        <v>0</v>
      </c>
      <c r="F193" s="274">
        <v>0</v>
      </c>
      <c r="G193" s="274">
        <v>0</v>
      </c>
      <c r="H193" s="274">
        <v>0</v>
      </c>
      <c r="I193" s="274">
        <v>0</v>
      </c>
      <c r="J193" s="274">
        <v>0</v>
      </c>
      <c r="K193" s="275">
        <v>0</v>
      </c>
      <c r="L193" s="274">
        <v>0</v>
      </c>
      <c r="M193" s="274">
        <v>443151.81</v>
      </c>
      <c r="N193" s="274">
        <v>0</v>
      </c>
      <c r="O193" s="274">
        <v>0</v>
      </c>
      <c r="P193" s="274">
        <v>0</v>
      </c>
      <c r="Q193" s="274">
        <v>0</v>
      </c>
      <c r="R193" s="274">
        <v>0</v>
      </c>
      <c r="S193" s="274">
        <v>0</v>
      </c>
      <c r="T193" s="274">
        <v>0</v>
      </c>
      <c r="U193" s="274">
        <v>0</v>
      </c>
      <c r="V193" s="274">
        <v>0</v>
      </c>
      <c r="W193" s="274">
        <v>0</v>
      </c>
      <c r="X193" s="274">
        <v>0</v>
      </c>
      <c r="Y193" s="274">
        <v>0</v>
      </c>
      <c r="Z193" s="274">
        <v>0</v>
      </c>
      <c r="AA193" s="274">
        <v>0</v>
      </c>
      <c r="AB193" s="276">
        <v>2020</v>
      </c>
    </row>
    <row r="194" spans="1:28" s="6" customFormat="1" ht="35.25" x14ac:dyDescent="0.5">
      <c r="A194" s="6">
        <v>1</v>
      </c>
      <c r="B194" s="135">
        <f>SUBTOTAL(103,$A$7:A194)</f>
        <v>185</v>
      </c>
      <c r="C194" s="270" t="s">
        <v>2089</v>
      </c>
      <c r="D194" s="271">
        <f t="shared" si="7"/>
        <v>234011.67</v>
      </c>
      <c r="E194" s="274">
        <v>0</v>
      </c>
      <c r="F194" s="274">
        <v>0</v>
      </c>
      <c r="G194" s="274">
        <v>0</v>
      </c>
      <c r="H194" s="274">
        <v>0</v>
      </c>
      <c r="I194" s="274">
        <v>0</v>
      </c>
      <c r="J194" s="274">
        <v>0</v>
      </c>
      <c r="K194" s="275">
        <v>0</v>
      </c>
      <c r="L194" s="274">
        <v>0</v>
      </c>
      <c r="M194" s="274">
        <v>0</v>
      </c>
      <c r="N194" s="274">
        <v>0</v>
      </c>
      <c r="O194" s="274">
        <v>234011.67</v>
      </c>
      <c r="P194" s="274">
        <v>0</v>
      </c>
      <c r="Q194" s="274">
        <v>0</v>
      </c>
      <c r="R194" s="274">
        <v>0</v>
      </c>
      <c r="S194" s="274">
        <v>0</v>
      </c>
      <c r="T194" s="274">
        <v>0</v>
      </c>
      <c r="U194" s="274">
        <v>0</v>
      </c>
      <c r="V194" s="274">
        <v>0</v>
      </c>
      <c r="W194" s="274">
        <v>0</v>
      </c>
      <c r="X194" s="274">
        <v>0</v>
      </c>
      <c r="Y194" s="274">
        <v>0</v>
      </c>
      <c r="Z194" s="274">
        <v>0</v>
      </c>
      <c r="AA194" s="274">
        <v>0</v>
      </c>
      <c r="AB194" s="276">
        <v>2020</v>
      </c>
    </row>
    <row r="195" spans="1:28" s="6" customFormat="1" ht="35.25" x14ac:dyDescent="0.5">
      <c r="A195" s="6">
        <v>1</v>
      </c>
      <c r="B195" s="135">
        <f>SUBTOTAL(103,$A$7:A195)</f>
        <v>186</v>
      </c>
      <c r="C195" s="270" t="s">
        <v>2090</v>
      </c>
      <c r="D195" s="271">
        <f t="shared" si="7"/>
        <v>257497.1</v>
      </c>
      <c r="E195" s="274">
        <v>0</v>
      </c>
      <c r="F195" s="274">
        <v>0</v>
      </c>
      <c r="G195" s="274">
        <v>0</v>
      </c>
      <c r="H195" s="274">
        <v>0</v>
      </c>
      <c r="I195" s="274">
        <v>0</v>
      </c>
      <c r="J195" s="274">
        <v>0</v>
      </c>
      <c r="K195" s="275">
        <v>0</v>
      </c>
      <c r="L195" s="274">
        <v>0</v>
      </c>
      <c r="M195" s="274">
        <v>0</v>
      </c>
      <c r="N195" s="274">
        <v>0</v>
      </c>
      <c r="O195" s="274">
        <v>257497.1</v>
      </c>
      <c r="P195" s="274">
        <v>0</v>
      </c>
      <c r="Q195" s="274">
        <v>0</v>
      </c>
      <c r="R195" s="274">
        <v>0</v>
      </c>
      <c r="S195" s="274">
        <v>0</v>
      </c>
      <c r="T195" s="274">
        <v>0</v>
      </c>
      <c r="U195" s="274">
        <v>0</v>
      </c>
      <c r="V195" s="274">
        <v>0</v>
      </c>
      <c r="W195" s="274">
        <v>0</v>
      </c>
      <c r="X195" s="274">
        <v>0</v>
      </c>
      <c r="Y195" s="274">
        <v>0</v>
      </c>
      <c r="Z195" s="274">
        <v>0</v>
      </c>
      <c r="AA195" s="274">
        <v>0</v>
      </c>
      <c r="AB195" s="276">
        <v>2020</v>
      </c>
    </row>
    <row r="196" spans="1:28" s="6" customFormat="1" ht="35.25" x14ac:dyDescent="0.5">
      <c r="A196" s="6">
        <v>1</v>
      </c>
      <c r="B196" s="135">
        <f>SUBTOTAL(103,$A$7:A196)</f>
        <v>187</v>
      </c>
      <c r="C196" s="270" t="s">
        <v>2091</v>
      </c>
      <c r="D196" s="271">
        <f t="shared" si="7"/>
        <v>654544.92000000004</v>
      </c>
      <c r="E196" s="274">
        <v>0</v>
      </c>
      <c r="F196" s="274">
        <v>0</v>
      </c>
      <c r="G196" s="274">
        <v>0</v>
      </c>
      <c r="H196" s="274">
        <v>0</v>
      </c>
      <c r="I196" s="274">
        <v>0</v>
      </c>
      <c r="J196" s="274">
        <v>0</v>
      </c>
      <c r="K196" s="275">
        <v>0</v>
      </c>
      <c r="L196" s="274">
        <v>0</v>
      </c>
      <c r="M196" s="274">
        <v>654544.92000000004</v>
      </c>
      <c r="N196" s="274">
        <v>0</v>
      </c>
      <c r="O196" s="274">
        <v>0</v>
      </c>
      <c r="P196" s="274">
        <v>0</v>
      </c>
      <c r="Q196" s="274">
        <v>0</v>
      </c>
      <c r="R196" s="274">
        <v>0</v>
      </c>
      <c r="S196" s="274">
        <v>0</v>
      </c>
      <c r="T196" s="274">
        <v>0</v>
      </c>
      <c r="U196" s="274">
        <v>0</v>
      </c>
      <c r="V196" s="274">
        <v>0</v>
      </c>
      <c r="W196" s="274">
        <v>0</v>
      </c>
      <c r="X196" s="274">
        <v>0</v>
      </c>
      <c r="Y196" s="274">
        <v>0</v>
      </c>
      <c r="Z196" s="274">
        <v>0</v>
      </c>
      <c r="AA196" s="274">
        <v>0</v>
      </c>
      <c r="AB196" s="276">
        <v>2020</v>
      </c>
    </row>
    <row r="197" spans="1:28" s="6" customFormat="1" ht="35.25" x14ac:dyDescent="0.5">
      <c r="A197" s="6">
        <v>1</v>
      </c>
      <c r="B197" s="135">
        <f>SUBTOTAL(103,$A$7:A197)</f>
        <v>188</v>
      </c>
      <c r="C197" s="270" t="s">
        <v>2092</v>
      </c>
      <c r="D197" s="271">
        <f t="shared" si="7"/>
        <v>179604.7</v>
      </c>
      <c r="E197" s="274">
        <v>0</v>
      </c>
      <c r="F197" s="274">
        <v>0</v>
      </c>
      <c r="G197" s="274">
        <v>0</v>
      </c>
      <c r="H197" s="274">
        <v>0</v>
      </c>
      <c r="I197" s="274">
        <v>0</v>
      </c>
      <c r="J197" s="274">
        <v>0</v>
      </c>
      <c r="K197" s="275">
        <v>0</v>
      </c>
      <c r="L197" s="274">
        <v>0</v>
      </c>
      <c r="M197" s="274">
        <v>86162</v>
      </c>
      <c r="N197" s="274">
        <v>0</v>
      </c>
      <c r="O197" s="274">
        <v>93442.7</v>
      </c>
      <c r="P197" s="274">
        <v>0</v>
      </c>
      <c r="Q197" s="274">
        <v>0</v>
      </c>
      <c r="R197" s="274">
        <v>0</v>
      </c>
      <c r="S197" s="274">
        <v>0</v>
      </c>
      <c r="T197" s="274">
        <v>0</v>
      </c>
      <c r="U197" s="274">
        <v>0</v>
      </c>
      <c r="V197" s="274">
        <v>0</v>
      </c>
      <c r="W197" s="274">
        <v>0</v>
      </c>
      <c r="X197" s="274">
        <v>0</v>
      </c>
      <c r="Y197" s="274">
        <v>0</v>
      </c>
      <c r="Z197" s="274">
        <v>0</v>
      </c>
      <c r="AA197" s="274">
        <v>0</v>
      </c>
      <c r="AB197" s="276">
        <v>2020</v>
      </c>
    </row>
    <row r="198" spans="1:28" s="6" customFormat="1" ht="35.25" x14ac:dyDescent="0.5">
      <c r="A198" s="6">
        <v>1</v>
      </c>
      <c r="B198" s="135">
        <f>SUBTOTAL(103,$A$7:A198)</f>
        <v>189</v>
      </c>
      <c r="C198" s="270" t="s">
        <v>2093</v>
      </c>
      <c r="D198" s="271">
        <f t="shared" si="7"/>
        <v>1818274</v>
      </c>
      <c r="E198" s="274">
        <v>0</v>
      </c>
      <c r="F198" s="274">
        <v>0</v>
      </c>
      <c r="G198" s="274">
        <v>0</v>
      </c>
      <c r="H198" s="274">
        <v>0</v>
      </c>
      <c r="I198" s="274">
        <v>0</v>
      </c>
      <c r="J198" s="274">
        <v>0</v>
      </c>
      <c r="K198" s="275">
        <v>0</v>
      </c>
      <c r="L198" s="274">
        <v>0</v>
      </c>
      <c r="M198" s="274">
        <v>1818274</v>
      </c>
      <c r="N198" s="274">
        <v>0</v>
      </c>
      <c r="O198" s="274">
        <v>0</v>
      </c>
      <c r="P198" s="274">
        <v>0</v>
      </c>
      <c r="Q198" s="274">
        <v>0</v>
      </c>
      <c r="R198" s="274">
        <v>0</v>
      </c>
      <c r="S198" s="274">
        <v>0</v>
      </c>
      <c r="T198" s="274">
        <v>0</v>
      </c>
      <c r="U198" s="274">
        <v>0</v>
      </c>
      <c r="V198" s="274">
        <v>0</v>
      </c>
      <c r="W198" s="274">
        <v>0</v>
      </c>
      <c r="X198" s="274">
        <v>0</v>
      </c>
      <c r="Y198" s="274">
        <v>0</v>
      </c>
      <c r="Z198" s="274">
        <v>0</v>
      </c>
      <c r="AA198" s="274">
        <v>0</v>
      </c>
      <c r="AB198" s="276">
        <v>2020</v>
      </c>
    </row>
    <row r="199" spans="1:28" s="6" customFormat="1" ht="35.25" x14ac:dyDescent="0.5">
      <c r="A199" s="6">
        <v>1</v>
      </c>
      <c r="B199" s="135">
        <f>SUBTOTAL(103,$A$7:A199)</f>
        <v>190</v>
      </c>
      <c r="C199" s="270" t="s">
        <v>1817</v>
      </c>
      <c r="D199" s="271">
        <f>E199+F199+G199+H199+I199+J199+L199+M199+N199+O199+P199+Q199+R199+S199+T199+U199+V199+W199+X199+Y199+Z199+AA199</f>
        <v>467041.56000000006</v>
      </c>
      <c r="E199" s="274">
        <v>467041.56000000006</v>
      </c>
      <c r="F199" s="274">
        <v>0</v>
      </c>
      <c r="G199" s="274">
        <v>0</v>
      </c>
      <c r="H199" s="274">
        <v>0</v>
      </c>
      <c r="I199" s="274">
        <v>0</v>
      </c>
      <c r="J199" s="274">
        <v>0</v>
      </c>
      <c r="K199" s="275">
        <v>0</v>
      </c>
      <c r="L199" s="274">
        <v>0</v>
      </c>
      <c r="M199" s="274">
        <v>0</v>
      </c>
      <c r="N199" s="274">
        <v>0</v>
      </c>
      <c r="O199" s="274">
        <v>0</v>
      </c>
      <c r="P199" s="274">
        <v>0</v>
      </c>
      <c r="Q199" s="274">
        <v>0</v>
      </c>
      <c r="R199" s="274">
        <v>0</v>
      </c>
      <c r="S199" s="274">
        <v>0</v>
      </c>
      <c r="T199" s="274">
        <v>0</v>
      </c>
      <c r="U199" s="274">
        <v>0</v>
      </c>
      <c r="V199" s="274">
        <v>0</v>
      </c>
      <c r="W199" s="274">
        <v>0</v>
      </c>
      <c r="X199" s="274">
        <v>0</v>
      </c>
      <c r="Y199" s="274">
        <v>0</v>
      </c>
      <c r="Z199" s="274">
        <v>0</v>
      </c>
      <c r="AA199" s="274">
        <v>0</v>
      </c>
      <c r="AB199" s="276">
        <v>2020</v>
      </c>
    </row>
    <row r="200" spans="1:28" s="6" customFormat="1" ht="35.25" customHeight="1" x14ac:dyDescent="0.5">
      <c r="B200" s="280" t="s">
        <v>1052</v>
      </c>
      <c r="C200" s="270"/>
      <c r="D200" s="271">
        <f t="shared" ref="D200:AA200" si="8">SUM(D201:D219)</f>
        <v>13015967.350000001</v>
      </c>
      <c r="E200" s="271">
        <f t="shared" si="8"/>
        <v>0</v>
      </c>
      <c r="F200" s="271">
        <f t="shared" si="8"/>
        <v>158850</v>
      </c>
      <c r="G200" s="271">
        <f t="shared" si="8"/>
        <v>3297757.6</v>
      </c>
      <c r="H200" s="271">
        <f t="shared" si="8"/>
        <v>180729</v>
      </c>
      <c r="I200" s="271">
        <f t="shared" si="8"/>
        <v>767639</v>
      </c>
      <c r="J200" s="271">
        <f t="shared" si="8"/>
        <v>0</v>
      </c>
      <c r="K200" s="272">
        <f t="shared" si="8"/>
        <v>0</v>
      </c>
      <c r="L200" s="271">
        <f t="shared" si="8"/>
        <v>0</v>
      </c>
      <c r="M200" s="271">
        <f t="shared" si="8"/>
        <v>5673268.7000000002</v>
      </c>
      <c r="N200" s="271">
        <f t="shared" si="8"/>
        <v>405002</v>
      </c>
      <c r="O200" s="271">
        <f t="shared" si="8"/>
        <v>2150881.7999999998</v>
      </c>
      <c r="P200" s="271">
        <f t="shared" si="8"/>
        <v>381839.25</v>
      </c>
      <c r="Q200" s="271">
        <f t="shared" si="8"/>
        <v>0</v>
      </c>
      <c r="R200" s="271">
        <f t="shared" si="8"/>
        <v>0</v>
      </c>
      <c r="S200" s="271">
        <f t="shared" si="8"/>
        <v>0</v>
      </c>
      <c r="T200" s="271">
        <f t="shared" si="8"/>
        <v>0</v>
      </c>
      <c r="U200" s="271">
        <f t="shared" si="8"/>
        <v>0</v>
      </c>
      <c r="V200" s="271">
        <f t="shared" si="8"/>
        <v>0</v>
      </c>
      <c r="W200" s="271">
        <f t="shared" si="8"/>
        <v>0</v>
      </c>
      <c r="X200" s="271">
        <f t="shared" si="8"/>
        <v>0</v>
      </c>
      <c r="Y200" s="271">
        <f t="shared" si="8"/>
        <v>0</v>
      </c>
      <c r="Z200" s="271">
        <f t="shared" si="8"/>
        <v>0</v>
      </c>
      <c r="AA200" s="271">
        <f t="shared" si="8"/>
        <v>0</v>
      </c>
      <c r="AB200" s="273" t="s">
        <v>896</v>
      </c>
    </row>
    <row r="201" spans="1:28" s="6" customFormat="1" ht="35.25" x14ac:dyDescent="0.5">
      <c r="A201" s="6">
        <v>1</v>
      </c>
      <c r="B201" s="135">
        <f>SUBTOTAL(103,$A$7:A201)</f>
        <v>191</v>
      </c>
      <c r="C201" s="270" t="s">
        <v>1818</v>
      </c>
      <c r="D201" s="271">
        <f>E201+F201+G201+H201+I201+J201+L201+M201+N201+O201+P201+Q201+R201+S201+T201+U201+V201+W201+X201+Y201+Z201+AA201</f>
        <v>2244121</v>
      </c>
      <c r="E201" s="274">
        <v>0</v>
      </c>
      <c r="F201" s="274">
        <v>0</v>
      </c>
      <c r="G201" s="274">
        <v>0</v>
      </c>
      <c r="H201" s="274">
        <v>0</v>
      </c>
      <c r="I201" s="274">
        <v>0</v>
      </c>
      <c r="J201" s="274">
        <v>0</v>
      </c>
      <c r="K201" s="275">
        <v>0</v>
      </c>
      <c r="L201" s="274">
        <v>0</v>
      </c>
      <c r="M201" s="274">
        <v>2244121</v>
      </c>
      <c r="N201" s="274">
        <v>0</v>
      </c>
      <c r="O201" s="274">
        <v>0</v>
      </c>
      <c r="P201" s="274">
        <v>0</v>
      </c>
      <c r="Q201" s="274">
        <v>0</v>
      </c>
      <c r="R201" s="274">
        <v>0</v>
      </c>
      <c r="S201" s="274">
        <v>0</v>
      </c>
      <c r="T201" s="274">
        <v>0</v>
      </c>
      <c r="U201" s="274">
        <v>0</v>
      </c>
      <c r="V201" s="274">
        <v>0</v>
      </c>
      <c r="W201" s="274">
        <v>0</v>
      </c>
      <c r="X201" s="274">
        <v>0</v>
      </c>
      <c r="Y201" s="274">
        <v>0</v>
      </c>
      <c r="Z201" s="274">
        <v>0</v>
      </c>
      <c r="AA201" s="274">
        <v>0</v>
      </c>
      <c r="AB201" s="276">
        <v>2020</v>
      </c>
    </row>
    <row r="202" spans="1:28" s="6" customFormat="1" ht="35.25" customHeight="1" x14ac:dyDescent="0.5">
      <c r="A202" s="6">
        <v>1</v>
      </c>
      <c r="B202" s="135">
        <f>SUBTOTAL(103,$A$7:A202)</f>
        <v>192</v>
      </c>
      <c r="C202" s="270" t="s">
        <v>1819</v>
      </c>
      <c r="D202" s="271">
        <f>E202+F202+G202+H202+I202+J202+L202+M202+N202+O202+P202+Q202+R202+S202+T202+U202+V202+W202+X202+Y202+Z202+AA202</f>
        <v>649639</v>
      </c>
      <c r="E202" s="274">
        <v>0</v>
      </c>
      <c r="F202" s="274">
        <v>0</v>
      </c>
      <c r="G202" s="274">
        <v>0</v>
      </c>
      <c r="H202" s="274">
        <v>0</v>
      </c>
      <c r="I202" s="274">
        <v>649639</v>
      </c>
      <c r="J202" s="274">
        <v>0</v>
      </c>
      <c r="K202" s="275">
        <v>0</v>
      </c>
      <c r="L202" s="274">
        <v>0</v>
      </c>
      <c r="M202" s="274">
        <v>0</v>
      </c>
      <c r="N202" s="274">
        <v>0</v>
      </c>
      <c r="O202" s="274">
        <v>0</v>
      </c>
      <c r="P202" s="274">
        <v>0</v>
      </c>
      <c r="Q202" s="274">
        <v>0</v>
      </c>
      <c r="R202" s="274">
        <v>0</v>
      </c>
      <c r="S202" s="274">
        <v>0</v>
      </c>
      <c r="T202" s="274">
        <v>0</v>
      </c>
      <c r="U202" s="274">
        <v>0</v>
      </c>
      <c r="V202" s="274">
        <v>0</v>
      </c>
      <c r="W202" s="274">
        <v>0</v>
      </c>
      <c r="X202" s="274">
        <v>0</v>
      </c>
      <c r="Y202" s="274">
        <v>0</v>
      </c>
      <c r="Z202" s="274">
        <v>0</v>
      </c>
      <c r="AA202" s="274">
        <v>0</v>
      </c>
      <c r="AB202" s="276">
        <v>2020</v>
      </c>
    </row>
    <row r="203" spans="1:28" s="6" customFormat="1" ht="35.25" customHeight="1" x14ac:dyDescent="0.5">
      <c r="A203" s="6">
        <v>1</v>
      </c>
      <c r="B203" s="135">
        <f>SUBTOTAL(103,$A$7:A203)</f>
        <v>193</v>
      </c>
      <c r="C203" s="270" t="s">
        <v>1820</v>
      </c>
      <c r="D203" s="271">
        <f>E203+F203+G203+H203+I203+J203+L203+M203+N203+O203+P203+Q203+R203+S203+T203+U203+V203+W203+X203+Y203+Z203+AA203</f>
        <v>158850</v>
      </c>
      <c r="E203" s="274">
        <v>0</v>
      </c>
      <c r="F203" s="274">
        <v>158850</v>
      </c>
      <c r="G203" s="274">
        <v>0</v>
      </c>
      <c r="H203" s="274">
        <v>0</v>
      </c>
      <c r="I203" s="274">
        <v>0</v>
      </c>
      <c r="J203" s="274">
        <v>0</v>
      </c>
      <c r="K203" s="275">
        <v>0</v>
      </c>
      <c r="L203" s="274">
        <v>0</v>
      </c>
      <c r="M203" s="274">
        <v>0</v>
      </c>
      <c r="N203" s="274">
        <v>0</v>
      </c>
      <c r="O203" s="274">
        <v>0</v>
      </c>
      <c r="P203" s="274">
        <v>0</v>
      </c>
      <c r="Q203" s="274">
        <v>0</v>
      </c>
      <c r="R203" s="274">
        <v>0</v>
      </c>
      <c r="S203" s="274">
        <v>0</v>
      </c>
      <c r="T203" s="274">
        <v>0</v>
      </c>
      <c r="U203" s="274">
        <v>0</v>
      </c>
      <c r="V203" s="274">
        <v>0</v>
      </c>
      <c r="W203" s="274">
        <v>0</v>
      </c>
      <c r="X203" s="274">
        <v>0</v>
      </c>
      <c r="Y203" s="274">
        <v>0</v>
      </c>
      <c r="Z203" s="274">
        <v>0</v>
      </c>
      <c r="AA203" s="274">
        <v>0</v>
      </c>
      <c r="AB203" s="276">
        <v>2020</v>
      </c>
    </row>
    <row r="204" spans="1:28" s="6" customFormat="1" ht="35.25" x14ac:dyDescent="0.5">
      <c r="A204" s="6">
        <v>1</v>
      </c>
      <c r="B204" s="135">
        <f>SUBTOTAL(103,$A$7:A204)</f>
        <v>194</v>
      </c>
      <c r="C204" s="270" t="s">
        <v>2094</v>
      </c>
      <c r="D204" s="271">
        <v>187000</v>
      </c>
      <c r="E204" s="274">
        <v>0</v>
      </c>
      <c r="F204" s="274">
        <v>0</v>
      </c>
      <c r="G204" s="274">
        <v>0</v>
      </c>
      <c r="H204" s="274">
        <v>0</v>
      </c>
      <c r="I204" s="274">
        <v>0</v>
      </c>
      <c r="J204" s="274">
        <v>0</v>
      </c>
      <c r="K204" s="275">
        <v>0</v>
      </c>
      <c r="L204" s="274">
        <v>0</v>
      </c>
      <c r="M204" s="274">
        <v>187000</v>
      </c>
      <c r="N204" s="274">
        <v>0</v>
      </c>
      <c r="O204" s="274">
        <v>0</v>
      </c>
      <c r="P204" s="274">
        <v>0</v>
      </c>
      <c r="Q204" s="274">
        <v>0</v>
      </c>
      <c r="R204" s="274">
        <v>0</v>
      </c>
      <c r="S204" s="274">
        <v>0</v>
      </c>
      <c r="T204" s="274">
        <v>0</v>
      </c>
      <c r="U204" s="274">
        <v>0</v>
      </c>
      <c r="V204" s="274">
        <v>0</v>
      </c>
      <c r="W204" s="274">
        <v>0</v>
      </c>
      <c r="X204" s="274">
        <v>0</v>
      </c>
      <c r="Y204" s="274">
        <v>0</v>
      </c>
      <c r="Z204" s="274">
        <v>0</v>
      </c>
      <c r="AA204" s="274">
        <v>0</v>
      </c>
      <c r="AB204" s="276">
        <v>2020</v>
      </c>
    </row>
    <row r="205" spans="1:28" s="6" customFormat="1" ht="35.25" x14ac:dyDescent="0.5">
      <c r="A205" s="6">
        <v>1</v>
      </c>
      <c r="B205" s="135">
        <f>SUBTOTAL(103,$A$7:A205)</f>
        <v>195</v>
      </c>
      <c r="C205" s="270" t="s">
        <v>2095</v>
      </c>
      <c r="D205" s="271">
        <v>405002</v>
      </c>
      <c r="E205" s="274">
        <v>0</v>
      </c>
      <c r="F205" s="274">
        <v>0</v>
      </c>
      <c r="G205" s="274">
        <v>0</v>
      </c>
      <c r="H205" s="274">
        <v>0</v>
      </c>
      <c r="I205" s="274">
        <v>0</v>
      </c>
      <c r="J205" s="274">
        <v>0</v>
      </c>
      <c r="K205" s="275">
        <v>0</v>
      </c>
      <c r="L205" s="274">
        <v>0</v>
      </c>
      <c r="M205" s="274">
        <v>0</v>
      </c>
      <c r="N205" s="274">
        <v>405002</v>
      </c>
      <c r="O205" s="274">
        <v>0</v>
      </c>
      <c r="P205" s="274">
        <v>0</v>
      </c>
      <c r="Q205" s="274">
        <v>0</v>
      </c>
      <c r="R205" s="274">
        <v>0</v>
      </c>
      <c r="S205" s="274">
        <v>0</v>
      </c>
      <c r="T205" s="274">
        <v>0</v>
      </c>
      <c r="U205" s="274">
        <v>0</v>
      </c>
      <c r="V205" s="274">
        <v>0</v>
      </c>
      <c r="W205" s="274">
        <v>0</v>
      </c>
      <c r="X205" s="274">
        <v>0</v>
      </c>
      <c r="Y205" s="274">
        <v>0</v>
      </c>
      <c r="Z205" s="274">
        <v>0</v>
      </c>
      <c r="AA205" s="274">
        <v>0</v>
      </c>
      <c r="AB205" s="276">
        <v>2020</v>
      </c>
    </row>
    <row r="206" spans="1:28" s="6" customFormat="1" ht="35.25" x14ac:dyDescent="0.5">
      <c r="A206" s="6">
        <v>1</v>
      </c>
      <c r="B206" s="135">
        <f>SUBTOTAL(103,$A$7:A206)</f>
        <v>196</v>
      </c>
      <c r="C206" s="270" t="s">
        <v>2096</v>
      </c>
      <c r="D206" s="271">
        <v>677014</v>
      </c>
      <c r="E206" s="274">
        <v>0</v>
      </c>
      <c r="F206" s="274">
        <v>0</v>
      </c>
      <c r="G206" s="274">
        <v>408760</v>
      </c>
      <c r="H206" s="274">
        <v>0</v>
      </c>
      <c r="I206" s="274">
        <v>0</v>
      </c>
      <c r="J206" s="274">
        <v>0</v>
      </c>
      <c r="K206" s="275">
        <v>0</v>
      </c>
      <c r="L206" s="274">
        <v>0</v>
      </c>
      <c r="M206" s="274">
        <v>0</v>
      </c>
      <c r="N206" s="274">
        <v>0</v>
      </c>
      <c r="O206" s="274">
        <v>268254</v>
      </c>
      <c r="P206" s="274">
        <v>0</v>
      </c>
      <c r="Q206" s="274">
        <v>0</v>
      </c>
      <c r="R206" s="274">
        <v>0</v>
      </c>
      <c r="S206" s="274">
        <v>0</v>
      </c>
      <c r="T206" s="274">
        <v>0</v>
      </c>
      <c r="U206" s="274">
        <v>0</v>
      </c>
      <c r="V206" s="274">
        <v>0</v>
      </c>
      <c r="W206" s="274">
        <v>0</v>
      </c>
      <c r="X206" s="274">
        <v>0</v>
      </c>
      <c r="Y206" s="274">
        <v>0</v>
      </c>
      <c r="Z206" s="274">
        <v>0</v>
      </c>
      <c r="AA206" s="274">
        <v>0</v>
      </c>
      <c r="AB206" s="276">
        <v>2020</v>
      </c>
    </row>
    <row r="207" spans="1:28" s="6" customFormat="1" ht="35.25" x14ac:dyDescent="0.5">
      <c r="A207" s="6">
        <v>1</v>
      </c>
      <c r="B207" s="135">
        <f>SUBTOTAL(103,$A$7:A207)</f>
        <v>197</v>
      </c>
      <c r="C207" s="270" t="s">
        <v>2097</v>
      </c>
      <c r="D207" s="271">
        <v>121407</v>
      </c>
      <c r="E207" s="274">
        <v>0</v>
      </c>
      <c r="F207" s="274">
        <v>0</v>
      </c>
      <c r="G207" s="274">
        <v>0</v>
      </c>
      <c r="H207" s="274">
        <v>0</v>
      </c>
      <c r="I207" s="274">
        <v>0</v>
      </c>
      <c r="J207" s="274">
        <v>0</v>
      </c>
      <c r="K207" s="275">
        <v>0</v>
      </c>
      <c r="L207" s="274">
        <v>0</v>
      </c>
      <c r="M207" s="274">
        <v>0</v>
      </c>
      <c r="N207" s="274">
        <v>0</v>
      </c>
      <c r="O207" s="274">
        <v>121407</v>
      </c>
      <c r="P207" s="274">
        <v>0</v>
      </c>
      <c r="Q207" s="274">
        <v>0</v>
      </c>
      <c r="R207" s="274">
        <v>0</v>
      </c>
      <c r="S207" s="274">
        <v>0</v>
      </c>
      <c r="T207" s="274">
        <v>0</v>
      </c>
      <c r="U207" s="274">
        <v>0</v>
      </c>
      <c r="V207" s="274">
        <v>0</v>
      </c>
      <c r="W207" s="274">
        <v>0</v>
      </c>
      <c r="X207" s="274">
        <v>0</v>
      </c>
      <c r="Y207" s="274">
        <v>0</v>
      </c>
      <c r="Z207" s="274">
        <v>0</v>
      </c>
      <c r="AA207" s="274">
        <v>0</v>
      </c>
      <c r="AB207" s="276">
        <v>2020</v>
      </c>
    </row>
    <row r="208" spans="1:28" s="6" customFormat="1" ht="35.25" x14ac:dyDescent="0.5">
      <c r="A208" s="6">
        <v>1</v>
      </c>
      <c r="B208" s="135">
        <f>SUBTOTAL(103,$A$7:A208)</f>
        <v>198</v>
      </c>
      <c r="C208" s="270" t="s">
        <v>2098</v>
      </c>
      <c r="D208" s="271">
        <v>320000</v>
      </c>
      <c r="E208" s="274">
        <v>0</v>
      </c>
      <c r="F208" s="274">
        <v>0</v>
      </c>
      <c r="G208" s="274">
        <v>0</v>
      </c>
      <c r="H208" s="274">
        <v>0</v>
      </c>
      <c r="I208" s="274">
        <v>0</v>
      </c>
      <c r="J208" s="274">
        <v>0</v>
      </c>
      <c r="K208" s="275">
        <v>0</v>
      </c>
      <c r="L208" s="274">
        <v>0</v>
      </c>
      <c r="M208" s="274">
        <v>0</v>
      </c>
      <c r="N208" s="274">
        <v>0</v>
      </c>
      <c r="O208" s="274">
        <v>0</v>
      </c>
      <c r="P208" s="274">
        <v>320000</v>
      </c>
      <c r="Q208" s="274">
        <v>0</v>
      </c>
      <c r="R208" s="274">
        <v>0</v>
      </c>
      <c r="S208" s="274">
        <v>0</v>
      </c>
      <c r="T208" s="274">
        <v>0</v>
      </c>
      <c r="U208" s="274">
        <v>0</v>
      </c>
      <c r="V208" s="274">
        <v>0</v>
      </c>
      <c r="W208" s="274">
        <v>0</v>
      </c>
      <c r="X208" s="274">
        <v>0</v>
      </c>
      <c r="Y208" s="274">
        <v>0</v>
      </c>
      <c r="Z208" s="274">
        <v>0</v>
      </c>
      <c r="AA208" s="274">
        <v>0</v>
      </c>
      <c r="AB208" s="276">
        <v>2020</v>
      </c>
    </row>
    <row r="209" spans="1:28" s="6" customFormat="1" ht="35.25" x14ac:dyDescent="0.5">
      <c r="A209" s="6">
        <v>1</v>
      </c>
      <c r="B209" s="135">
        <f>SUBTOTAL(103,$A$7:A209)</f>
        <v>199</v>
      </c>
      <c r="C209" s="270" t="s">
        <v>2099</v>
      </c>
      <c r="D209" s="271">
        <f t="shared" ref="D209:D218" si="9">E209+F209+G209+H209+I209+J209+L209+M209+N209+O209+P209+Q209+R209+S209+T209+U209+V209+W209+X209+Y209+Z209+AA209</f>
        <v>672000</v>
      </c>
      <c r="E209" s="274">
        <v>0</v>
      </c>
      <c r="F209" s="274">
        <v>0</v>
      </c>
      <c r="G209" s="274">
        <v>0</v>
      </c>
      <c r="H209" s="274">
        <v>0</v>
      </c>
      <c r="I209" s="274">
        <v>0</v>
      </c>
      <c r="J209" s="274">
        <v>0</v>
      </c>
      <c r="K209" s="275">
        <v>0</v>
      </c>
      <c r="L209" s="274">
        <v>0</v>
      </c>
      <c r="M209" s="274">
        <v>672000</v>
      </c>
      <c r="N209" s="274">
        <v>0</v>
      </c>
      <c r="O209" s="274">
        <v>0</v>
      </c>
      <c r="P209" s="274">
        <v>0</v>
      </c>
      <c r="Q209" s="274">
        <v>0</v>
      </c>
      <c r="R209" s="274">
        <v>0</v>
      </c>
      <c r="S209" s="274">
        <v>0</v>
      </c>
      <c r="T209" s="274">
        <v>0</v>
      </c>
      <c r="U209" s="274">
        <v>0</v>
      </c>
      <c r="V209" s="274">
        <v>0</v>
      </c>
      <c r="W209" s="274">
        <v>0</v>
      </c>
      <c r="X209" s="274">
        <v>0</v>
      </c>
      <c r="Y209" s="274">
        <v>0</v>
      </c>
      <c r="Z209" s="274">
        <v>0</v>
      </c>
      <c r="AA209" s="274">
        <v>0</v>
      </c>
      <c r="AB209" s="276">
        <v>2020</v>
      </c>
    </row>
    <row r="210" spans="1:28" s="6" customFormat="1" ht="35.25" x14ac:dyDescent="0.5">
      <c r="A210" s="6">
        <v>1</v>
      </c>
      <c r="B210" s="135">
        <f>SUBTOTAL(103,$A$7:A210)</f>
        <v>200</v>
      </c>
      <c r="C210" s="270" t="s">
        <v>2100</v>
      </c>
      <c r="D210" s="271">
        <f t="shared" si="9"/>
        <v>118000</v>
      </c>
      <c r="E210" s="274">
        <v>0</v>
      </c>
      <c r="F210" s="274">
        <v>0</v>
      </c>
      <c r="G210" s="274">
        <v>0</v>
      </c>
      <c r="H210" s="274">
        <v>0</v>
      </c>
      <c r="I210" s="274">
        <v>118000</v>
      </c>
      <c r="J210" s="274">
        <v>0</v>
      </c>
      <c r="K210" s="275">
        <v>0</v>
      </c>
      <c r="L210" s="274">
        <v>0</v>
      </c>
      <c r="M210" s="274">
        <v>0</v>
      </c>
      <c r="N210" s="274">
        <v>0</v>
      </c>
      <c r="O210" s="274">
        <v>0</v>
      </c>
      <c r="P210" s="274">
        <v>0</v>
      </c>
      <c r="Q210" s="274">
        <v>0</v>
      </c>
      <c r="R210" s="274">
        <v>0</v>
      </c>
      <c r="S210" s="274">
        <v>0</v>
      </c>
      <c r="T210" s="274">
        <v>0</v>
      </c>
      <c r="U210" s="274">
        <v>0</v>
      </c>
      <c r="V210" s="274">
        <v>0</v>
      </c>
      <c r="W210" s="274">
        <v>0</v>
      </c>
      <c r="X210" s="274">
        <v>0</v>
      </c>
      <c r="Y210" s="274">
        <v>0</v>
      </c>
      <c r="Z210" s="274">
        <v>0</v>
      </c>
      <c r="AA210" s="274">
        <v>0</v>
      </c>
      <c r="AB210" s="276">
        <v>2020</v>
      </c>
    </row>
    <row r="211" spans="1:28" s="6" customFormat="1" ht="35.25" x14ac:dyDescent="0.5">
      <c r="A211" s="6">
        <v>1</v>
      </c>
      <c r="B211" s="135">
        <f>SUBTOTAL(103,$A$7:A211)</f>
        <v>201</v>
      </c>
      <c r="C211" s="270" t="s">
        <v>2101</v>
      </c>
      <c r="D211" s="271">
        <f t="shared" si="9"/>
        <v>717639.7</v>
      </c>
      <c r="E211" s="274">
        <v>0</v>
      </c>
      <c r="F211" s="274">
        <v>0</v>
      </c>
      <c r="G211" s="274">
        <v>0</v>
      </c>
      <c r="H211" s="274">
        <v>0</v>
      </c>
      <c r="I211" s="274">
        <v>0</v>
      </c>
      <c r="J211" s="274">
        <v>0</v>
      </c>
      <c r="K211" s="275">
        <v>0</v>
      </c>
      <c r="L211" s="274">
        <v>0</v>
      </c>
      <c r="M211" s="274">
        <v>717639.7</v>
      </c>
      <c r="N211" s="274">
        <v>0</v>
      </c>
      <c r="O211" s="274">
        <v>0</v>
      </c>
      <c r="P211" s="274">
        <v>0</v>
      </c>
      <c r="Q211" s="274">
        <v>0</v>
      </c>
      <c r="R211" s="274">
        <v>0</v>
      </c>
      <c r="S211" s="274">
        <v>0</v>
      </c>
      <c r="T211" s="274">
        <v>0</v>
      </c>
      <c r="U211" s="274">
        <v>0</v>
      </c>
      <c r="V211" s="274">
        <v>0</v>
      </c>
      <c r="W211" s="274">
        <v>0</v>
      </c>
      <c r="X211" s="274">
        <v>0</v>
      </c>
      <c r="Y211" s="274">
        <v>0</v>
      </c>
      <c r="Z211" s="274">
        <v>0</v>
      </c>
      <c r="AA211" s="274">
        <v>0</v>
      </c>
      <c r="AB211" s="276">
        <v>2020</v>
      </c>
    </row>
    <row r="212" spans="1:28" s="6" customFormat="1" ht="35.25" x14ac:dyDescent="0.5">
      <c r="A212" s="6">
        <v>1</v>
      </c>
      <c r="B212" s="135">
        <f>SUBTOTAL(103,$A$7:A212)</f>
        <v>202</v>
      </c>
      <c r="C212" s="270" t="s">
        <v>2102</v>
      </c>
      <c r="D212" s="271">
        <f t="shared" si="9"/>
        <v>1562529.6</v>
      </c>
      <c r="E212" s="274">
        <v>0</v>
      </c>
      <c r="F212" s="274">
        <v>0</v>
      </c>
      <c r="G212" s="274">
        <v>642237.6</v>
      </c>
      <c r="H212" s="274">
        <v>0</v>
      </c>
      <c r="I212" s="274">
        <v>0</v>
      </c>
      <c r="J212" s="274">
        <v>0</v>
      </c>
      <c r="K212" s="275">
        <v>0</v>
      </c>
      <c r="L212" s="274">
        <v>0</v>
      </c>
      <c r="M212" s="274">
        <v>920292</v>
      </c>
      <c r="N212" s="274">
        <v>0</v>
      </c>
      <c r="O212" s="274">
        <v>0</v>
      </c>
      <c r="P212" s="274">
        <v>0</v>
      </c>
      <c r="Q212" s="274">
        <v>0</v>
      </c>
      <c r="R212" s="274">
        <v>0</v>
      </c>
      <c r="S212" s="274">
        <v>0</v>
      </c>
      <c r="T212" s="274">
        <v>0</v>
      </c>
      <c r="U212" s="274">
        <v>0</v>
      </c>
      <c r="V212" s="274">
        <v>0</v>
      </c>
      <c r="W212" s="274">
        <v>0</v>
      </c>
      <c r="X212" s="274">
        <v>0</v>
      </c>
      <c r="Y212" s="274">
        <v>0</v>
      </c>
      <c r="Z212" s="274">
        <v>0</v>
      </c>
      <c r="AA212" s="274">
        <v>0</v>
      </c>
      <c r="AB212" s="276">
        <v>2020</v>
      </c>
    </row>
    <row r="213" spans="1:28" s="6" customFormat="1" ht="35.25" x14ac:dyDescent="0.5">
      <c r="A213" s="6">
        <v>1</v>
      </c>
      <c r="B213" s="135">
        <f>SUBTOTAL(103,$A$7:A213)</f>
        <v>203</v>
      </c>
      <c r="C213" s="270" t="s">
        <v>2103</v>
      </c>
      <c r="D213" s="271">
        <f t="shared" si="9"/>
        <v>1680000</v>
      </c>
      <c r="E213" s="274">
        <v>0</v>
      </c>
      <c r="F213" s="274">
        <v>0</v>
      </c>
      <c r="G213" s="274">
        <v>1680000</v>
      </c>
      <c r="H213" s="274">
        <v>0</v>
      </c>
      <c r="I213" s="274">
        <v>0</v>
      </c>
      <c r="J213" s="274">
        <v>0</v>
      </c>
      <c r="K213" s="275">
        <v>0</v>
      </c>
      <c r="L213" s="274">
        <v>0</v>
      </c>
      <c r="M213" s="274">
        <v>0</v>
      </c>
      <c r="N213" s="274">
        <v>0</v>
      </c>
      <c r="O213" s="274">
        <v>0</v>
      </c>
      <c r="P213" s="274">
        <v>0</v>
      </c>
      <c r="Q213" s="274">
        <v>0</v>
      </c>
      <c r="R213" s="274">
        <v>0</v>
      </c>
      <c r="S213" s="274">
        <v>0</v>
      </c>
      <c r="T213" s="274">
        <v>0</v>
      </c>
      <c r="U213" s="274">
        <v>0</v>
      </c>
      <c r="V213" s="274">
        <v>0</v>
      </c>
      <c r="W213" s="274">
        <v>0</v>
      </c>
      <c r="X213" s="274">
        <v>0</v>
      </c>
      <c r="Y213" s="274">
        <v>0</v>
      </c>
      <c r="Z213" s="274">
        <v>0</v>
      </c>
      <c r="AA213" s="274">
        <v>0</v>
      </c>
      <c r="AB213" s="276">
        <v>2020</v>
      </c>
    </row>
    <row r="214" spans="1:28" s="6" customFormat="1" ht="35.25" x14ac:dyDescent="0.5">
      <c r="A214" s="6">
        <v>1</v>
      </c>
      <c r="B214" s="135">
        <f>SUBTOTAL(103,$A$7:A214)</f>
        <v>204</v>
      </c>
      <c r="C214" s="270" t="s">
        <v>2104</v>
      </c>
      <c r="D214" s="271">
        <f t="shared" si="9"/>
        <v>1112945</v>
      </c>
      <c r="E214" s="274">
        <v>0</v>
      </c>
      <c r="F214" s="274">
        <v>0</v>
      </c>
      <c r="G214" s="274">
        <v>0</v>
      </c>
      <c r="H214" s="274">
        <v>180729</v>
      </c>
      <c r="I214" s="274">
        <v>0</v>
      </c>
      <c r="J214" s="274">
        <v>0</v>
      </c>
      <c r="K214" s="275">
        <v>0</v>
      </c>
      <c r="L214" s="274">
        <v>0</v>
      </c>
      <c r="M214" s="274">
        <v>932216</v>
      </c>
      <c r="N214" s="274">
        <v>0</v>
      </c>
      <c r="O214" s="274">
        <v>0</v>
      </c>
      <c r="P214" s="274">
        <v>0</v>
      </c>
      <c r="Q214" s="274">
        <v>0</v>
      </c>
      <c r="R214" s="274">
        <v>0</v>
      </c>
      <c r="S214" s="274">
        <v>0</v>
      </c>
      <c r="T214" s="274">
        <v>0</v>
      </c>
      <c r="U214" s="274">
        <v>0</v>
      </c>
      <c r="V214" s="274">
        <v>0</v>
      </c>
      <c r="W214" s="274">
        <v>0</v>
      </c>
      <c r="X214" s="274">
        <v>0</v>
      </c>
      <c r="Y214" s="274">
        <v>0</v>
      </c>
      <c r="Z214" s="274">
        <v>0</v>
      </c>
      <c r="AA214" s="274">
        <v>0</v>
      </c>
      <c r="AB214" s="276">
        <v>2020</v>
      </c>
    </row>
    <row r="215" spans="1:28" s="6" customFormat="1" ht="35.25" x14ac:dyDescent="0.5">
      <c r="A215" s="6">
        <v>1</v>
      </c>
      <c r="B215" s="135">
        <f>SUBTOTAL(103,$A$7:A215)</f>
        <v>205</v>
      </c>
      <c r="C215" s="270" t="s">
        <v>2105</v>
      </c>
      <c r="D215" s="271">
        <f t="shared" si="9"/>
        <v>61839.25</v>
      </c>
      <c r="E215" s="274">
        <v>0</v>
      </c>
      <c r="F215" s="274">
        <v>0</v>
      </c>
      <c r="G215" s="274">
        <v>0</v>
      </c>
      <c r="H215" s="274">
        <v>0</v>
      </c>
      <c r="I215" s="274">
        <v>0</v>
      </c>
      <c r="J215" s="274">
        <v>0</v>
      </c>
      <c r="K215" s="275">
        <v>0</v>
      </c>
      <c r="L215" s="274">
        <v>0</v>
      </c>
      <c r="M215" s="274">
        <v>0</v>
      </c>
      <c r="N215" s="274">
        <v>0</v>
      </c>
      <c r="O215" s="274">
        <v>0</v>
      </c>
      <c r="P215" s="274">
        <v>61839.25</v>
      </c>
      <c r="Q215" s="274">
        <v>0</v>
      </c>
      <c r="R215" s="274">
        <v>0</v>
      </c>
      <c r="S215" s="274">
        <v>0</v>
      </c>
      <c r="T215" s="274">
        <v>0</v>
      </c>
      <c r="U215" s="274">
        <v>0</v>
      </c>
      <c r="V215" s="274">
        <v>0</v>
      </c>
      <c r="W215" s="274">
        <v>0</v>
      </c>
      <c r="X215" s="274">
        <v>0</v>
      </c>
      <c r="Y215" s="274">
        <v>0</v>
      </c>
      <c r="Z215" s="274">
        <v>0</v>
      </c>
      <c r="AA215" s="274">
        <v>0</v>
      </c>
      <c r="AB215" s="276">
        <v>2020</v>
      </c>
    </row>
    <row r="216" spans="1:28" s="6" customFormat="1" ht="35.25" x14ac:dyDescent="0.5">
      <c r="A216" s="6">
        <v>1</v>
      </c>
      <c r="B216" s="135">
        <f>SUBTOTAL(103,$A$7:A216)</f>
        <v>206</v>
      </c>
      <c r="C216" s="270" t="s">
        <v>2106</v>
      </c>
      <c r="D216" s="271">
        <f t="shared" si="9"/>
        <v>1241544</v>
      </c>
      <c r="E216" s="274">
        <v>0</v>
      </c>
      <c r="F216" s="274">
        <v>0</v>
      </c>
      <c r="G216" s="274">
        <v>0</v>
      </c>
      <c r="H216" s="274">
        <v>0</v>
      </c>
      <c r="I216" s="274">
        <v>0</v>
      </c>
      <c r="J216" s="274">
        <v>0</v>
      </c>
      <c r="K216" s="275">
        <v>0</v>
      </c>
      <c r="L216" s="274">
        <v>0</v>
      </c>
      <c r="M216" s="274">
        <v>0</v>
      </c>
      <c r="N216" s="274">
        <v>0</v>
      </c>
      <c r="O216" s="274">
        <v>1241544</v>
      </c>
      <c r="P216" s="274">
        <v>0</v>
      </c>
      <c r="Q216" s="274">
        <v>0</v>
      </c>
      <c r="R216" s="274">
        <v>0</v>
      </c>
      <c r="S216" s="274">
        <v>0</v>
      </c>
      <c r="T216" s="274">
        <v>0</v>
      </c>
      <c r="U216" s="274">
        <v>0</v>
      </c>
      <c r="V216" s="274">
        <v>0</v>
      </c>
      <c r="W216" s="274">
        <v>0</v>
      </c>
      <c r="X216" s="274">
        <v>0</v>
      </c>
      <c r="Y216" s="274">
        <v>0</v>
      </c>
      <c r="Z216" s="274">
        <v>0</v>
      </c>
      <c r="AA216" s="274">
        <v>0</v>
      </c>
      <c r="AB216" s="276">
        <v>2020</v>
      </c>
    </row>
    <row r="217" spans="1:28" s="6" customFormat="1" ht="35.25" x14ac:dyDescent="0.5">
      <c r="A217" s="6">
        <v>1</v>
      </c>
      <c r="B217" s="135">
        <f>SUBTOTAL(103,$A$7:A217)</f>
        <v>207</v>
      </c>
      <c r="C217" s="270" t="s">
        <v>2107</v>
      </c>
      <c r="D217" s="271">
        <f t="shared" si="9"/>
        <v>128126.8</v>
      </c>
      <c r="E217" s="274">
        <v>0</v>
      </c>
      <c r="F217" s="274">
        <v>0</v>
      </c>
      <c r="G217" s="274">
        <v>0</v>
      </c>
      <c r="H217" s="274">
        <v>0</v>
      </c>
      <c r="I217" s="274">
        <v>0</v>
      </c>
      <c r="J217" s="274">
        <v>0</v>
      </c>
      <c r="K217" s="275">
        <v>0</v>
      </c>
      <c r="L217" s="274">
        <v>0</v>
      </c>
      <c r="M217" s="274">
        <v>0</v>
      </c>
      <c r="N217" s="274">
        <v>0</v>
      </c>
      <c r="O217" s="274">
        <v>128126.8</v>
      </c>
      <c r="P217" s="274">
        <v>0</v>
      </c>
      <c r="Q217" s="274">
        <v>0</v>
      </c>
      <c r="R217" s="274">
        <v>0</v>
      </c>
      <c r="S217" s="274">
        <v>0</v>
      </c>
      <c r="T217" s="274">
        <v>0</v>
      </c>
      <c r="U217" s="274">
        <v>0</v>
      </c>
      <c r="V217" s="274">
        <v>0</v>
      </c>
      <c r="W217" s="274">
        <v>0</v>
      </c>
      <c r="X217" s="274">
        <v>0</v>
      </c>
      <c r="Y217" s="274">
        <v>0</v>
      </c>
      <c r="Z217" s="274">
        <v>0</v>
      </c>
      <c r="AA217" s="274">
        <v>0</v>
      </c>
      <c r="AB217" s="276">
        <v>2020</v>
      </c>
    </row>
    <row r="218" spans="1:28" s="6" customFormat="1" ht="35.25" x14ac:dyDescent="0.5">
      <c r="A218" s="6">
        <v>1</v>
      </c>
      <c r="B218" s="135">
        <f>SUBTOTAL(103,$A$7:A218)</f>
        <v>208</v>
      </c>
      <c r="C218" s="270" t="s">
        <v>2108</v>
      </c>
      <c r="D218" s="271">
        <f t="shared" si="9"/>
        <v>566760</v>
      </c>
      <c r="E218" s="274">
        <v>0</v>
      </c>
      <c r="F218" s="274">
        <v>0</v>
      </c>
      <c r="G218" s="274">
        <v>566760</v>
      </c>
      <c r="H218" s="274">
        <v>0</v>
      </c>
      <c r="I218" s="274">
        <v>0</v>
      </c>
      <c r="J218" s="274">
        <v>0</v>
      </c>
      <c r="K218" s="275">
        <v>0</v>
      </c>
      <c r="L218" s="274">
        <v>0</v>
      </c>
      <c r="M218" s="274">
        <v>0</v>
      </c>
      <c r="N218" s="274">
        <v>0</v>
      </c>
      <c r="O218" s="274">
        <v>0</v>
      </c>
      <c r="P218" s="274">
        <v>0</v>
      </c>
      <c r="Q218" s="274">
        <v>0</v>
      </c>
      <c r="R218" s="274">
        <v>0</v>
      </c>
      <c r="S218" s="274">
        <v>0</v>
      </c>
      <c r="T218" s="274">
        <v>0</v>
      </c>
      <c r="U218" s="274">
        <v>0</v>
      </c>
      <c r="V218" s="274">
        <v>0</v>
      </c>
      <c r="W218" s="274">
        <v>0</v>
      </c>
      <c r="X218" s="274">
        <v>0</v>
      </c>
      <c r="Y218" s="274">
        <v>0</v>
      </c>
      <c r="Z218" s="274">
        <v>0</v>
      </c>
      <c r="AA218" s="274">
        <v>0</v>
      </c>
      <c r="AB218" s="276">
        <v>2020</v>
      </c>
    </row>
    <row r="219" spans="1:28" s="6" customFormat="1" ht="35.25" customHeight="1" x14ac:dyDescent="0.5">
      <c r="A219" s="6">
        <v>1</v>
      </c>
      <c r="B219" s="135">
        <f>SUBTOTAL(103,$A$7:A219)</f>
        <v>209</v>
      </c>
      <c r="C219" s="270" t="s">
        <v>1821</v>
      </c>
      <c r="D219" s="271">
        <f>E219+F219+G219+H219+I219+J219+L219+M219+N219+O219+P219+Q219+R219+S219+T219+U219+V219+W219+X219+Y219+Z219+AA219</f>
        <v>391550</v>
      </c>
      <c r="E219" s="274">
        <v>0</v>
      </c>
      <c r="F219" s="274">
        <v>0</v>
      </c>
      <c r="G219" s="274">
        <v>0</v>
      </c>
      <c r="H219" s="274">
        <v>0</v>
      </c>
      <c r="I219" s="274">
        <v>0</v>
      </c>
      <c r="J219" s="274">
        <v>0</v>
      </c>
      <c r="K219" s="275">
        <v>0</v>
      </c>
      <c r="L219" s="274">
        <v>0</v>
      </c>
      <c r="M219" s="274">
        <v>0</v>
      </c>
      <c r="N219" s="274">
        <v>0</v>
      </c>
      <c r="O219" s="274">
        <v>391550</v>
      </c>
      <c r="P219" s="274">
        <v>0</v>
      </c>
      <c r="Q219" s="274">
        <v>0</v>
      </c>
      <c r="R219" s="274">
        <v>0</v>
      </c>
      <c r="S219" s="274">
        <v>0</v>
      </c>
      <c r="T219" s="274">
        <v>0</v>
      </c>
      <c r="U219" s="274">
        <v>0</v>
      </c>
      <c r="V219" s="274">
        <v>0</v>
      </c>
      <c r="W219" s="274">
        <v>0</v>
      </c>
      <c r="X219" s="274">
        <v>0</v>
      </c>
      <c r="Y219" s="274">
        <v>0</v>
      </c>
      <c r="Z219" s="274">
        <v>0</v>
      </c>
      <c r="AA219" s="274">
        <v>0</v>
      </c>
      <c r="AB219" s="276">
        <v>2020</v>
      </c>
    </row>
    <row r="220" spans="1:28" s="6" customFormat="1" ht="35.25" customHeight="1" x14ac:dyDescent="0.5">
      <c r="B220" s="280" t="s">
        <v>766</v>
      </c>
      <c r="C220" s="270"/>
      <c r="D220" s="271">
        <f t="shared" ref="D220:AA220" si="10">SUM(D221:D329)</f>
        <v>82156429.310000002</v>
      </c>
      <c r="E220" s="271">
        <f t="shared" si="10"/>
        <v>1050811.72</v>
      </c>
      <c r="F220" s="271">
        <f t="shared" si="10"/>
        <v>656839</v>
      </c>
      <c r="G220" s="271">
        <f t="shared" si="10"/>
        <v>5097580.8600000003</v>
      </c>
      <c r="H220" s="271">
        <f t="shared" si="10"/>
        <v>748779</v>
      </c>
      <c r="I220" s="271">
        <f t="shared" si="10"/>
        <v>786391.04000000004</v>
      </c>
      <c r="J220" s="271">
        <f t="shared" si="10"/>
        <v>0</v>
      </c>
      <c r="K220" s="272">
        <f t="shared" si="10"/>
        <v>16</v>
      </c>
      <c r="L220" s="271">
        <f t="shared" si="10"/>
        <v>24920314.559999999</v>
      </c>
      <c r="M220" s="271">
        <f t="shared" si="10"/>
        <v>24541610.620000001</v>
      </c>
      <c r="N220" s="271">
        <f t="shared" si="10"/>
        <v>0</v>
      </c>
      <c r="O220" s="271">
        <f t="shared" si="10"/>
        <v>23222941.010000005</v>
      </c>
      <c r="P220" s="271">
        <f t="shared" si="10"/>
        <v>1131161.5</v>
      </c>
      <c r="Q220" s="271">
        <f t="shared" si="10"/>
        <v>0</v>
      </c>
      <c r="R220" s="271">
        <f t="shared" si="10"/>
        <v>0</v>
      </c>
      <c r="S220" s="271">
        <f t="shared" si="10"/>
        <v>0</v>
      </c>
      <c r="T220" s="271">
        <f t="shared" si="10"/>
        <v>0</v>
      </c>
      <c r="U220" s="271">
        <f t="shared" si="10"/>
        <v>0</v>
      </c>
      <c r="V220" s="271">
        <f t="shared" si="10"/>
        <v>0</v>
      </c>
      <c r="W220" s="271">
        <f t="shared" si="10"/>
        <v>0</v>
      </c>
      <c r="X220" s="271">
        <f t="shared" si="10"/>
        <v>0</v>
      </c>
      <c r="Y220" s="271">
        <f t="shared" si="10"/>
        <v>0</v>
      </c>
      <c r="Z220" s="271">
        <f t="shared" si="10"/>
        <v>0</v>
      </c>
      <c r="AA220" s="271">
        <f t="shared" si="10"/>
        <v>0</v>
      </c>
      <c r="AB220" s="273" t="s">
        <v>896</v>
      </c>
    </row>
    <row r="221" spans="1:28" s="6" customFormat="1" ht="35.25" x14ac:dyDescent="0.5">
      <c r="A221" s="6">
        <v>1</v>
      </c>
      <c r="B221" s="135">
        <f>SUBTOTAL(103,$A$7:A221)</f>
        <v>210</v>
      </c>
      <c r="C221" s="270" t="s">
        <v>1822</v>
      </c>
      <c r="D221" s="271">
        <f t="shared" ref="D221:D284" si="11">E221+F221+G221+H221+I221+J221+L221+M221+N221+O221+P221+Q221+R221+S221+T221+U221+V221+W221+X221+Y221+Z221+AA221</f>
        <v>505117.35</v>
      </c>
      <c r="E221" s="274">
        <v>0</v>
      </c>
      <c r="F221" s="274">
        <v>0</v>
      </c>
      <c r="G221" s="274">
        <v>0</v>
      </c>
      <c r="H221" s="274">
        <v>0</v>
      </c>
      <c r="I221" s="274">
        <v>0</v>
      </c>
      <c r="J221" s="274">
        <v>0</v>
      </c>
      <c r="K221" s="275">
        <v>0</v>
      </c>
      <c r="L221" s="274">
        <v>0</v>
      </c>
      <c r="M221" s="274">
        <f>157000+348117.35</f>
        <v>505117.35</v>
      </c>
      <c r="N221" s="274">
        <v>0</v>
      </c>
      <c r="O221" s="274">
        <v>0</v>
      </c>
      <c r="P221" s="274">
        <v>0</v>
      </c>
      <c r="Q221" s="274">
        <v>0</v>
      </c>
      <c r="R221" s="274">
        <v>0</v>
      </c>
      <c r="S221" s="274">
        <v>0</v>
      </c>
      <c r="T221" s="274">
        <v>0</v>
      </c>
      <c r="U221" s="274">
        <v>0</v>
      </c>
      <c r="V221" s="274">
        <v>0</v>
      </c>
      <c r="W221" s="274">
        <v>0</v>
      </c>
      <c r="X221" s="274">
        <v>0</v>
      </c>
      <c r="Y221" s="274">
        <v>0</v>
      </c>
      <c r="Z221" s="274">
        <v>0</v>
      </c>
      <c r="AA221" s="274">
        <v>0</v>
      </c>
      <c r="AB221" s="276">
        <v>2020</v>
      </c>
    </row>
    <row r="222" spans="1:28" s="6" customFormat="1" ht="35.25" customHeight="1" x14ac:dyDescent="0.5">
      <c r="A222" s="6">
        <v>1</v>
      </c>
      <c r="B222" s="135">
        <f>SUBTOTAL(103,$A$7:A222)</f>
        <v>211</v>
      </c>
      <c r="C222" s="270" t="s">
        <v>1823</v>
      </c>
      <c r="D222" s="271">
        <f t="shared" si="11"/>
        <v>1832821</v>
      </c>
      <c r="E222" s="274">
        <v>0</v>
      </c>
      <c r="F222" s="274">
        <v>0</v>
      </c>
      <c r="G222" s="274">
        <v>0</v>
      </c>
      <c r="H222" s="274">
        <v>0</v>
      </c>
      <c r="I222" s="274">
        <v>0</v>
      </c>
      <c r="J222" s="274">
        <v>0</v>
      </c>
      <c r="K222" s="275">
        <v>1</v>
      </c>
      <c r="L222" s="274">
        <v>1832821</v>
      </c>
      <c r="M222" s="274">
        <v>0</v>
      </c>
      <c r="N222" s="274">
        <v>0</v>
      </c>
      <c r="O222" s="274">
        <v>0</v>
      </c>
      <c r="P222" s="274">
        <v>0</v>
      </c>
      <c r="Q222" s="274">
        <v>0</v>
      </c>
      <c r="R222" s="274">
        <v>0</v>
      </c>
      <c r="S222" s="274">
        <v>0</v>
      </c>
      <c r="T222" s="274">
        <v>0</v>
      </c>
      <c r="U222" s="274">
        <v>0</v>
      </c>
      <c r="V222" s="274">
        <v>0</v>
      </c>
      <c r="W222" s="274">
        <v>0</v>
      </c>
      <c r="X222" s="274">
        <v>0</v>
      </c>
      <c r="Y222" s="274">
        <v>0</v>
      </c>
      <c r="Z222" s="274">
        <v>0</v>
      </c>
      <c r="AA222" s="274">
        <v>0</v>
      </c>
      <c r="AB222" s="276">
        <v>2020</v>
      </c>
    </row>
    <row r="223" spans="1:28" s="6" customFormat="1" ht="35.25" x14ac:dyDescent="0.5">
      <c r="A223" s="6">
        <v>1</v>
      </c>
      <c r="B223" s="135">
        <f>SUBTOTAL(103,$A$7:A223)</f>
        <v>212</v>
      </c>
      <c r="C223" s="270" t="s">
        <v>1824</v>
      </c>
      <c r="D223" s="271">
        <f t="shared" si="11"/>
        <v>199781</v>
      </c>
      <c r="E223" s="274">
        <v>0</v>
      </c>
      <c r="F223" s="274">
        <v>0</v>
      </c>
      <c r="G223" s="274">
        <v>0</v>
      </c>
      <c r="H223" s="274">
        <v>0</v>
      </c>
      <c r="I223" s="274">
        <v>0</v>
      </c>
      <c r="J223" s="274">
        <v>0</v>
      </c>
      <c r="K223" s="275">
        <v>0</v>
      </c>
      <c r="L223" s="274">
        <v>0</v>
      </c>
      <c r="M223" s="274">
        <v>199781</v>
      </c>
      <c r="N223" s="274">
        <v>0</v>
      </c>
      <c r="O223" s="274">
        <v>0</v>
      </c>
      <c r="P223" s="274">
        <v>0</v>
      </c>
      <c r="Q223" s="274">
        <v>0</v>
      </c>
      <c r="R223" s="274">
        <v>0</v>
      </c>
      <c r="S223" s="274">
        <v>0</v>
      </c>
      <c r="T223" s="274">
        <v>0</v>
      </c>
      <c r="U223" s="274">
        <v>0</v>
      </c>
      <c r="V223" s="274">
        <v>0</v>
      </c>
      <c r="W223" s="274">
        <v>0</v>
      </c>
      <c r="X223" s="274">
        <v>0</v>
      </c>
      <c r="Y223" s="274">
        <v>0</v>
      </c>
      <c r="Z223" s="274">
        <v>0</v>
      </c>
      <c r="AA223" s="274">
        <v>0</v>
      </c>
      <c r="AB223" s="276">
        <v>2020</v>
      </c>
    </row>
    <row r="224" spans="1:28" s="6" customFormat="1" ht="35.25" customHeight="1" x14ac:dyDescent="0.5">
      <c r="A224" s="6">
        <v>1</v>
      </c>
      <c r="B224" s="135">
        <f>SUBTOTAL(103,$A$7:A224)</f>
        <v>213</v>
      </c>
      <c r="C224" s="270" t="s">
        <v>1825</v>
      </c>
      <c r="D224" s="271">
        <f t="shared" si="11"/>
        <v>1864325</v>
      </c>
      <c r="E224" s="274">
        <v>0</v>
      </c>
      <c r="F224" s="274">
        <v>0</v>
      </c>
      <c r="G224" s="274">
        <v>0</v>
      </c>
      <c r="H224" s="274">
        <v>0</v>
      </c>
      <c r="I224" s="274">
        <v>0</v>
      </c>
      <c r="J224" s="274">
        <v>0</v>
      </c>
      <c r="K224" s="275">
        <v>1</v>
      </c>
      <c r="L224" s="274">
        <f>559000+1305325</f>
        <v>1864325</v>
      </c>
      <c r="M224" s="274">
        <v>0</v>
      </c>
      <c r="N224" s="274">
        <v>0</v>
      </c>
      <c r="O224" s="274">
        <v>0</v>
      </c>
      <c r="P224" s="274">
        <v>0</v>
      </c>
      <c r="Q224" s="274">
        <v>0</v>
      </c>
      <c r="R224" s="274">
        <v>0</v>
      </c>
      <c r="S224" s="274">
        <v>0</v>
      </c>
      <c r="T224" s="274">
        <v>0</v>
      </c>
      <c r="U224" s="274">
        <v>0</v>
      </c>
      <c r="V224" s="274">
        <v>0</v>
      </c>
      <c r="W224" s="274">
        <v>0</v>
      </c>
      <c r="X224" s="274">
        <v>0</v>
      </c>
      <c r="Y224" s="274">
        <v>0</v>
      </c>
      <c r="Z224" s="274">
        <v>0</v>
      </c>
      <c r="AA224" s="274">
        <v>0</v>
      </c>
      <c r="AB224" s="276">
        <v>2020</v>
      </c>
    </row>
    <row r="225" spans="1:28" s="6" customFormat="1" ht="35.25" x14ac:dyDescent="0.5">
      <c r="A225" s="6">
        <v>1</v>
      </c>
      <c r="B225" s="135">
        <f>SUBTOTAL(103,$A$7:A225)</f>
        <v>214</v>
      </c>
      <c r="C225" s="270" t="s">
        <v>1826</v>
      </c>
      <c r="D225" s="271">
        <f t="shared" si="11"/>
        <v>120998</v>
      </c>
      <c r="E225" s="274">
        <v>0</v>
      </c>
      <c r="F225" s="274">
        <v>0</v>
      </c>
      <c r="G225" s="274">
        <v>0</v>
      </c>
      <c r="H225" s="274">
        <v>0</v>
      </c>
      <c r="I225" s="274">
        <v>0</v>
      </c>
      <c r="J225" s="274">
        <v>0</v>
      </c>
      <c r="K225" s="275">
        <v>0</v>
      </c>
      <c r="L225" s="274">
        <v>0</v>
      </c>
      <c r="M225" s="274">
        <v>0</v>
      </c>
      <c r="N225" s="274">
        <v>0</v>
      </c>
      <c r="O225" s="274">
        <v>120998</v>
      </c>
      <c r="P225" s="274">
        <v>0</v>
      </c>
      <c r="Q225" s="274">
        <v>0</v>
      </c>
      <c r="R225" s="274">
        <v>0</v>
      </c>
      <c r="S225" s="274">
        <v>0</v>
      </c>
      <c r="T225" s="274">
        <v>0</v>
      </c>
      <c r="U225" s="274">
        <v>0</v>
      </c>
      <c r="V225" s="274">
        <v>0</v>
      </c>
      <c r="W225" s="274">
        <v>0</v>
      </c>
      <c r="X225" s="274">
        <v>0</v>
      </c>
      <c r="Y225" s="274">
        <v>0</v>
      </c>
      <c r="Z225" s="274">
        <v>0</v>
      </c>
      <c r="AA225" s="274">
        <v>0</v>
      </c>
      <c r="AB225" s="276">
        <v>2020</v>
      </c>
    </row>
    <row r="226" spans="1:28" s="6" customFormat="1" ht="35.25" customHeight="1" x14ac:dyDescent="0.5">
      <c r="A226" s="6">
        <v>1</v>
      </c>
      <c r="B226" s="135">
        <f>SUBTOTAL(103,$A$7:A226)</f>
        <v>215</v>
      </c>
      <c r="C226" s="270" t="s">
        <v>1827</v>
      </c>
      <c r="D226" s="271">
        <f t="shared" si="11"/>
        <v>320995</v>
      </c>
      <c r="E226" s="274">
        <v>0</v>
      </c>
      <c r="F226" s="274">
        <v>320995</v>
      </c>
      <c r="G226" s="274">
        <v>0</v>
      </c>
      <c r="H226" s="274">
        <v>0</v>
      </c>
      <c r="I226" s="274">
        <v>0</v>
      </c>
      <c r="J226" s="274">
        <v>0</v>
      </c>
      <c r="K226" s="275">
        <v>0</v>
      </c>
      <c r="L226" s="274">
        <v>0</v>
      </c>
      <c r="M226" s="274">
        <v>0</v>
      </c>
      <c r="N226" s="274">
        <v>0</v>
      </c>
      <c r="O226" s="274">
        <v>0</v>
      </c>
      <c r="P226" s="274">
        <v>0</v>
      </c>
      <c r="Q226" s="274">
        <v>0</v>
      </c>
      <c r="R226" s="274">
        <v>0</v>
      </c>
      <c r="S226" s="274">
        <v>0</v>
      </c>
      <c r="T226" s="274">
        <v>0</v>
      </c>
      <c r="U226" s="274">
        <v>0</v>
      </c>
      <c r="V226" s="274">
        <v>0</v>
      </c>
      <c r="W226" s="274">
        <v>0</v>
      </c>
      <c r="X226" s="274">
        <v>0</v>
      </c>
      <c r="Y226" s="274">
        <v>0</v>
      </c>
      <c r="Z226" s="274">
        <v>0</v>
      </c>
      <c r="AA226" s="274">
        <v>0</v>
      </c>
      <c r="AB226" s="276">
        <v>2020</v>
      </c>
    </row>
    <row r="227" spans="1:28" s="6" customFormat="1" ht="35.25" x14ac:dyDescent="0.5">
      <c r="A227" s="6">
        <v>1</v>
      </c>
      <c r="B227" s="135">
        <f>SUBTOTAL(103,$A$7:A227)</f>
        <v>216</v>
      </c>
      <c r="C227" s="270" t="s">
        <v>1828</v>
      </c>
      <c r="D227" s="271">
        <f t="shared" si="11"/>
        <v>1610664</v>
      </c>
      <c r="E227" s="274">
        <v>0</v>
      </c>
      <c r="F227" s="274">
        <v>0</v>
      </c>
      <c r="G227" s="274">
        <v>0</v>
      </c>
      <c r="H227" s="274">
        <v>0</v>
      </c>
      <c r="I227" s="274">
        <v>0</v>
      </c>
      <c r="J227" s="274">
        <v>0</v>
      </c>
      <c r="K227" s="275">
        <v>0</v>
      </c>
      <c r="L227" s="274">
        <v>0</v>
      </c>
      <c r="M227" s="274">
        <v>0</v>
      </c>
      <c r="N227" s="274">
        <v>0</v>
      </c>
      <c r="O227" s="274">
        <v>1610664</v>
      </c>
      <c r="P227" s="274">
        <v>0</v>
      </c>
      <c r="Q227" s="274">
        <v>0</v>
      </c>
      <c r="R227" s="274">
        <v>0</v>
      </c>
      <c r="S227" s="274">
        <v>0</v>
      </c>
      <c r="T227" s="274">
        <v>0</v>
      </c>
      <c r="U227" s="274">
        <v>0</v>
      </c>
      <c r="V227" s="274">
        <v>0</v>
      </c>
      <c r="W227" s="274">
        <v>0</v>
      </c>
      <c r="X227" s="274">
        <v>0</v>
      </c>
      <c r="Y227" s="274">
        <v>0</v>
      </c>
      <c r="Z227" s="274">
        <v>0</v>
      </c>
      <c r="AA227" s="274">
        <v>0</v>
      </c>
      <c r="AB227" s="276">
        <v>2020</v>
      </c>
    </row>
    <row r="228" spans="1:28" s="6" customFormat="1" ht="35.25" customHeight="1" x14ac:dyDescent="0.5">
      <c r="A228" s="6">
        <v>1</v>
      </c>
      <c r="B228" s="135">
        <f>SUBTOTAL(103,$A$7:A228)</f>
        <v>217</v>
      </c>
      <c r="C228" s="270" t="s">
        <v>1829</v>
      </c>
      <c r="D228" s="271">
        <f t="shared" si="11"/>
        <v>5202748</v>
      </c>
      <c r="E228" s="274">
        <v>0</v>
      </c>
      <c r="F228" s="274">
        <v>0</v>
      </c>
      <c r="G228" s="274">
        <v>0</v>
      </c>
      <c r="H228" s="274">
        <v>0</v>
      </c>
      <c r="I228" s="274">
        <v>0</v>
      </c>
      <c r="J228" s="274">
        <v>0</v>
      </c>
      <c r="K228" s="275">
        <v>2</v>
      </c>
      <c r="L228" s="274">
        <f>2120417+2292000</f>
        <v>4412417</v>
      </c>
      <c r="M228" s="274">
        <v>790331</v>
      </c>
      <c r="N228" s="274">
        <v>0</v>
      </c>
      <c r="O228" s="274">
        <v>0</v>
      </c>
      <c r="P228" s="274">
        <v>0</v>
      </c>
      <c r="Q228" s="274">
        <v>0</v>
      </c>
      <c r="R228" s="274">
        <v>0</v>
      </c>
      <c r="S228" s="274">
        <v>0</v>
      </c>
      <c r="T228" s="274">
        <v>0</v>
      </c>
      <c r="U228" s="274">
        <v>0</v>
      </c>
      <c r="V228" s="274">
        <v>0</v>
      </c>
      <c r="W228" s="274">
        <v>0</v>
      </c>
      <c r="X228" s="274">
        <v>0</v>
      </c>
      <c r="Y228" s="274">
        <v>0</v>
      </c>
      <c r="Z228" s="274">
        <v>0</v>
      </c>
      <c r="AA228" s="274">
        <v>0</v>
      </c>
      <c r="AB228" s="276">
        <v>2020</v>
      </c>
    </row>
    <row r="229" spans="1:28" s="6" customFormat="1" ht="35.25" customHeight="1" x14ac:dyDescent="0.5">
      <c r="A229" s="6">
        <v>1</v>
      </c>
      <c r="B229" s="135">
        <f>SUBTOTAL(103,$A$7:A229)</f>
        <v>218</v>
      </c>
      <c r="C229" s="270" t="s">
        <v>1830</v>
      </c>
      <c r="D229" s="271">
        <f t="shared" si="11"/>
        <v>2200000</v>
      </c>
      <c r="E229" s="274">
        <v>0</v>
      </c>
      <c r="F229" s="274">
        <v>0</v>
      </c>
      <c r="G229" s="274">
        <v>0</v>
      </c>
      <c r="H229" s="274">
        <v>0</v>
      </c>
      <c r="I229" s="274">
        <v>0</v>
      </c>
      <c r="J229" s="274">
        <v>0</v>
      </c>
      <c r="K229" s="275">
        <v>1</v>
      </c>
      <c r="L229" s="274">
        <v>2200000</v>
      </c>
      <c r="M229" s="274">
        <v>0</v>
      </c>
      <c r="N229" s="274">
        <v>0</v>
      </c>
      <c r="O229" s="274">
        <v>0</v>
      </c>
      <c r="P229" s="274">
        <v>0</v>
      </c>
      <c r="Q229" s="274">
        <v>0</v>
      </c>
      <c r="R229" s="274">
        <v>0</v>
      </c>
      <c r="S229" s="274">
        <v>0</v>
      </c>
      <c r="T229" s="274">
        <v>0</v>
      </c>
      <c r="U229" s="274">
        <v>0</v>
      </c>
      <c r="V229" s="274">
        <v>0</v>
      </c>
      <c r="W229" s="274">
        <v>0</v>
      </c>
      <c r="X229" s="274">
        <v>0</v>
      </c>
      <c r="Y229" s="274">
        <v>0</v>
      </c>
      <c r="Z229" s="274">
        <v>0</v>
      </c>
      <c r="AA229" s="274">
        <v>0</v>
      </c>
      <c r="AB229" s="276">
        <v>2020</v>
      </c>
    </row>
    <row r="230" spans="1:28" s="6" customFormat="1" ht="35.25" x14ac:dyDescent="0.5">
      <c r="A230" s="6">
        <v>1</v>
      </c>
      <c r="B230" s="135">
        <f>SUBTOTAL(103,$A$7:A230)</f>
        <v>219</v>
      </c>
      <c r="C230" s="270" t="s">
        <v>1831</v>
      </c>
      <c r="D230" s="271">
        <f t="shared" si="11"/>
        <v>3101459.17</v>
      </c>
      <c r="E230" s="274">
        <v>0</v>
      </c>
      <c r="F230" s="274">
        <v>0</v>
      </c>
      <c r="G230" s="274">
        <v>0</v>
      </c>
      <c r="H230" s="274">
        <v>0</v>
      </c>
      <c r="I230" s="274">
        <v>0</v>
      </c>
      <c r="J230" s="274">
        <v>0</v>
      </c>
      <c r="K230" s="275">
        <v>0</v>
      </c>
      <c r="L230" s="274">
        <v>0</v>
      </c>
      <c r="M230" s="274">
        <f>843123.3+1632831.87</f>
        <v>2475955.17</v>
      </c>
      <c r="N230" s="274">
        <v>0</v>
      </c>
      <c r="O230" s="274">
        <v>625504</v>
      </c>
      <c r="P230" s="274">
        <v>0</v>
      </c>
      <c r="Q230" s="274">
        <v>0</v>
      </c>
      <c r="R230" s="274">
        <v>0</v>
      </c>
      <c r="S230" s="274">
        <v>0</v>
      </c>
      <c r="T230" s="274">
        <v>0</v>
      </c>
      <c r="U230" s="274">
        <v>0</v>
      </c>
      <c r="V230" s="274">
        <v>0</v>
      </c>
      <c r="W230" s="274">
        <v>0</v>
      </c>
      <c r="X230" s="274">
        <v>0</v>
      </c>
      <c r="Y230" s="274">
        <v>0</v>
      </c>
      <c r="Z230" s="274">
        <v>0</v>
      </c>
      <c r="AA230" s="274">
        <v>0</v>
      </c>
      <c r="AB230" s="276">
        <v>2020</v>
      </c>
    </row>
    <row r="231" spans="1:28" s="6" customFormat="1" ht="35.25" x14ac:dyDescent="0.5">
      <c r="A231" s="6">
        <v>1</v>
      </c>
      <c r="B231" s="135">
        <f>SUBTOTAL(103,$A$7:A231)</f>
        <v>220</v>
      </c>
      <c r="C231" s="270" t="s">
        <v>1832</v>
      </c>
      <c r="D231" s="271">
        <f t="shared" si="11"/>
        <v>4818845</v>
      </c>
      <c r="E231" s="274">
        <v>218845</v>
      </c>
      <c r="F231" s="274">
        <v>0</v>
      </c>
      <c r="G231" s="274">
        <v>0</v>
      </c>
      <c r="H231" s="274">
        <v>0</v>
      </c>
      <c r="I231" s="274">
        <v>0</v>
      </c>
      <c r="J231" s="274">
        <v>0</v>
      </c>
      <c r="K231" s="275">
        <v>2</v>
      </c>
      <c r="L231" s="274">
        <v>4600000</v>
      </c>
      <c r="M231" s="274">
        <v>0</v>
      </c>
      <c r="N231" s="274">
        <v>0</v>
      </c>
      <c r="O231" s="274">
        <v>0</v>
      </c>
      <c r="P231" s="274">
        <v>0</v>
      </c>
      <c r="Q231" s="274">
        <v>0</v>
      </c>
      <c r="R231" s="274">
        <v>0</v>
      </c>
      <c r="S231" s="274">
        <v>0</v>
      </c>
      <c r="T231" s="274">
        <v>0</v>
      </c>
      <c r="U231" s="274">
        <v>0</v>
      </c>
      <c r="V231" s="274">
        <v>0</v>
      </c>
      <c r="W231" s="274">
        <v>0</v>
      </c>
      <c r="X231" s="274">
        <v>0</v>
      </c>
      <c r="Y231" s="274">
        <v>0</v>
      </c>
      <c r="Z231" s="274">
        <v>0</v>
      </c>
      <c r="AA231" s="274">
        <v>0</v>
      </c>
      <c r="AB231" s="276">
        <v>2020</v>
      </c>
    </row>
    <row r="232" spans="1:28" s="6" customFormat="1" ht="35.25" x14ac:dyDescent="0.5">
      <c r="A232" s="6">
        <v>1</v>
      </c>
      <c r="B232" s="135">
        <f>SUBTOTAL(103,$A$7:A232)</f>
        <v>221</v>
      </c>
      <c r="C232" s="270" t="s">
        <v>1833</v>
      </c>
      <c r="D232" s="271">
        <f t="shared" si="11"/>
        <v>2271787</v>
      </c>
      <c r="E232" s="274">
        <v>0</v>
      </c>
      <c r="F232" s="274">
        <v>0</v>
      </c>
      <c r="G232" s="274">
        <v>0</v>
      </c>
      <c r="H232" s="274">
        <v>0</v>
      </c>
      <c r="I232" s="274">
        <v>0</v>
      </c>
      <c r="J232" s="274">
        <v>0</v>
      </c>
      <c r="K232" s="275">
        <v>1</v>
      </c>
      <c r="L232" s="274">
        <f>1247828+534783</f>
        <v>1782611</v>
      </c>
      <c r="M232" s="274">
        <v>489176</v>
      </c>
      <c r="N232" s="274">
        <v>0</v>
      </c>
      <c r="O232" s="274">
        <v>0</v>
      </c>
      <c r="P232" s="274">
        <v>0</v>
      </c>
      <c r="Q232" s="274">
        <v>0</v>
      </c>
      <c r="R232" s="274">
        <v>0</v>
      </c>
      <c r="S232" s="274">
        <v>0</v>
      </c>
      <c r="T232" s="274">
        <v>0</v>
      </c>
      <c r="U232" s="274">
        <v>0</v>
      </c>
      <c r="V232" s="274">
        <v>0</v>
      </c>
      <c r="W232" s="274">
        <v>0</v>
      </c>
      <c r="X232" s="274">
        <v>0</v>
      </c>
      <c r="Y232" s="274">
        <v>0</v>
      </c>
      <c r="Z232" s="274">
        <v>0</v>
      </c>
      <c r="AA232" s="274">
        <v>0</v>
      </c>
      <c r="AB232" s="276">
        <v>2020</v>
      </c>
    </row>
    <row r="233" spans="1:28" s="6" customFormat="1" ht="35.25" customHeight="1" x14ac:dyDescent="0.5">
      <c r="A233" s="6">
        <v>1</v>
      </c>
      <c r="B233" s="135">
        <f>SUBTOTAL(103,$A$7:A233)</f>
        <v>222</v>
      </c>
      <c r="C233" s="270" t="s">
        <v>1834</v>
      </c>
      <c r="D233" s="271">
        <f t="shared" si="11"/>
        <v>1820000</v>
      </c>
      <c r="E233" s="274">
        <v>0</v>
      </c>
      <c r="F233" s="274">
        <v>0</v>
      </c>
      <c r="G233" s="274">
        <v>0</v>
      </c>
      <c r="H233" s="274">
        <v>0</v>
      </c>
      <c r="I233" s="274">
        <v>0</v>
      </c>
      <c r="J233" s="274">
        <v>0</v>
      </c>
      <c r="K233" s="275">
        <v>1</v>
      </c>
      <c r="L233" s="274">
        <v>1820000</v>
      </c>
      <c r="M233" s="274">
        <v>0</v>
      </c>
      <c r="N233" s="274">
        <v>0</v>
      </c>
      <c r="O233" s="274">
        <v>0</v>
      </c>
      <c r="P233" s="274">
        <v>0</v>
      </c>
      <c r="Q233" s="274">
        <v>0</v>
      </c>
      <c r="R233" s="274">
        <v>0</v>
      </c>
      <c r="S233" s="274">
        <v>0</v>
      </c>
      <c r="T233" s="274">
        <v>0</v>
      </c>
      <c r="U233" s="274">
        <v>0</v>
      </c>
      <c r="V233" s="274">
        <v>0</v>
      </c>
      <c r="W233" s="274">
        <v>0</v>
      </c>
      <c r="X233" s="274">
        <v>0</v>
      </c>
      <c r="Y233" s="274">
        <v>0</v>
      </c>
      <c r="Z233" s="274">
        <v>0</v>
      </c>
      <c r="AA233" s="274">
        <v>0</v>
      </c>
      <c r="AB233" s="276">
        <v>2020</v>
      </c>
    </row>
    <row r="234" spans="1:28" s="6" customFormat="1" ht="35.25" x14ac:dyDescent="0.5">
      <c r="A234" s="6">
        <v>1</v>
      </c>
      <c r="B234" s="135">
        <f>SUBTOTAL(103,$A$7:A234)</f>
        <v>223</v>
      </c>
      <c r="C234" s="270" t="s">
        <v>1835</v>
      </c>
      <c r="D234" s="271">
        <f t="shared" si="11"/>
        <v>1519461</v>
      </c>
      <c r="E234" s="274">
        <v>0</v>
      </c>
      <c r="F234" s="274">
        <v>0</v>
      </c>
      <c r="G234" s="274">
        <v>0</v>
      </c>
      <c r="H234" s="274">
        <v>0</v>
      </c>
      <c r="I234" s="274">
        <v>0</v>
      </c>
      <c r="J234" s="274">
        <v>0</v>
      </c>
      <c r="K234" s="275">
        <v>0</v>
      </c>
      <c r="L234" s="274">
        <v>0</v>
      </c>
      <c r="M234" s="274">
        <f>687000+832461</f>
        <v>1519461</v>
      </c>
      <c r="N234" s="274">
        <v>0</v>
      </c>
      <c r="O234" s="274">
        <v>0</v>
      </c>
      <c r="P234" s="274">
        <v>0</v>
      </c>
      <c r="Q234" s="274">
        <v>0</v>
      </c>
      <c r="R234" s="274">
        <v>0</v>
      </c>
      <c r="S234" s="274">
        <v>0</v>
      </c>
      <c r="T234" s="274">
        <v>0</v>
      </c>
      <c r="U234" s="274">
        <v>0</v>
      </c>
      <c r="V234" s="274">
        <v>0</v>
      </c>
      <c r="W234" s="274">
        <v>0</v>
      </c>
      <c r="X234" s="274">
        <v>0</v>
      </c>
      <c r="Y234" s="274">
        <v>0</v>
      </c>
      <c r="Z234" s="274">
        <v>0</v>
      </c>
      <c r="AA234" s="274">
        <v>0</v>
      </c>
      <c r="AB234" s="276">
        <v>2020</v>
      </c>
    </row>
    <row r="235" spans="1:28" s="6" customFormat="1" ht="35.25" customHeight="1" x14ac:dyDescent="0.5">
      <c r="A235" s="6">
        <v>1</v>
      </c>
      <c r="B235" s="135">
        <f>SUBTOTAL(103,$A$7:A235)</f>
        <v>224</v>
      </c>
      <c r="C235" s="270" t="s">
        <v>1836</v>
      </c>
      <c r="D235" s="271">
        <f t="shared" si="11"/>
        <v>1735000</v>
      </c>
      <c r="E235" s="274">
        <v>0</v>
      </c>
      <c r="F235" s="274">
        <v>0</v>
      </c>
      <c r="G235" s="274">
        <v>0</v>
      </c>
      <c r="H235" s="274">
        <v>0</v>
      </c>
      <c r="I235" s="274">
        <v>0</v>
      </c>
      <c r="J235" s="274">
        <v>0</v>
      </c>
      <c r="K235" s="275">
        <v>1</v>
      </c>
      <c r="L235" s="274">
        <v>1735000</v>
      </c>
      <c r="M235" s="274">
        <v>0</v>
      </c>
      <c r="N235" s="274">
        <v>0</v>
      </c>
      <c r="O235" s="274">
        <v>0</v>
      </c>
      <c r="P235" s="274">
        <v>0</v>
      </c>
      <c r="Q235" s="274">
        <v>0</v>
      </c>
      <c r="R235" s="274">
        <v>0</v>
      </c>
      <c r="S235" s="274">
        <v>0</v>
      </c>
      <c r="T235" s="274">
        <v>0</v>
      </c>
      <c r="U235" s="274">
        <v>0</v>
      </c>
      <c r="V235" s="274">
        <v>0</v>
      </c>
      <c r="W235" s="274">
        <v>0</v>
      </c>
      <c r="X235" s="274">
        <v>0</v>
      </c>
      <c r="Y235" s="274">
        <v>0</v>
      </c>
      <c r="Z235" s="274">
        <v>0</v>
      </c>
      <c r="AA235" s="274">
        <v>0</v>
      </c>
      <c r="AB235" s="276">
        <v>2020</v>
      </c>
    </row>
    <row r="236" spans="1:28" s="6" customFormat="1" ht="35.25" x14ac:dyDescent="0.5">
      <c r="A236" s="6">
        <v>1</v>
      </c>
      <c r="B236" s="135">
        <f>SUBTOTAL(103,$A$7:A236)</f>
        <v>225</v>
      </c>
      <c r="C236" s="270" t="s">
        <v>1837</v>
      </c>
      <c r="D236" s="271">
        <f t="shared" si="11"/>
        <v>1035891.8</v>
      </c>
      <c r="E236" s="274">
        <v>0</v>
      </c>
      <c r="F236" s="274">
        <v>0</v>
      </c>
      <c r="G236" s="274">
        <v>0</v>
      </c>
      <c r="H236" s="274">
        <v>0</v>
      </c>
      <c r="I236" s="274">
        <v>0</v>
      </c>
      <c r="J236" s="274">
        <v>0</v>
      </c>
      <c r="K236" s="275">
        <v>0</v>
      </c>
      <c r="L236" s="274">
        <v>0</v>
      </c>
      <c r="M236" s="274">
        <v>0</v>
      </c>
      <c r="N236" s="274">
        <v>0</v>
      </c>
      <c r="O236" s="274">
        <v>1035891.8</v>
      </c>
      <c r="P236" s="274">
        <v>0</v>
      </c>
      <c r="Q236" s="274">
        <v>0</v>
      </c>
      <c r="R236" s="274">
        <v>0</v>
      </c>
      <c r="S236" s="274">
        <v>0</v>
      </c>
      <c r="T236" s="274">
        <v>0</v>
      </c>
      <c r="U236" s="274">
        <v>0</v>
      </c>
      <c r="V236" s="274">
        <v>0</v>
      </c>
      <c r="W236" s="274">
        <v>0</v>
      </c>
      <c r="X236" s="274">
        <v>0</v>
      </c>
      <c r="Y236" s="274">
        <v>0</v>
      </c>
      <c r="Z236" s="274">
        <v>0</v>
      </c>
      <c r="AA236" s="274">
        <v>0</v>
      </c>
      <c r="AB236" s="276">
        <v>2020</v>
      </c>
    </row>
    <row r="237" spans="1:28" s="6" customFormat="1" ht="35.25" x14ac:dyDescent="0.5">
      <c r="A237" s="6">
        <v>1</v>
      </c>
      <c r="B237" s="135">
        <f>SUBTOTAL(103,$A$7:A237)</f>
        <v>226</v>
      </c>
      <c r="C237" s="270" t="s">
        <v>1838</v>
      </c>
      <c r="D237" s="271">
        <f t="shared" si="11"/>
        <v>1742886.75</v>
      </c>
      <c r="E237" s="274">
        <v>0</v>
      </c>
      <c r="F237" s="274">
        <v>0</v>
      </c>
      <c r="G237" s="274">
        <v>0</v>
      </c>
      <c r="H237" s="274">
        <v>0</v>
      </c>
      <c r="I237" s="274">
        <v>0</v>
      </c>
      <c r="J237" s="274">
        <v>0</v>
      </c>
      <c r="K237" s="275">
        <v>0</v>
      </c>
      <c r="L237" s="274">
        <v>0</v>
      </c>
      <c r="M237" s="274">
        <f>554000+1188886.75</f>
        <v>1742886.75</v>
      </c>
      <c r="N237" s="274">
        <v>0</v>
      </c>
      <c r="O237" s="274">
        <v>0</v>
      </c>
      <c r="P237" s="274">
        <v>0</v>
      </c>
      <c r="Q237" s="274">
        <v>0</v>
      </c>
      <c r="R237" s="274">
        <v>0</v>
      </c>
      <c r="S237" s="274">
        <v>0</v>
      </c>
      <c r="T237" s="274">
        <v>0</v>
      </c>
      <c r="U237" s="274">
        <v>0</v>
      </c>
      <c r="V237" s="274">
        <v>0</v>
      </c>
      <c r="W237" s="274">
        <v>0</v>
      </c>
      <c r="X237" s="274">
        <v>0</v>
      </c>
      <c r="Y237" s="274">
        <v>0</v>
      </c>
      <c r="Z237" s="274">
        <v>0</v>
      </c>
      <c r="AA237" s="274">
        <v>0</v>
      </c>
      <c r="AB237" s="276">
        <v>2020</v>
      </c>
    </row>
    <row r="238" spans="1:28" s="6" customFormat="1" ht="35.25" x14ac:dyDescent="0.5">
      <c r="A238" s="6">
        <v>1</v>
      </c>
      <c r="B238" s="135">
        <f>SUBTOTAL(103,$A$7:A238)</f>
        <v>227</v>
      </c>
      <c r="C238" s="270" t="s">
        <v>1839</v>
      </c>
      <c r="D238" s="271">
        <f t="shared" si="11"/>
        <v>773255</v>
      </c>
      <c r="E238" s="274">
        <v>0</v>
      </c>
      <c r="F238" s="274">
        <v>0</v>
      </c>
      <c r="G238" s="274">
        <v>0</v>
      </c>
      <c r="H238" s="274">
        <v>604137</v>
      </c>
      <c r="I238" s="274">
        <v>0</v>
      </c>
      <c r="J238" s="274">
        <v>0</v>
      </c>
      <c r="K238" s="275">
        <v>0</v>
      </c>
      <c r="L238" s="274">
        <v>0</v>
      </c>
      <c r="M238" s="274">
        <v>0</v>
      </c>
      <c r="N238" s="274">
        <v>0</v>
      </c>
      <c r="O238" s="274">
        <v>169118</v>
      </c>
      <c r="P238" s="274">
        <v>0</v>
      </c>
      <c r="Q238" s="274">
        <v>0</v>
      </c>
      <c r="R238" s="274">
        <v>0</v>
      </c>
      <c r="S238" s="274">
        <v>0</v>
      </c>
      <c r="T238" s="274">
        <v>0</v>
      </c>
      <c r="U238" s="274">
        <v>0</v>
      </c>
      <c r="V238" s="274">
        <v>0</v>
      </c>
      <c r="W238" s="274">
        <v>0</v>
      </c>
      <c r="X238" s="274">
        <v>0</v>
      </c>
      <c r="Y238" s="274">
        <v>0</v>
      </c>
      <c r="Z238" s="274">
        <v>0</v>
      </c>
      <c r="AA238" s="274">
        <v>0</v>
      </c>
      <c r="AB238" s="276">
        <v>2020</v>
      </c>
    </row>
    <row r="239" spans="1:28" s="6" customFormat="1" ht="35.25" x14ac:dyDescent="0.5">
      <c r="A239" s="6">
        <v>1</v>
      </c>
      <c r="B239" s="135">
        <f>SUBTOTAL(103,$A$7:A239)</f>
        <v>228</v>
      </c>
      <c r="C239" s="270" t="s">
        <v>1840</v>
      </c>
      <c r="D239" s="271">
        <f t="shared" si="11"/>
        <v>1045804.33</v>
      </c>
      <c r="E239" s="274">
        <v>0</v>
      </c>
      <c r="F239" s="274">
        <v>0</v>
      </c>
      <c r="G239" s="274">
        <v>0</v>
      </c>
      <c r="H239" s="274">
        <v>0</v>
      </c>
      <c r="I239" s="274">
        <v>0</v>
      </c>
      <c r="J239" s="274">
        <v>0</v>
      </c>
      <c r="K239" s="275">
        <v>0</v>
      </c>
      <c r="L239" s="274">
        <v>0</v>
      </c>
      <c r="M239" s="274">
        <f>334000+711804.33</f>
        <v>1045804.33</v>
      </c>
      <c r="N239" s="274">
        <v>0</v>
      </c>
      <c r="O239" s="274">
        <v>0</v>
      </c>
      <c r="P239" s="274">
        <v>0</v>
      </c>
      <c r="Q239" s="274">
        <v>0</v>
      </c>
      <c r="R239" s="274">
        <v>0</v>
      </c>
      <c r="S239" s="274">
        <v>0</v>
      </c>
      <c r="T239" s="274">
        <v>0</v>
      </c>
      <c r="U239" s="274">
        <v>0</v>
      </c>
      <c r="V239" s="274">
        <v>0</v>
      </c>
      <c r="W239" s="274">
        <v>0</v>
      </c>
      <c r="X239" s="274">
        <v>0</v>
      </c>
      <c r="Y239" s="274">
        <v>0</v>
      </c>
      <c r="Z239" s="274">
        <v>0</v>
      </c>
      <c r="AA239" s="274">
        <v>0</v>
      </c>
      <c r="AB239" s="276">
        <v>2020</v>
      </c>
    </row>
    <row r="240" spans="1:28" s="6" customFormat="1" ht="35.25" x14ac:dyDescent="0.5">
      <c r="A240" s="6">
        <v>1</v>
      </c>
      <c r="B240" s="135">
        <f>SUBTOTAL(103,$A$7:A240)</f>
        <v>229</v>
      </c>
      <c r="C240" s="270" t="s">
        <v>1841</v>
      </c>
      <c r="D240" s="271">
        <f t="shared" si="11"/>
        <v>669140.56000000006</v>
      </c>
      <c r="E240" s="274">
        <v>0</v>
      </c>
      <c r="F240" s="274">
        <v>0</v>
      </c>
      <c r="G240" s="274">
        <v>0</v>
      </c>
      <c r="H240" s="274">
        <v>0</v>
      </c>
      <c r="I240" s="274">
        <v>0</v>
      </c>
      <c r="J240" s="274">
        <v>0</v>
      </c>
      <c r="K240" s="275">
        <v>1</v>
      </c>
      <c r="L240" s="274">
        <f>87140.56+582000</f>
        <v>669140.56000000006</v>
      </c>
      <c r="M240" s="274">
        <v>0</v>
      </c>
      <c r="N240" s="274">
        <v>0</v>
      </c>
      <c r="O240" s="274">
        <v>0</v>
      </c>
      <c r="P240" s="274">
        <v>0</v>
      </c>
      <c r="Q240" s="274">
        <v>0</v>
      </c>
      <c r="R240" s="274">
        <v>0</v>
      </c>
      <c r="S240" s="274">
        <v>0</v>
      </c>
      <c r="T240" s="274">
        <v>0</v>
      </c>
      <c r="U240" s="274">
        <v>0</v>
      </c>
      <c r="V240" s="274">
        <v>0</v>
      </c>
      <c r="W240" s="274">
        <v>0</v>
      </c>
      <c r="X240" s="274">
        <v>0</v>
      </c>
      <c r="Y240" s="274">
        <v>0</v>
      </c>
      <c r="Z240" s="274">
        <v>0</v>
      </c>
      <c r="AA240" s="274">
        <v>0</v>
      </c>
      <c r="AB240" s="276">
        <v>2020</v>
      </c>
    </row>
    <row r="241" spans="1:28" s="6" customFormat="1" ht="35.25" x14ac:dyDescent="0.5">
      <c r="A241" s="6">
        <v>1</v>
      </c>
      <c r="B241" s="135">
        <f>SUBTOTAL(103,$A$7:A241)</f>
        <v>230</v>
      </c>
      <c r="C241" s="270" t="s">
        <v>1842</v>
      </c>
      <c r="D241" s="271">
        <f t="shared" si="11"/>
        <v>190602.5</v>
      </c>
      <c r="E241" s="274">
        <v>0</v>
      </c>
      <c r="F241" s="274">
        <v>0</v>
      </c>
      <c r="G241" s="274">
        <v>0</v>
      </c>
      <c r="H241" s="274">
        <v>0</v>
      </c>
      <c r="I241" s="274">
        <v>0</v>
      </c>
      <c r="J241" s="274">
        <v>0</v>
      </c>
      <c r="K241" s="275">
        <v>0</v>
      </c>
      <c r="L241" s="274">
        <v>0</v>
      </c>
      <c r="M241" s="274">
        <v>0</v>
      </c>
      <c r="N241" s="274">
        <v>0</v>
      </c>
      <c r="O241" s="274">
        <f>107200+18400</f>
        <v>125600</v>
      </c>
      <c r="P241" s="274">
        <v>65002.5</v>
      </c>
      <c r="Q241" s="274">
        <v>0</v>
      </c>
      <c r="R241" s="274">
        <v>0</v>
      </c>
      <c r="S241" s="274">
        <v>0</v>
      </c>
      <c r="T241" s="274">
        <v>0</v>
      </c>
      <c r="U241" s="274">
        <v>0</v>
      </c>
      <c r="V241" s="274">
        <v>0</v>
      </c>
      <c r="W241" s="274">
        <v>0</v>
      </c>
      <c r="X241" s="274">
        <v>0</v>
      </c>
      <c r="Y241" s="274">
        <v>0</v>
      </c>
      <c r="Z241" s="274">
        <v>0</v>
      </c>
      <c r="AA241" s="274">
        <v>0</v>
      </c>
      <c r="AB241" s="276">
        <v>2020</v>
      </c>
    </row>
    <row r="242" spans="1:28" s="6" customFormat="1" ht="35.25" customHeight="1" x14ac:dyDescent="0.5">
      <c r="A242" s="6">
        <v>1</v>
      </c>
      <c r="B242" s="135">
        <f>SUBTOTAL(103,$A$7:A242)</f>
        <v>231</v>
      </c>
      <c r="C242" s="270" t="s">
        <v>1843</v>
      </c>
      <c r="D242" s="271">
        <f t="shared" si="11"/>
        <v>250071</v>
      </c>
      <c r="E242" s="274">
        <v>0</v>
      </c>
      <c r="F242" s="274">
        <v>0</v>
      </c>
      <c r="G242" s="274">
        <v>0</v>
      </c>
      <c r="H242" s="274">
        <v>0</v>
      </c>
      <c r="I242" s="274">
        <v>0</v>
      </c>
      <c r="J242" s="274">
        <v>0</v>
      </c>
      <c r="K242" s="275">
        <v>0</v>
      </c>
      <c r="L242" s="274">
        <v>0</v>
      </c>
      <c r="M242" s="274">
        <v>0</v>
      </c>
      <c r="N242" s="274">
        <v>0</v>
      </c>
      <c r="O242" s="274">
        <v>250071</v>
      </c>
      <c r="P242" s="274">
        <v>0</v>
      </c>
      <c r="Q242" s="274">
        <v>0</v>
      </c>
      <c r="R242" s="274">
        <v>0</v>
      </c>
      <c r="S242" s="274">
        <v>0</v>
      </c>
      <c r="T242" s="274">
        <v>0</v>
      </c>
      <c r="U242" s="274">
        <v>0</v>
      </c>
      <c r="V242" s="274">
        <v>0</v>
      </c>
      <c r="W242" s="274">
        <v>0</v>
      </c>
      <c r="X242" s="274">
        <v>0</v>
      </c>
      <c r="Y242" s="274">
        <v>0</v>
      </c>
      <c r="Z242" s="274">
        <v>0</v>
      </c>
      <c r="AA242" s="274">
        <v>0</v>
      </c>
      <c r="AB242" s="276">
        <v>2020</v>
      </c>
    </row>
    <row r="243" spans="1:28" s="6" customFormat="1" ht="35.25" customHeight="1" x14ac:dyDescent="0.5">
      <c r="A243" s="6">
        <v>1</v>
      </c>
      <c r="B243" s="135">
        <f>SUBTOTAL(103,$A$7:A243)</f>
        <v>232</v>
      </c>
      <c r="C243" s="270" t="s">
        <v>1844</v>
      </c>
      <c r="D243" s="271">
        <f t="shared" si="11"/>
        <v>1715000</v>
      </c>
      <c r="E243" s="274">
        <v>0</v>
      </c>
      <c r="F243" s="274">
        <v>0</v>
      </c>
      <c r="G243" s="274">
        <v>0</v>
      </c>
      <c r="H243" s="274">
        <v>0</v>
      </c>
      <c r="I243" s="274">
        <v>0</v>
      </c>
      <c r="J243" s="274">
        <v>0</v>
      </c>
      <c r="K243" s="275">
        <v>1</v>
      </c>
      <c r="L243" s="274">
        <v>1715000</v>
      </c>
      <c r="M243" s="274">
        <v>0</v>
      </c>
      <c r="N243" s="274">
        <v>0</v>
      </c>
      <c r="O243" s="274">
        <v>0</v>
      </c>
      <c r="P243" s="274">
        <v>0</v>
      </c>
      <c r="Q243" s="274">
        <v>0</v>
      </c>
      <c r="R243" s="274">
        <v>0</v>
      </c>
      <c r="S243" s="274">
        <v>0</v>
      </c>
      <c r="T243" s="274">
        <v>0</v>
      </c>
      <c r="U243" s="274">
        <v>0</v>
      </c>
      <c r="V243" s="274">
        <v>0</v>
      </c>
      <c r="W243" s="274">
        <v>0</v>
      </c>
      <c r="X243" s="274">
        <v>0</v>
      </c>
      <c r="Y243" s="274">
        <v>0</v>
      </c>
      <c r="Z243" s="274">
        <v>0</v>
      </c>
      <c r="AA243" s="274">
        <v>0</v>
      </c>
      <c r="AB243" s="276">
        <v>2020</v>
      </c>
    </row>
    <row r="244" spans="1:28" s="6" customFormat="1" ht="35.25" x14ac:dyDescent="0.5">
      <c r="A244" s="6">
        <v>1</v>
      </c>
      <c r="B244" s="135">
        <f>SUBTOTAL(103,$A$7:A244)</f>
        <v>233</v>
      </c>
      <c r="C244" s="270" t="s">
        <v>2109</v>
      </c>
      <c r="D244" s="271">
        <f t="shared" si="11"/>
        <v>242201.66</v>
      </c>
      <c r="E244" s="277">
        <v>0</v>
      </c>
      <c r="F244" s="277">
        <v>0</v>
      </c>
      <c r="G244" s="277">
        <v>0</v>
      </c>
      <c r="H244" s="277">
        <v>0</v>
      </c>
      <c r="I244" s="277">
        <v>0</v>
      </c>
      <c r="J244" s="277">
        <v>0</v>
      </c>
      <c r="K244" s="278">
        <v>0</v>
      </c>
      <c r="L244" s="277">
        <v>0</v>
      </c>
      <c r="M244" s="277">
        <v>0</v>
      </c>
      <c r="N244" s="277">
        <v>0</v>
      </c>
      <c r="O244" s="277">
        <v>242201.66</v>
      </c>
      <c r="P244" s="277">
        <v>0</v>
      </c>
      <c r="Q244" s="277">
        <v>0</v>
      </c>
      <c r="R244" s="277">
        <v>0</v>
      </c>
      <c r="S244" s="277">
        <v>0</v>
      </c>
      <c r="T244" s="277">
        <v>0</v>
      </c>
      <c r="U244" s="277">
        <v>0</v>
      </c>
      <c r="V244" s="277">
        <v>0</v>
      </c>
      <c r="W244" s="277">
        <v>0</v>
      </c>
      <c r="X244" s="277">
        <v>0</v>
      </c>
      <c r="Y244" s="277">
        <v>0</v>
      </c>
      <c r="Z244" s="277">
        <v>0</v>
      </c>
      <c r="AA244" s="277">
        <v>0</v>
      </c>
      <c r="AB244" s="276">
        <v>2020</v>
      </c>
    </row>
    <row r="245" spans="1:28" s="6" customFormat="1" ht="35.25" x14ac:dyDescent="0.5">
      <c r="A245" s="6">
        <v>1</v>
      </c>
      <c r="B245" s="135">
        <f>SUBTOTAL(103,$A$7:A245)</f>
        <v>234</v>
      </c>
      <c r="C245" s="270" t="s">
        <v>2110</v>
      </c>
      <c r="D245" s="271">
        <f t="shared" si="11"/>
        <v>508550.07</v>
      </c>
      <c r="E245" s="277">
        <v>0</v>
      </c>
      <c r="F245" s="277">
        <v>0</v>
      </c>
      <c r="G245" s="277">
        <v>0</v>
      </c>
      <c r="H245" s="277">
        <v>0</v>
      </c>
      <c r="I245" s="277">
        <v>0</v>
      </c>
      <c r="J245" s="277">
        <v>0</v>
      </c>
      <c r="K245" s="278">
        <v>0</v>
      </c>
      <c r="L245" s="277">
        <v>0</v>
      </c>
      <c r="M245" s="277">
        <v>0</v>
      </c>
      <c r="N245" s="277">
        <v>0</v>
      </c>
      <c r="O245" s="277">
        <v>508550.07</v>
      </c>
      <c r="P245" s="277">
        <v>0</v>
      </c>
      <c r="Q245" s="277">
        <v>0</v>
      </c>
      <c r="R245" s="277">
        <v>0</v>
      </c>
      <c r="S245" s="277">
        <v>0</v>
      </c>
      <c r="T245" s="277">
        <v>0</v>
      </c>
      <c r="U245" s="277">
        <v>0</v>
      </c>
      <c r="V245" s="277">
        <v>0</v>
      </c>
      <c r="W245" s="277">
        <v>0</v>
      </c>
      <c r="X245" s="277">
        <v>0</v>
      </c>
      <c r="Y245" s="277">
        <v>0</v>
      </c>
      <c r="Z245" s="277">
        <v>0</v>
      </c>
      <c r="AA245" s="277">
        <v>0</v>
      </c>
      <c r="AB245" s="276">
        <v>2020</v>
      </c>
    </row>
    <row r="246" spans="1:28" s="6" customFormat="1" ht="35.25" x14ac:dyDescent="0.5">
      <c r="A246" s="6">
        <v>1</v>
      </c>
      <c r="B246" s="135">
        <f>SUBTOTAL(103,$A$7:A246)</f>
        <v>235</v>
      </c>
      <c r="C246" s="270" t="s">
        <v>2111</v>
      </c>
      <c r="D246" s="271">
        <f t="shared" si="11"/>
        <v>1247325.5900000001</v>
      </c>
      <c r="E246" s="277">
        <v>0</v>
      </c>
      <c r="F246" s="277">
        <v>0</v>
      </c>
      <c r="G246" s="277">
        <v>0</v>
      </c>
      <c r="H246" s="277">
        <v>0</v>
      </c>
      <c r="I246" s="277">
        <v>0</v>
      </c>
      <c r="J246" s="277">
        <v>0</v>
      </c>
      <c r="K246" s="278">
        <v>0</v>
      </c>
      <c r="L246" s="277">
        <v>0</v>
      </c>
      <c r="M246" s="277">
        <v>1247325.5900000001</v>
      </c>
      <c r="N246" s="277">
        <v>0</v>
      </c>
      <c r="O246" s="277">
        <v>0</v>
      </c>
      <c r="P246" s="277">
        <v>0</v>
      </c>
      <c r="Q246" s="277">
        <v>0</v>
      </c>
      <c r="R246" s="277">
        <v>0</v>
      </c>
      <c r="S246" s="277">
        <v>0</v>
      </c>
      <c r="T246" s="277">
        <v>0</v>
      </c>
      <c r="U246" s="277">
        <v>0</v>
      </c>
      <c r="V246" s="277">
        <v>0</v>
      </c>
      <c r="W246" s="277">
        <v>0</v>
      </c>
      <c r="X246" s="277">
        <v>0</v>
      </c>
      <c r="Y246" s="277">
        <v>0</v>
      </c>
      <c r="Z246" s="277">
        <v>0</v>
      </c>
      <c r="AA246" s="277">
        <v>0</v>
      </c>
      <c r="AB246" s="276">
        <v>2020</v>
      </c>
    </row>
    <row r="247" spans="1:28" s="6" customFormat="1" ht="35.25" x14ac:dyDescent="0.5">
      <c r="A247" s="6">
        <v>1</v>
      </c>
      <c r="B247" s="135">
        <f>SUBTOTAL(103,$A$7:A247)</f>
        <v>236</v>
      </c>
      <c r="C247" s="270" t="s">
        <v>2112</v>
      </c>
      <c r="D247" s="271">
        <f t="shared" si="11"/>
        <v>1278007.1000000001</v>
      </c>
      <c r="E247" s="277">
        <v>0</v>
      </c>
      <c r="F247" s="277">
        <v>0</v>
      </c>
      <c r="G247" s="277">
        <v>0</v>
      </c>
      <c r="H247" s="277">
        <v>0</v>
      </c>
      <c r="I247" s="277">
        <v>0</v>
      </c>
      <c r="J247" s="277">
        <v>0</v>
      </c>
      <c r="K247" s="278">
        <v>0</v>
      </c>
      <c r="L247" s="277">
        <v>0</v>
      </c>
      <c r="M247" s="277">
        <v>0</v>
      </c>
      <c r="N247" s="277">
        <v>0</v>
      </c>
      <c r="O247" s="277">
        <v>1278007.1000000001</v>
      </c>
      <c r="P247" s="277">
        <v>0</v>
      </c>
      <c r="Q247" s="277">
        <v>0</v>
      </c>
      <c r="R247" s="277">
        <v>0</v>
      </c>
      <c r="S247" s="277">
        <v>0</v>
      </c>
      <c r="T247" s="277">
        <v>0</v>
      </c>
      <c r="U247" s="277">
        <v>0</v>
      </c>
      <c r="V247" s="277">
        <v>0</v>
      </c>
      <c r="W247" s="277">
        <v>0</v>
      </c>
      <c r="X247" s="277">
        <v>0</v>
      </c>
      <c r="Y247" s="277">
        <v>0</v>
      </c>
      <c r="Z247" s="277">
        <v>0</v>
      </c>
      <c r="AA247" s="277">
        <v>0</v>
      </c>
      <c r="AB247" s="276">
        <v>2020</v>
      </c>
    </row>
    <row r="248" spans="1:28" s="6" customFormat="1" ht="35.25" x14ac:dyDescent="0.5">
      <c r="A248" s="6">
        <v>1</v>
      </c>
      <c r="B248" s="135">
        <f>SUBTOTAL(103,$A$7:A248)</f>
        <v>237</v>
      </c>
      <c r="C248" s="270" t="s">
        <v>2113</v>
      </c>
      <c r="D248" s="271">
        <f t="shared" si="11"/>
        <v>1573506.01</v>
      </c>
      <c r="E248" s="277">
        <v>0</v>
      </c>
      <c r="F248" s="277">
        <v>0</v>
      </c>
      <c r="G248" s="277">
        <v>0</v>
      </c>
      <c r="H248" s="277">
        <v>0</v>
      </c>
      <c r="I248" s="277">
        <v>0</v>
      </c>
      <c r="J248" s="277">
        <v>0</v>
      </c>
      <c r="K248" s="278">
        <v>0</v>
      </c>
      <c r="L248" s="277">
        <v>0</v>
      </c>
      <c r="M248" s="277">
        <v>1573506.01</v>
      </c>
      <c r="N248" s="277">
        <v>0</v>
      </c>
      <c r="O248" s="277">
        <v>0</v>
      </c>
      <c r="P248" s="277">
        <v>0</v>
      </c>
      <c r="Q248" s="277">
        <v>0</v>
      </c>
      <c r="R248" s="277">
        <v>0</v>
      </c>
      <c r="S248" s="277">
        <v>0</v>
      </c>
      <c r="T248" s="277">
        <v>0</v>
      </c>
      <c r="U248" s="277">
        <v>0</v>
      </c>
      <c r="V248" s="277">
        <v>0</v>
      </c>
      <c r="W248" s="277">
        <v>0</v>
      </c>
      <c r="X248" s="277">
        <v>0</v>
      </c>
      <c r="Y248" s="277">
        <v>0</v>
      </c>
      <c r="Z248" s="277">
        <v>0</v>
      </c>
      <c r="AA248" s="277">
        <v>0</v>
      </c>
      <c r="AB248" s="276">
        <v>2020</v>
      </c>
    </row>
    <row r="249" spans="1:28" s="6" customFormat="1" ht="35.25" x14ac:dyDescent="0.5">
      <c r="A249" s="6">
        <v>1</v>
      </c>
      <c r="B249" s="135">
        <f>SUBTOTAL(103,$A$7:A249)</f>
        <v>238</v>
      </c>
      <c r="C249" s="270" t="s">
        <v>1953</v>
      </c>
      <c r="D249" s="271">
        <f t="shared" si="11"/>
        <v>589794.53</v>
      </c>
      <c r="E249" s="277">
        <v>0</v>
      </c>
      <c r="F249" s="277">
        <v>0</v>
      </c>
      <c r="G249" s="277">
        <v>0</v>
      </c>
      <c r="H249" s="277">
        <v>0</v>
      </c>
      <c r="I249" s="277">
        <v>0</v>
      </c>
      <c r="J249" s="277">
        <v>0</v>
      </c>
      <c r="K249" s="278">
        <v>0</v>
      </c>
      <c r="L249" s="277">
        <v>0</v>
      </c>
      <c r="M249" s="277">
        <v>0</v>
      </c>
      <c r="N249" s="277">
        <v>0</v>
      </c>
      <c r="O249" s="277">
        <v>589794.53</v>
      </c>
      <c r="P249" s="277">
        <v>0</v>
      </c>
      <c r="Q249" s="277">
        <v>0</v>
      </c>
      <c r="R249" s="277">
        <v>0</v>
      </c>
      <c r="S249" s="277">
        <v>0</v>
      </c>
      <c r="T249" s="277">
        <v>0</v>
      </c>
      <c r="U249" s="277">
        <v>0</v>
      </c>
      <c r="V249" s="277">
        <v>0</v>
      </c>
      <c r="W249" s="277">
        <v>0</v>
      </c>
      <c r="X249" s="277">
        <v>0</v>
      </c>
      <c r="Y249" s="277">
        <v>0</v>
      </c>
      <c r="Z249" s="277">
        <v>0</v>
      </c>
      <c r="AA249" s="277">
        <v>0</v>
      </c>
      <c r="AB249" s="276">
        <v>2020</v>
      </c>
    </row>
    <row r="250" spans="1:28" s="6" customFormat="1" ht="35.25" x14ac:dyDescent="0.5">
      <c r="A250" s="6">
        <v>1</v>
      </c>
      <c r="B250" s="135">
        <f>SUBTOTAL(103,$A$7:A250)</f>
        <v>239</v>
      </c>
      <c r="C250" s="270" t="s">
        <v>2114</v>
      </c>
      <c r="D250" s="271">
        <f t="shared" si="11"/>
        <v>1815600.86</v>
      </c>
      <c r="E250" s="277">
        <v>0</v>
      </c>
      <c r="F250" s="277">
        <v>0</v>
      </c>
      <c r="G250" s="277">
        <v>1815600.86</v>
      </c>
      <c r="H250" s="277">
        <v>0</v>
      </c>
      <c r="I250" s="277">
        <v>0</v>
      </c>
      <c r="J250" s="277">
        <v>0</v>
      </c>
      <c r="K250" s="278">
        <v>0</v>
      </c>
      <c r="L250" s="277">
        <v>0</v>
      </c>
      <c r="M250" s="277">
        <v>0</v>
      </c>
      <c r="N250" s="277">
        <v>0</v>
      </c>
      <c r="O250" s="277">
        <v>0</v>
      </c>
      <c r="P250" s="277">
        <v>0</v>
      </c>
      <c r="Q250" s="277">
        <v>0</v>
      </c>
      <c r="R250" s="277">
        <v>0</v>
      </c>
      <c r="S250" s="277">
        <v>0</v>
      </c>
      <c r="T250" s="277">
        <v>0</v>
      </c>
      <c r="U250" s="277">
        <v>0</v>
      </c>
      <c r="V250" s="277">
        <v>0</v>
      </c>
      <c r="W250" s="277">
        <v>0</v>
      </c>
      <c r="X250" s="277">
        <v>0</v>
      </c>
      <c r="Y250" s="277">
        <v>0</v>
      </c>
      <c r="Z250" s="277">
        <v>0</v>
      </c>
      <c r="AA250" s="277">
        <v>0</v>
      </c>
      <c r="AB250" s="276">
        <v>2020</v>
      </c>
    </row>
    <row r="251" spans="1:28" s="6" customFormat="1" ht="35.25" x14ac:dyDescent="0.5">
      <c r="A251" s="6">
        <v>1</v>
      </c>
      <c r="B251" s="135">
        <f>SUBTOTAL(103,$A$7:A251)</f>
        <v>240</v>
      </c>
      <c r="C251" s="270" t="s">
        <v>2115</v>
      </c>
      <c r="D251" s="271">
        <f t="shared" si="11"/>
        <v>1078229.55</v>
      </c>
      <c r="E251" s="277">
        <v>0</v>
      </c>
      <c r="F251" s="277">
        <v>0</v>
      </c>
      <c r="G251" s="277">
        <v>0</v>
      </c>
      <c r="H251" s="277">
        <v>0</v>
      </c>
      <c r="I251" s="277">
        <v>0</v>
      </c>
      <c r="J251" s="277">
        <v>0</v>
      </c>
      <c r="K251" s="278">
        <v>0</v>
      </c>
      <c r="L251" s="277">
        <v>0</v>
      </c>
      <c r="M251" s="277">
        <v>0</v>
      </c>
      <c r="N251" s="277">
        <v>0</v>
      </c>
      <c r="O251" s="277">
        <v>1078229.55</v>
      </c>
      <c r="P251" s="277">
        <v>0</v>
      </c>
      <c r="Q251" s="277">
        <v>0</v>
      </c>
      <c r="R251" s="277">
        <v>0</v>
      </c>
      <c r="S251" s="277">
        <v>0</v>
      </c>
      <c r="T251" s="277">
        <v>0</v>
      </c>
      <c r="U251" s="277">
        <v>0</v>
      </c>
      <c r="V251" s="277">
        <v>0</v>
      </c>
      <c r="W251" s="277">
        <v>0</v>
      </c>
      <c r="X251" s="277">
        <v>0</v>
      </c>
      <c r="Y251" s="277">
        <v>0</v>
      </c>
      <c r="Z251" s="277">
        <v>0</v>
      </c>
      <c r="AA251" s="277">
        <v>0</v>
      </c>
      <c r="AB251" s="276">
        <v>2020</v>
      </c>
    </row>
    <row r="252" spans="1:28" s="6" customFormat="1" ht="35.25" x14ac:dyDescent="0.5">
      <c r="A252" s="6">
        <v>1</v>
      </c>
      <c r="B252" s="135">
        <f>SUBTOTAL(103,$A$7:A252)</f>
        <v>241</v>
      </c>
      <c r="C252" s="270" t="s">
        <v>2116</v>
      </c>
      <c r="D252" s="271">
        <f t="shared" si="11"/>
        <v>231984</v>
      </c>
      <c r="E252" s="277">
        <v>0</v>
      </c>
      <c r="F252" s="277">
        <v>0</v>
      </c>
      <c r="G252" s="277">
        <v>0</v>
      </c>
      <c r="H252" s="277">
        <v>0</v>
      </c>
      <c r="I252" s="277">
        <v>0</v>
      </c>
      <c r="J252" s="277">
        <v>0</v>
      </c>
      <c r="K252" s="278">
        <v>0</v>
      </c>
      <c r="L252" s="277">
        <v>0</v>
      </c>
      <c r="M252" s="277">
        <v>0</v>
      </c>
      <c r="N252" s="277">
        <v>0</v>
      </c>
      <c r="O252" s="277">
        <v>0</v>
      </c>
      <c r="P252" s="277">
        <v>231984</v>
      </c>
      <c r="Q252" s="277">
        <v>0</v>
      </c>
      <c r="R252" s="277">
        <v>0</v>
      </c>
      <c r="S252" s="277">
        <v>0</v>
      </c>
      <c r="T252" s="277">
        <v>0</v>
      </c>
      <c r="U252" s="277">
        <v>0</v>
      </c>
      <c r="V252" s="277">
        <v>0</v>
      </c>
      <c r="W252" s="277">
        <v>0</v>
      </c>
      <c r="X252" s="277">
        <v>0</v>
      </c>
      <c r="Y252" s="277">
        <v>0</v>
      </c>
      <c r="Z252" s="277">
        <v>0</v>
      </c>
      <c r="AA252" s="277">
        <v>0</v>
      </c>
      <c r="AB252" s="276">
        <v>2020</v>
      </c>
    </row>
    <row r="253" spans="1:28" s="6" customFormat="1" ht="35.25" x14ac:dyDescent="0.5">
      <c r="A253" s="6">
        <v>1</v>
      </c>
      <c r="B253" s="135">
        <f>SUBTOTAL(103,$A$7:A253)</f>
        <v>242</v>
      </c>
      <c r="C253" s="270" t="s">
        <v>2117</v>
      </c>
      <c r="D253" s="271">
        <f t="shared" si="11"/>
        <v>1578380.8</v>
      </c>
      <c r="E253" s="277">
        <v>0</v>
      </c>
      <c r="F253" s="277">
        <v>0</v>
      </c>
      <c r="G253" s="277">
        <v>0</v>
      </c>
      <c r="H253" s="277">
        <v>0</v>
      </c>
      <c r="I253" s="277">
        <v>0</v>
      </c>
      <c r="J253" s="277">
        <v>0</v>
      </c>
      <c r="K253" s="278">
        <v>0</v>
      </c>
      <c r="L253" s="277">
        <v>0</v>
      </c>
      <c r="M253" s="277">
        <v>1028291</v>
      </c>
      <c r="N253" s="277">
        <v>0</v>
      </c>
      <c r="O253" s="277">
        <v>550089.80000000005</v>
      </c>
      <c r="P253" s="277">
        <v>0</v>
      </c>
      <c r="Q253" s="277">
        <v>0</v>
      </c>
      <c r="R253" s="277">
        <v>0</v>
      </c>
      <c r="S253" s="277">
        <v>0</v>
      </c>
      <c r="T253" s="277">
        <v>0</v>
      </c>
      <c r="U253" s="277">
        <v>0</v>
      </c>
      <c r="V253" s="277">
        <v>0</v>
      </c>
      <c r="W253" s="277">
        <v>0</v>
      </c>
      <c r="X253" s="277">
        <v>0</v>
      </c>
      <c r="Y253" s="277">
        <v>0</v>
      </c>
      <c r="Z253" s="277">
        <v>0</v>
      </c>
      <c r="AA253" s="277">
        <v>0</v>
      </c>
      <c r="AB253" s="276">
        <v>2020</v>
      </c>
    </row>
    <row r="254" spans="1:28" s="6" customFormat="1" ht="35.25" x14ac:dyDescent="0.5">
      <c r="A254" s="6">
        <v>1</v>
      </c>
      <c r="B254" s="135">
        <f>SUBTOTAL(103,$A$7:A254)</f>
        <v>243</v>
      </c>
      <c r="C254" s="270" t="s">
        <v>2118</v>
      </c>
      <c r="D254" s="271">
        <f t="shared" si="11"/>
        <v>567062.04</v>
      </c>
      <c r="E254" s="277">
        <v>0</v>
      </c>
      <c r="F254" s="277">
        <v>0</v>
      </c>
      <c r="G254" s="277">
        <v>0</v>
      </c>
      <c r="H254" s="277">
        <v>0</v>
      </c>
      <c r="I254" s="277">
        <v>567062.04</v>
      </c>
      <c r="J254" s="277">
        <v>0</v>
      </c>
      <c r="K254" s="278">
        <v>0</v>
      </c>
      <c r="L254" s="277">
        <v>0</v>
      </c>
      <c r="M254" s="277">
        <v>0</v>
      </c>
      <c r="N254" s="277">
        <v>0</v>
      </c>
      <c r="O254" s="277">
        <v>0</v>
      </c>
      <c r="P254" s="277">
        <v>0</v>
      </c>
      <c r="Q254" s="277">
        <v>0</v>
      </c>
      <c r="R254" s="277">
        <v>0</v>
      </c>
      <c r="S254" s="277">
        <v>0</v>
      </c>
      <c r="T254" s="277">
        <v>0</v>
      </c>
      <c r="U254" s="277">
        <v>0</v>
      </c>
      <c r="V254" s="277">
        <v>0</v>
      </c>
      <c r="W254" s="277">
        <v>0</v>
      </c>
      <c r="X254" s="277">
        <v>0</v>
      </c>
      <c r="Y254" s="277">
        <v>0</v>
      </c>
      <c r="Z254" s="277">
        <v>0</v>
      </c>
      <c r="AA254" s="277">
        <v>0</v>
      </c>
      <c r="AB254" s="276">
        <v>2020</v>
      </c>
    </row>
    <row r="255" spans="1:28" s="6" customFormat="1" ht="35.25" x14ac:dyDescent="0.5">
      <c r="A255" s="6">
        <v>1</v>
      </c>
      <c r="B255" s="135">
        <f>SUBTOTAL(103,$A$7:A255)</f>
        <v>244</v>
      </c>
      <c r="C255" s="270" t="s">
        <v>2119</v>
      </c>
      <c r="D255" s="271">
        <f t="shared" si="11"/>
        <v>2516334.0499999998</v>
      </c>
      <c r="E255" s="277">
        <v>0</v>
      </c>
      <c r="F255" s="277">
        <v>0</v>
      </c>
      <c r="G255" s="277">
        <v>0</v>
      </c>
      <c r="H255" s="277">
        <v>0</v>
      </c>
      <c r="I255" s="277">
        <v>0</v>
      </c>
      <c r="J255" s="277">
        <v>0</v>
      </c>
      <c r="K255" s="278">
        <v>0</v>
      </c>
      <c r="L255" s="277">
        <v>0</v>
      </c>
      <c r="M255" s="277">
        <v>2516334.0499999998</v>
      </c>
      <c r="N255" s="277">
        <v>0</v>
      </c>
      <c r="O255" s="277">
        <v>0</v>
      </c>
      <c r="P255" s="277">
        <v>0</v>
      </c>
      <c r="Q255" s="277">
        <v>0</v>
      </c>
      <c r="R255" s="277">
        <v>0</v>
      </c>
      <c r="S255" s="277">
        <v>0</v>
      </c>
      <c r="T255" s="277">
        <v>0</v>
      </c>
      <c r="U255" s="277">
        <v>0</v>
      </c>
      <c r="V255" s="277">
        <v>0</v>
      </c>
      <c r="W255" s="277">
        <v>0</v>
      </c>
      <c r="X255" s="277">
        <v>0</v>
      </c>
      <c r="Y255" s="277">
        <v>0</v>
      </c>
      <c r="Z255" s="277">
        <v>0</v>
      </c>
      <c r="AA255" s="277">
        <v>0</v>
      </c>
      <c r="AB255" s="276">
        <v>2020</v>
      </c>
    </row>
    <row r="256" spans="1:28" s="6" customFormat="1" ht="35.25" x14ac:dyDescent="0.5">
      <c r="A256" s="6">
        <v>1</v>
      </c>
      <c r="B256" s="135">
        <f>SUBTOTAL(103,$A$7:A256)</f>
        <v>245</v>
      </c>
      <c r="C256" s="270" t="s">
        <v>2120</v>
      </c>
      <c r="D256" s="271">
        <f t="shared" si="11"/>
        <v>294657.71999999997</v>
      </c>
      <c r="E256" s="277">
        <v>294657.71999999997</v>
      </c>
      <c r="F256" s="277">
        <v>0</v>
      </c>
      <c r="G256" s="277">
        <v>0</v>
      </c>
      <c r="H256" s="277">
        <v>0</v>
      </c>
      <c r="I256" s="277">
        <v>0</v>
      </c>
      <c r="J256" s="277">
        <v>0</v>
      </c>
      <c r="K256" s="278">
        <v>0</v>
      </c>
      <c r="L256" s="277">
        <v>0</v>
      </c>
      <c r="M256" s="277">
        <v>0</v>
      </c>
      <c r="N256" s="277">
        <v>0</v>
      </c>
      <c r="O256" s="277">
        <v>0</v>
      </c>
      <c r="P256" s="277">
        <v>0</v>
      </c>
      <c r="Q256" s="277">
        <v>0</v>
      </c>
      <c r="R256" s="277">
        <v>0</v>
      </c>
      <c r="S256" s="277">
        <v>0</v>
      </c>
      <c r="T256" s="277">
        <v>0</v>
      </c>
      <c r="U256" s="277">
        <v>0</v>
      </c>
      <c r="V256" s="277">
        <v>0</v>
      </c>
      <c r="W256" s="277">
        <v>0</v>
      </c>
      <c r="X256" s="277">
        <v>0</v>
      </c>
      <c r="Y256" s="277">
        <v>0</v>
      </c>
      <c r="Z256" s="277">
        <v>0</v>
      </c>
      <c r="AA256" s="277">
        <v>0</v>
      </c>
      <c r="AB256" s="276">
        <v>2020</v>
      </c>
    </row>
    <row r="257" spans="1:28" s="6" customFormat="1" ht="35.25" x14ac:dyDescent="0.5">
      <c r="A257" s="6">
        <v>1</v>
      </c>
      <c r="B257" s="135">
        <f>SUBTOTAL(103,$A$7:A257)</f>
        <v>246</v>
      </c>
      <c r="C257" s="270" t="s">
        <v>2121</v>
      </c>
      <c r="D257" s="271">
        <f t="shared" si="11"/>
        <v>369249.28000000003</v>
      </c>
      <c r="E257" s="277">
        <v>0</v>
      </c>
      <c r="F257" s="277">
        <v>0</v>
      </c>
      <c r="G257" s="277">
        <v>0</v>
      </c>
      <c r="H257" s="277">
        <v>0</v>
      </c>
      <c r="I257" s="277">
        <v>0</v>
      </c>
      <c r="J257" s="277">
        <v>0</v>
      </c>
      <c r="K257" s="278">
        <v>0</v>
      </c>
      <c r="L257" s="277">
        <v>0</v>
      </c>
      <c r="M257" s="277">
        <v>369249.28000000003</v>
      </c>
      <c r="N257" s="277">
        <v>0</v>
      </c>
      <c r="O257" s="277">
        <v>0</v>
      </c>
      <c r="P257" s="277">
        <v>0</v>
      </c>
      <c r="Q257" s="277">
        <v>0</v>
      </c>
      <c r="R257" s="277">
        <v>0</v>
      </c>
      <c r="S257" s="277">
        <v>0</v>
      </c>
      <c r="T257" s="277">
        <v>0</v>
      </c>
      <c r="U257" s="277">
        <v>0</v>
      </c>
      <c r="V257" s="277">
        <v>0</v>
      </c>
      <c r="W257" s="277">
        <v>0</v>
      </c>
      <c r="X257" s="277">
        <v>0</v>
      </c>
      <c r="Y257" s="277">
        <v>0</v>
      </c>
      <c r="Z257" s="277">
        <v>0</v>
      </c>
      <c r="AA257" s="277">
        <v>0</v>
      </c>
      <c r="AB257" s="276">
        <v>2020</v>
      </c>
    </row>
    <row r="258" spans="1:28" s="6" customFormat="1" ht="35.25" x14ac:dyDescent="0.5">
      <c r="A258" s="6">
        <v>1</v>
      </c>
      <c r="B258" s="135">
        <f>SUBTOTAL(103,$A$7:A258)</f>
        <v>247</v>
      </c>
      <c r="C258" s="270" t="s">
        <v>2122</v>
      </c>
      <c r="D258" s="271">
        <f t="shared" si="11"/>
        <v>1052055</v>
      </c>
      <c r="E258" s="277">
        <v>0</v>
      </c>
      <c r="F258" s="277">
        <v>0</v>
      </c>
      <c r="G258" s="277">
        <v>1052055</v>
      </c>
      <c r="H258" s="277">
        <v>0</v>
      </c>
      <c r="I258" s="277">
        <v>0</v>
      </c>
      <c r="J258" s="277">
        <v>0</v>
      </c>
      <c r="K258" s="278">
        <v>0</v>
      </c>
      <c r="L258" s="277">
        <v>0</v>
      </c>
      <c r="M258" s="277">
        <v>0</v>
      </c>
      <c r="N258" s="277">
        <v>0</v>
      </c>
      <c r="O258" s="277">
        <v>0</v>
      </c>
      <c r="P258" s="277">
        <v>0</v>
      </c>
      <c r="Q258" s="277">
        <v>0</v>
      </c>
      <c r="R258" s="277">
        <v>0</v>
      </c>
      <c r="S258" s="277">
        <v>0</v>
      </c>
      <c r="T258" s="277">
        <v>0</v>
      </c>
      <c r="U258" s="277">
        <v>0</v>
      </c>
      <c r="V258" s="277">
        <v>0</v>
      </c>
      <c r="W258" s="277">
        <v>0</v>
      </c>
      <c r="X258" s="277">
        <v>0</v>
      </c>
      <c r="Y258" s="277">
        <v>0</v>
      </c>
      <c r="Z258" s="277">
        <v>0</v>
      </c>
      <c r="AA258" s="277">
        <v>0</v>
      </c>
      <c r="AB258" s="276">
        <v>2020</v>
      </c>
    </row>
    <row r="259" spans="1:28" s="6" customFormat="1" ht="35.25" x14ac:dyDescent="0.5">
      <c r="A259" s="6">
        <v>1</v>
      </c>
      <c r="B259" s="135">
        <f>SUBTOTAL(103,$A$7:A259)</f>
        <v>248</v>
      </c>
      <c r="C259" s="270" t="s">
        <v>2123</v>
      </c>
      <c r="D259" s="271">
        <f t="shared" si="11"/>
        <v>527399.5</v>
      </c>
      <c r="E259" s="277">
        <v>0</v>
      </c>
      <c r="F259" s="277">
        <v>0</v>
      </c>
      <c r="G259" s="277">
        <v>0</v>
      </c>
      <c r="H259" s="277">
        <v>0</v>
      </c>
      <c r="I259" s="277">
        <v>0</v>
      </c>
      <c r="J259" s="277">
        <v>0</v>
      </c>
      <c r="K259" s="278">
        <v>0</v>
      </c>
      <c r="L259" s="277">
        <v>0</v>
      </c>
      <c r="M259" s="277">
        <v>527399.5</v>
      </c>
      <c r="N259" s="277">
        <v>0</v>
      </c>
      <c r="O259" s="277">
        <v>0</v>
      </c>
      <c r="P259" s="277">
        <v>0</v>
      </c>
      <c r="Q259" s="277">
        <v>0</v>
      </c>
      <c r="R259" s="277">
        <v>0</v>
      </c>
      <c r="S259" s="277">
        <v>0</v>
      </c>
      <c r="T259" s="277">
        <v>0</v>
      </c>
      <c r="U259" s="277">
        <v>0</v>
      </c>
      <c r="V259" s="277">
        <v>0</v>
      </c>
      <c r="W259" s="277">
        <v>0</v>
      </c>
      <c r="X259" s="277">
        <v>0</v>
      </c>
      <c r="Y259" s="277">
        <v>0</v>
      </c>
      <c r="Z259" s="277">
        <v>0</v>
      </c>
      <c r="AA259" s="277">
        <v>0</v>
      </c>
      <c r="AB259" s="276">
        <v>2020</v>
      </c>
    </row>
    <row r="260" spans="1:28" s="6" customFormat="1" ht="35.25" x14ac:dyDescent="0.5">
      <c r="A260" s="6">
        <v>1</v>
      </c>
      <c r="B260" s="135">
        <f>SUBTOTAL(103,$A$7:A260)</f>
        <v>249</v>
      </c>
      <c r="C260" s="270" t="s">
        <v>2124</v>
      </c>
      <c r="D260" s="271">
        <f t="shared" si="11"/>
        <v>687319</v>
      </c>
      <c r="E260" s="277">
        <v>0</v>
      </c>
      <c r="F260" s="277">
        <v>0</v>
      </c>
      <c r="G260" s="277">
        <v>0</v>
      </c>
      <c r="H260" s="277">
        <v>0</v>
      </c>
      <c r="I260" s="277">
        <v>0</v>
      </c>
      <c r="J260" s="277">
        <v>0</v>
      </c>
      <c r="K260" s="278">
        <v>0</v>
      </c>
      <c r="L260" s="277">
        <v>0</v>
      </c>
      <c r="M260" s="277">
        <v>687319</v>
      </c>
      <c r="N260" s="277">
        <v>0</v>
      </c>
      <c r="O260" s="277">
        <v>0</v>
      </c>
      <c r="P260" s="277">
        <v>0</v>
      </c>
      <c r="Q260" s="277">
        <v>0</v>
      </c>
      <c r="R260" s="277">
        <v>0</v>
      </c>
      <c r="S260" s="277">
        <v>0</v>
      </c>
      <c r="T260" s="277">
        <v>0</v>
      </c>
      <c r="U260" s="277">
        <v>0</v>
      </c>
      <c r="V260" s="277">
        <v>0</v>
      </c>
      <c r="W260" s="277">
        <v>0</v>
      </c>
      <c r="X260" s="277">
        <v>0</v>
      </c>
      <c r="Y260" s="277">
        <v>0</v>
      </c>
      <c r="Z260" s="277">
        <v>0</v>
      </c>
      <c r="AA260" s="277">
        <v>0</v>
      </c>
      <c r="AB260" s="276">
        <v>2020</v>
      </c>
    </row>
    <row r="261" spans="1:28" s="6" customFormat="1" ht="35.25" x14ac:dyDescent="0.5">
      <c r="A261" s="6">
        <v>1</v>
      </c>
      <c r="B261" s="135">
        <f>SUBTOTAL(103,$A$7:A261)</f>
        <v>250</v>
      </c>
      <c r="C261" s="270" t="s">
        <v>2125</v>
      </c>
      <c r="D261" s="271">
        <f t="shared" si="11"/>
        <v>350000</v>
      </c>
      <c r="E261" s="277">
        <v>0</v>
      </c>
      <c r="F261" s="277">
        <v>0</v>
      </c>
      <c r="G261" s="277">
        <v>0</v>
      </c>
      <c r="H261" s="277">
        <v>0</v>
      </c>
      <c r="I261" s="277">
        <v>0</v>
      </c>
      <c r="J261" s="277">
        <v>0</v>
      </c>
      <c r="K261" s="278">
        <v>0</v>
      </c>
      <c r="L261" s="277">
        <v>0</v>
      </c>
      <c r="M261" s="277">
        <v>350000</v>
      </c>
      <c r="N261" s="277">
        <v>0</v>
      </c>
      <c r="O261" s="277">
        <v>0</v>
      </c>
      <c r="P261" s="277">
        <v>0</v>
      </c>
      <c r="Q261" s="277">
        <v>0</v>
      </c>
      <c r="R261" s="277">
        <v>0</v>
      </c>
      <c r="S261" s="277">
        <v>0</v>
      </c>
      <c r="T261" s="277">
        <v>0</v>
      </c>
      <c r="U261" s="277">
        <v>0</v>
      </c>
      <c r="V261" s="277">
        <v>0</v>
      </c>
      <c r="W261" s="277">
        <v>0</v>
      </c>
      <c r="X261" s="277">
        <v>0</v>
      </c>
      <c r="Y261" s="277">
        <v>0</v>
      </c>
      <c r="Z261" s="277">
        <v>0</v>
      </c>
      <c r="AA261" s="277">
        <v>0</v>
      </c>
      <c r="AB261" s="276">
        <v>2020</v>
      </c>
    </row>
    <row r="262" spans="1:28" s="6" customFormat="1" ht="35.25" x14ac:dyDescent="0.5">
      <c r="A262" s="6">
        <v>1</v>
      </c>
      <c r="B262" s="135">
        <f>SUBTOTAL(103,$A$7:A262)</f>
        <v>251</v>
      </c>
      <c r="C262" s="270" t="s">
        <v>2126</v>
      </c>
      <c r="D262" s="271">
        <f t="shared" si="11"/>
        <v>571302</v>
      </c>
      <c r="E262" s="277">
        <v>0</v>
      </c>
      <c r="F262" s="277">
        <v>0</v>
      </c>
      <c r="G262" s="277">
        <v>0</v>
      </c>
      <c r="H262" s="277">
        <v>0</v>
      </c>
      <c r="I262" s="277">
        <v>0</v>
      </c>
      <c r="J262" s="277">
        <v>0</v>
      </c>
      <c r="K262" s="278">
        <v>0</v>
      </c>
      <c r="L262" s="277">
        <v>0</v>
      </c>
      <c r="M262" s="277">
        <v>0</v>
      </c>
      <c r="N262" s="277">
        <v>0</v>
      </c>
      <c r="O262" s="277">
        <v>571302</v>
      </c>
      <c r="P262" s="277">
        <v>0</v>
      </c>
      <c r="Q262" s="277">
        <v>0</v>
      </c>
      <c r="R262" s="277">
        <v>0</v>
      </c>
      <c r="S262" s="277">
        <v>0</v>
      </c>
      <c r="T262" s="277">
        <v>0</v>
      </c>
      <c r="U262" s="277">
        <v>0</v>
      </c>
      <c r="V262" s="277">
        <v>0</v>
      </c>
      <c r="W262" s="277">
        <v>0</v>
      </c>
      <c r="X262" s="277">
        <v>0</v>
      </c>
      <c r="Y262" s="277">
        <v>0</v>
      </c>
      <c r="Z262" s="277">
        <v>0</v>
      </c>
      <c r="AA262" s="277">
        <v>0</v>
      </c>
      <c r="AB262" s="276">
        <v>2020</v>
      </c>
    </row>
    <row r="263" spans="1:28" s="6" customFormat="1" ht="35.25" x14ac:dyDescent="0.5">
      <c r="A263" s="6">
        <v>1</v>
      </c>
      <c r="B263" s="135">
        <f>SUBTOTAL(103,$A$7:A263)</f>
        <v>252</v>
      </c>
      <c r="C263" s="270" t="s">
        <v>2127</v>
      </c>
      <c r="D263" s="271">
        <f t="shared" si="11"/>
        <v>283242</v>
      </c>
      <c r="E263" s="277">
        <v>0</v>
      </c>
      <c r="F263" s="277">
        <v>0</v>
      </c>
      <c r="G263" s="277">
        <v>0</v>
      </c>
      <c r="H263" s="277">
        <v>0</v>
      </c>
      <c r="I263" s="277">
        <v>0</v>
      </c>
      <c r="J263" s="277">
        <v>0</v>
      </c>
      <c r="K263" s="278">
        <v>0</v>
      </c>
      <c r="L263" s="277">
        <v>0</v>
      </c>
      <c r="M263" s="277">
        <v>283242</v>
      </c>
      <c r="N263" s="277">
        <v>0</v>
      </c>
      <c r="O263" s="277">
        <v>0</v>
      </c>
      <c r="P263" s="277">
        <v>0</v>
      </c>
      <c r="Q263" s="277">
        <v>0</v>
      </c>
      <c r="R263" s="277">
        <v>0</v>
      </c>
      <c r="S263" s="277">
        <v>0</v>
      </c>
      <c r="T263" s="277">
        <v>0</v>
      </c>
      <c r="U263" s="277">
        <v>0</v>
      </c>
      <c r="V263" s="277">
        <v>0</v>
      </c>
      <c r="W263" s="277">
        <v>0</v>
      </c>
      <c r="X263" s="277">
        <v>0</v>
      </c>
      <c r="Y263" s="277">
        <v>0</v>
      </c>
      <c r="Z263" s="277">
        <v>0</v>
      </c>
      <c r="AA263" s="277">
        <v>0</v>
      </c>
      <c r="AB263" s="276">
        <v>2020</v>
      </c>
    </row>
    <row r="264" spans="1:28" s="6" customFormat="1" ht="35.25" x14ac:dyDescent="0.5">
      <c r="A264" s="6">
        <v>1</v>
      </c>
      <c r="B264" s="135">
        <f>SUBTOTAL(103,$A$7:A264)</f>
        <v>253</v>
      </c>
      <c r="C264" s="270" t="s">
        <v>2128</v>
      </c>
      <c r="D264" s="271">
        <f t="shared" si="11"/>
        <v>210000</v>
      </c>
      <c r="E264" s="277">
        <v>0</v>
      </c>
      <c r="F264" s="277">
        <v>0</v>
      </c>
      <c r="G264" s="277">
        <v>0</v>
      </c>
      <c r="H264" s="277">
        <v>0</v>
      </c>
      <c r="I264" s="277">
        <v>0</v>
      </c>
      <c r="J264" s="277">
        <v>0</v>
      </c>
      <c r="K264" s="278">
        <v>0</v>
      </c>
      <c r="L264" s="277">
        <v>0</v>
      </c>
      <c r="M264" s="277">
        <v>210000</v>
      </c>
      <c r="N264" s="277">
        <v>0</v>
      </c>
      <c r="O264" s="277">
        <v>0</v>
      </c>
      <c r="P264" s="277">
        <v>0</v>
      </c>
      <c r="Q264" s="277">
        <v>0</v>
      </c>
      <c r="R264" s="277">
        <v>0</v>
      </c>
      <c r="S264" s="277">
        <v>0</v>
      </c>
      <c r="T264" s="277">
        <v>0</v>
      </c>
      <c r="U264" s="277">
        <v>0</v>
      </c>
      <c r="V264" s="277">
        <v>0</v>
      </c>
      <c r="W264" s="277">
        <v>0</v>
      </c>
      <c r="X264" s="277">
        <v>0</v>
      </c>
      <c r="Y264" s="277">
        <v>0</v>
      </c>
      <c r="Z264" s="277">
        <v>0</v>
      </c>
      <c r="AA264" s="277">
        <v>0</v>
      </c>
      <c r="AB264" s="276">
        <v>2020</v>
      </c>
    </row>
    <row r="265" spans="1:28" s="6" customFormat="1" ht="35.25" x14ac:dyDescent="0.5">
      <c r="A265" s="6">
        <v>1</v>
      </c>
      <c r="B265" s="135">
        <f>SUBTOTAL(103,$A$7:A265)</f>
        <v>254</v>
      </c>
      <c r="C265" s="270" t="s">
        <v>2129</v>
      </c>
      <c r="D265" s="271">
        <f t="shared" si="11"/>
        <v>482863</v>
      </c>
      <c r="E265" s="277">
        <v>0</v>
      </c>
      <c r="F265" s="277">
        <v>0</v>
      </c>
      <c r="G265" s="277">
        <v>482863</v>
      </c>
      <c r="H265" s="277">
        <v>0</v>
      </c>
      <c r="I265" s="277">
        <v>0</v>
      </c>
      <c r="J265" s="277">
        <v>0</v>
      </c>
      <c r="K265" s="278">
        <v>0</v>
      </c>
      <c r="L265" s="277">
        <v>0</v>
      </c>
      <c r="M265" s="277">
        <v>0</v>
      </c>
      <c r="N265" s="277">
        <v>0</v>
      </c>
      <c r="O265" s="277">
        <v>0</v>
      </c>
      <c r="P265" s="277">
        <v>0</v>
      </c>
      <c r="Q265" s="277">
        <v>0</v>
      </c>
      <c r="R265" s="277">
        <v>0</v>
      </c>
      <c r="S265" s="277">
        <v>0</v>
      </c>
      <c r="T265" s="277">
        <v>0</v>
      </c>
      <c r="U265" s="277">
        <v>0</v>
      </c>
      <c r="V265" s="277">
        <v>0</v>
      </c>
      <c r="W265" s="277">
        <v>0</v>
      </c>
      <c r="X265" s="277">
        <v>0</v>
      </c>
      <c r="Y265" s="277">
        <v>0</v>
      </c>
      <c r="Z265" s="277">
        <v>0</v>
      </c>
      <c r="AA265" s="277">
        <v>0</v>
      </c>
      <c r="AB265" s="276">
        <v>2020</v>
      </c>
    </row>
    <row r="266" spans="1:28" s="6" customFormat="1" ht="35.25" x14ac:dyDescent="0.5">
      <c r="A266" s="6">
        <v>1</v>
      </c>
      <c r="B266" s="135">
        <f>SUBTOTAL(103,$A$7:A266)</f>
        <v>255</v>
      </c>
      <c r="C266" s="270" t="s">
        <v>2130</v>
      </c>
      <c r="D266" s="271">
        <f t="shared" si="11"/>
        <v>71221.2</v>
      </c>
      <c r="E266" s="277">
        <v>0</v>
      </c>
      <c r="F266" s="277">
        <v>0</v>
      </c>
      <c r="G266" s="277">
        <v>0</v>
      </c>
      <c r="H266" s="277">
        <v>0</v>
      </c>
      <c r="I266" s="277">
        <v>0</v>
      </c>
      <c r="J266" s="277">
        <v>0</v>
      </c>
      <c r="K266" s="278">
        <v>0</v>
      </c>
      <c r="L266" s="277">
        <v>0</v>
      </c>
      <c r="M266" s="277">
        <v>71221.2</v>
      </c>
      <c r="N266" s="277">
        <v>0</v>
      </c>
      <c r="O266" s="277">
        <v>0</v>
      </c>
      <c r="P266" s="277">
        <v>0</v>
      </c>
      <c r="Q266" s="277">
        <v>0</v>
      </c>
      <c r="R266" s="277">
        <v>0</v>
      </c>
      <c r="S266" s="277">
        <v>0</v>
      </c>
      <c r="T266" s="277">
        <v>0</v>
      </c>
      <c r="U266" s="277">
        <v>0</v>
      </c>
      <c r="V266" s="277">
        <v>0</v>
      </c>
      <c r="W266" s="277">
        <v>0</v>
      </c>
      <c r="X266" s="277">
        <v>0</v>
      </c>
      <c r="Y266" s="277">
        <v>0</v>
      </c>
      <c r="Z266" s="277">
        <v>0</v>
      </c>
      <c r="AA266" s="277">
        <v>0</v>
      </c>
      <c r="AB266" s="276">
        <v>2020</v>
      </c>
    </row>
    <row r="267" spans="1:28" s="6" customFormat="1" ht="35.25" x14ac:dyDescent="0.5">
      <c r="A267" s="6">
        <v>1</v>
      </c>
      <c r="B267" s="135">
        <f>SUBTOTAL(103,$A$7:A267)</f>
        <v>256</v>
      </c>
      <c r="C267" s="270" t="s">
        <v>2131</v>
      </c>
      <c r="D267" s="271">
        <f t="shared" si="11"/>
        <v>265768</v>
      </c>
      <c r="E267" s="277">
        <v>0</v>
      </c>
      <c r="F267" s="277">
        <v>0</v>
      </c>
      <c r="G267" s="277">
        <v>265768</v>
      </c>
      <c r="H267" s="277">
        <v>0</v>
      </c>
      <c r="I267" s="277">
        <v>0</v>
      </c>
      <c r="J267" s="277">
        <v>0</v>
      </c>
      <c r="K267" s="278">
        <v>0</v>
      </c>
      <c r="L267" s="277">
        <v>0</v>
      </c>
      <c r="M267" s="277">
        <v>0</v>
      </c>
      <c r="N267" s="277">
        <v>0</v>
      </c>
      <c r="O267" s="277">
        <v>0</v>
      </c>
      <c r="P267" s="277">
        <v>0</v>
      </c>
      <c r="Q267" s="277">
        <v>0</v>
      </c>
      <c r="R267" s="277">
        <v>0</v>
      </c>
      <c r="S267" s="277">
        <v>0</v>
      </c>
      <c r="T267" s="277">
        <v>0</v>
      </c>
      <c r="U267" s="277">
        <v>0</v>
      </c>
      <c r="V267" s="277">
        <v>0</v>
      </c>
      <c r="W267" s="277">
        <v>0</v>
      </c>
      <c r="X267" s="277">
        <v>0</v>
      </c>
      <c r="Y267" s="277">
        <v>0</v>
      </c>
      <c r="Z267" s="277">
        <v>0</v>
      </c>
      <c r="AA267" s="277">
        <v>0</v>
      </c>
      <c r="AB267" s="276">
        <v>2020</v>
      </c>
    </row>
    <row r="268" spans="1:28" s="6" customFormat="1" ht="35.25" x14ac:dyDescent="0.5">
      <c r="A268" s="6">
        <v>1</v>
      </c>
      <c r="B268" s="135">
        <f>SUBTOTAL(103,$A$7:A268)</f>
        <v>257</v>
      </c>
      <c r="C268" s="270" t="s">
        <v>2132</v>
      </c>
      <c r="D268" s="271">
        <f t="shared" si="11"/>
        <v>223076</v>
      </c>
      <c r="E268" s="277">
        <v>0</v>
      </c>
      <c r="F268" s="277">
        <v>0</v>
      </c>
      <c r="G268" s="277">
        <v>0</v>
      </c>
      <c r="H268" s="277">
        <v>13076</v>
      </c>
      <c r="I268" s="277">
        <v>0</v>
      </c>
      <c r="J268" s="277">
        <v>0</v>
      </c>
      <c r="K268" s="278">
        <v>0</v>
      </c>
      <c r="L268" s="277">
        <v>0</v>
      </c>
      <c r="M268" s="277">
        <v>0</v>
      </c>
      <c r="N268" s="277">
        <v>0</v>
      </c>
      <c r="O268" s="277">
        <v>210000</v>
      </c>
      <c r="P268" s="277">
        <v>0</v>
      </c>
      <c r="Q268" s="277">
        <v>0</v>
      </c>
      <c r="R268" s="277">
        <v>0</v>
      </c>
      <c r="S268" s="277">
        <v>0</v>
      </c>
      <c r="T268" s="277">
        <v>0</v>
      </c>
      <c r="U268" s="277">
        <v>0</v>
      </c>
      <c r="V268" s="277">
        <v>0</v>
      </c>
      <c r="W268" s="277">
        <v>0</v>
      </c>
      <c r="X268" s="277">
        <v>0</v>
      </c>
      <c r="Y268" s="277">
        <v>0</v>
      </c>
      <c r="Z268" s="277">
        <v>0</v>
      </c>
      <c r="AA268" s="277">
        <v>0</v>
      </c>
      <c r="AB268" s="276">
        <v>2020</v>
      </c>
    </row>
    <row r="269" spans="1:28" s="6" customFormat="1" ht="35.25" x14ac:dyDescent="0.5">
      <c r="A269" s="6">
        <v>1</v>
      </c>
      <c r="B269" s="135">
        <f>SUBTOTAL(103,$A$7:A269)</f>
        <v>258</v>
      </c>
      <c r="C269" s="270" t="s">
        <v>2133</v>
      </c>
      <c r="D269" s="271">
        <f t="shared" si="11"/>
        <v>682931</v>
      </c>
      <c r="E269" s="277">
        <v>0</v>
      </c>
      <c r="F269" s="277">
        <v>0</v>
      </c>
      <c r="G269" s="277">
        <v>0</v>
      </c>
      <c r="H269" s="277">
        <v>0</v>
      </c>
      <c r="I269" s="277">
        <v>0</v>
      </c>
      <c r="J269" s="277">
        <v>0</v>
      </c>
      <c r="K269" s="278">
        <v>0</v>
      </c>
      <c r="L269" s="277">
        <v>0</v>
      </c>
      <c r="M269" s="277">
        <v>0</v>
      </c>
      <c r="N269" s="277">
        <v>0</v>
      </c>
      <c r="O269" s="277">
        <v>682931</v>
      </c>
      <c r="P269" s="277">
        <v>0</v>
      </c>
      <c r="Q269" s="277">
        <v>0</v>
      </c>
      <c r="R269" s="277">
        <v>0</v>
      </c>
      <c r="S269" s="277">
        <v>0</v>
      </c>
      <c r="T269" s="277">
        <v>0</v>
      </c>
      <c r="U269" s="277">
        <v>0</v>
      </c>
      <c r="V269" s="277">
        <v>0</v>
      </c>
      <c r="W269" s="277">
        <v>0</v>
      </c>
      <c r="X269" s="277">
        <v>0</v>
      </c>
      <c r="Y269" s="277">
        <v>0</v>
      </c>
      <c r="Z269" s="277">
        <v>0</v>
      </c>
      <c r="AA269" s="277">
        <v>0</v>
      </c>
      <c r="AB269" s="276">
        <v>2020</v>
      </c>
    </row>
    <row r="270" spans="1:28" s="6" customFormat="1" ht="35.25" x14ac:dyDescent="0.5">
      <c r="A270" s="6">
        <v>1</v>
      </c>
      <c r="B270" s="135">
        <f>SUBTOTAL(103,$A$7:A270)</f>
        <v>259</v>
      </c>
      <c r="C270" s="270" t="s">
        <v>2134</v>
      </c>
      <c r="D270" s="271">
        <f t="shared" si="11"/>
        <v>585000</v>
      </c>
      <c r="E270" s="277">
        <v>0</v>
      </c>
      <c r="F270" s="277">
        <v>0</v>
      </c>
      <c r="G270" s="277">
        <v>0</v>
      </c>
      <c r="H270" s="277">
        <v>0</v>
      </c>
      <c r="I270" s="277">
        <v>0</v>
      </c>
      <c r="J270" s="277">
        <v>0</v>
      </c>
      <c r="K270" s="278">
        <v>1</v>
      </c>
      <c r="L270" s="277">
        <v>585000</v>
      </c>
      <c r="M270" s="277">
        <v>0</v>
      </c>
      <c r="N270" s="277">
        <v>0</v>
      </c>
      <c r="O270" s="277">
        <v>0</v>
      </c>
      <c r="P270" s="277">
        <v>0</v>
      </c>
      <c r="Q270" s="277">
        <v>0</v>
      </c>
      <c r="R270" s="277">
        <v>0</v>
      </c>
      <c r="S270" s="277">
        <v>0</v>
      </c>
      <c r="T270" s="277">
        <v>0</v>
      </c>
      <c r="U270" s="277">
        <v>0</v>
      </c>
      <c r="V270" s="277">
        <v>0</v>
      </c>
      <c r="W270" s="277">
        <v>0</v>
      </c>
      <c r="X270" s="277">
        <v>0</v>
      </c>
      <c r="Y270" s="277">
        <v>0</v>
      </c>
      <c r="Z270" s="277">
        <v>0</v>
      </c>
      <c r="AA270" s="277">
        <v>0</v>
      </c>
      <c r="AB270" s="276">
        <v>2020</v>
      </c>
    </row>
    <row r="271" spans="1:28" s="6" customFormat="1" ht="35.25" x14ac:dyDescent="0.5">
      <c r="A271" s="6">
        <v>1</v>
      </c>
      <c r="B271" s="135">
        <f>SUBTOTAL(103,$A$7:A271)</f>
        <v>260</v>
      </c>
      <c r="C271" s="270" t="s">
        <v>2135</v>
      </c>
      <c r="D271" s="271">
        <f t="shared" si="11"/>
        <v>67129</v>
      </c>
      <c r="E271" s="277">
        <v>0</v>
      </c>
      <c r="F271" s="277">
        <v>0</v>
      </c>
      <c r="G271" s="277">
        <v>0</v>
      </c>
      <c r="H271" s="277">
        <v>0</v>
      </c>
      <c r="I271" s="277">
        <v>0</v>
      </c>
      <c r="J271" s="277">
        <v>0</v>
      </c>
      <c r="K271" s="278">
        <v>0</v>
      </c>
      <c r="L271" s="277">
        <v>0</v>
      </c>
      <c r="M271" s="277">
        <v>0</v>
      </c>
      <c r="N271" s="277">
        <v>0</v>
      </c>
      <c r="O271" s="277">
        <v>67129</v>
      </c>
      <c r="P271" s="277">
        <v>0</v>
      </c>
      <c r="Q271" s="277">
        <v>0</v>
      </c>
      <c r="R271" s="277">
        <v>0</v>
      </c>
      <c r="S271" s="277">
        <v>0</v>
      </c>
      <c r="T271" s="277">
        <v>0</v>
      </c>
      <c r="U271" s="277">
        <v>0</v>
      </c>
      <c r="V271" s="277">
        <v>0</v>
      </c>
      <c r="W271" s="277">
        <v>0</v>
      </c>
      <c r="X271" s="277">
        <v>0</v>
      </c>
      <c r="Y271" s="277">
        <v>0</v>
      </c>
      <c r="Z271" s="277">
        <v>0</v>
      </c>
      <c r="AA271" s="277">
        <v>0</v>
      </c>
      <c r="AB271" s="276">
        <v>2020</v>
      </c>
    </row>
    <row r="272" spans="1:28" s="6" customFormat="1" ht="35.25" x14ac:dyDescent="0.5">
      <c r="A272" s="6">
        <v>1</v>
      </c>
      <c r="B272" s="135">
        <f>SUBTOTAL(103,$A$7:A272)</f>
        <v>261</v>
      </c>
      <c r="C272" s="270" t="s">
        <v>2136</v>
      </c>
      <c r="D272" s="271">
        <f t="shared" si="11"/>
        <v>304016</v>
      </c>
      <c r="E272" s="277">
        <v>0</v>
      </c>
      <c r="F272" s="277">
        <v>0</v>
      </c>
      <c r="G272" s="277">
        <v>0</v>
      </c>
      <c r="H272" s="277">
        <v>0</v>
      </c>
      <c r="I272" s="277">
        <v>0</v>
      </c>
      <c r="J272" s="277">
        <v>0</v>
      </c>
      <c r="K272" s="278">
        <v>0</v>
      </c>
      <c r="L272" s="277">
        <v>0</v>
      </c>
      <c r="M272" s="277">
        <v>304016</v>
      </c>
      <c r="N272" s="277">
        <v>0</v>
      </c>
      <c r="O272" s="277">
        <v>0</v>
      </c>
      <c r="P272" s="277">
        <v>0</v>
      </c>
      <c r="Q272" s="277">
        <v>0</v>
      </c>
      <c r="R272" s="277">
        <v>0</v>
      </c>
      <c r="S272" s="277">
        <v>0</v>
      </c>
      <c r="T272" s="277">
        <v>0</v>
      </c>
      <c r="U272" s="277">
        <v>0</v>
      </c>
      <c r="V272" s="277">
        <v>0</v>
      </c>
      <c r="W272" s="277">
        <v>0</v>
      </c>
      <c r="X272" s="277">
        <v>0</v>
      </c>
      <c r="Y272" s="277">
        <v>0</v>
      </c>
      <c r="Z272" s="277">
        <v>0</v>
      </c>
      <c r="AA272" s="277">
        <v>0</v>
      </c>
      <c r="AB272" s="276">
        <v>2020</v>
      </c>
    </row>
    <row r="273" spans="1:28" s="6" customFormat="1" ht="35.25" x14ac:dyDescent="0.5">
      <c r="A273" s="6">
        <v>1</v>
      </c>
      <c r="B273" s="135">
        <f>SUBTOTAL(103,$A$7:A273)</f>
        <v>262</v>
      </c>
      <c r="C273" s="270" t="s">
        <v>2137</v>
      </c>
      <c r="D273" s="271">
        <f t="shared" si="11"/>
        <v>155485</v>
      </c>
      <c r="E273" s="277">
        <v>0</v>
      </c>
      <c r="F273" s="277">
        <v>0</v>
      </c>
      <c r="G273" s="277">
        <v>0</v>
      </c>
      <c r="H273" s="277">
        <v>0</v>
      </c>
      <c r="I273" s="277">
        <v>0</v>
      </c>
      <c r="J273" s="277">
        <v>0</v>
      </c>
      <c r="K273" s="278">
        <v>0</v>
      </c>
      <c r="L273" s="277">
        <v>0</v>
      </c>
      <c r="M273" s="277">
        <v>0</v>
      </c>
      <c r="N273" s="277">
        <v>0</v>
      </c>
      <c r="O273" s="277">
        <v>155485</v>
      </c>
      <c r="P273" s="277">
        <v>0</v>
      </c>
      <c r="Q273" s="277">
        <v>0</v>
      </c>
      <c r="R273" s="277">
        <v>0</v>
      </c>
      <c r="S273" s="277">
        <v>0</v>
      </c>
      <c r="T273" s="277">
        <v>0</v>
      </c>
      <c r="U273" s="277">
        <v>0</v>
      </c>
      <c r="V273" s="277">
        <v>0</v>
      </c>
      <c r="W273" s="277">
        <v>0</v>
      </c>
      <c r="X273" s="277">
        <v>0</v>
      </c>
      <c r="Y273" s="277">
        <v>0</v>
      </c>
      <c r="Z273" s="277">
        <v>0</v>
      </c>
      <c r="AA273" s="277">
        <v>0</v>
      </c>
      <c r="AB273" s="276">
        <v>2020</v>
      </c>
    </row>
    <row r="274" spans="1:28" s="6" customFormat="1" ht="35.25" x14ac:dyDescent="0.5">
      <c r="A274" s="6">
        <v>1</v>
      </c>
      <c r="B274" s="135">
        <f>SUBTOTAL(103,$A$7:A274)</f>
        <v>263</v>
      </c>
      <c r="C274" s="270" t="s">
        <v>2138</v>
      </c>
      <c r="D274" s="271">
        <f t="shared" si="11"/>
        <v>690218</v>
      </c>
      <c r="E274" s="277">
        <v>0</v>
      </c>
      <c r="F274" s="277">
        <v>0</v>
      </c>
      <c r="G274" s="277">
        <v>0</v>
      </c>
      <c r="H274" s="277">
        <v>0</v>
      </c>
      <c r="I274" s="277">
        <v>0</v>
      </c>
      <c r="J274" s="277">
        <v>0</v>
      </c>
      <c r="K274" s="278">
        <v>0</v>
      </c>
      <c r="L274" s="277">
        <v>0</v>
      </c>
      <c r="M274" s="277">
        <v>690218</v>
      </c>
      <c r="N274" s="277">
        <v>0</v>
      </c>
      <c r="O274" s="277">
        <v>0</v>
      </c>
      <c r="P274" s="277">
        <v>0</v>
      </c>
      <c r="Q274" s="277">
        <v>0</v>
      </c>
      <c r="R274" s="277">
        <v>0</v>
      </c>
      <c r="S274" s="277">
        <v>0</v>
      </c>
      <c r="T274" s="277">
        <v>0</v>
      </c>
      <c r="U274" s="277">
        <v>0</v>
      </c>
      <c r="V274" s="277">
        <v>0</v>
      </c>
      <c r="W274" s="277">
        <v>0</v>
      </c>
      <c r="X274" s="277">
        <v>0</v>
      </c>
      <c r="Y274" s="277">
        <v>0</v>
      </c>
      <c r="Z274" s="277">
        <v>0</v>
      </c>
      <c r="AA274" s="277">
        <v>0</v>
      </c>
      <c r="AB274" s="276">
        <v>2020</v>
      </c>
    </row>
    <row r="275" spans="1:28" s="6" customFormat="1" ht="35.25" x14ac:dyDescent="0.5">
      <c r="A275" s="6">
        <v>1</v>
      </c>
      <c r="B275" s="135">
        <f>SUBTOTAL(103,$A$7:A275)</f>
        <v>264</v>
      </c>
      <c r="C275" s="270" t="s">
        <v>2139</v>
      </c>
      <c r="D275" s="271">
        <f t="shared" si="11"/>
        <v>714020</v>
      </c>
      <c r="E275" s="277">
        <v>0</v>
      </c>
      <c r="F275" s="277">
        <v>0</v>
      </c>
      <c r="G275" s="277">
        <v>0</v>
      </c>
      <c r="H275" s="277">
        <v>0</v>
      </c>
      <c r="I275" s="277">
        <v>0</v>
      </c>
      <c r="J275" s="277">
        <v>0</v>
      </c>
      <c r="K275" s="278">
        <v>0</v>
      </c>
      <c r="L275" s="277">
        <v>0</v>
      </c>
      <c r="M275" s="277">
        <v>714020</v>
      </c>
      <c r="N275" s="277">
        <v>0</v>
      </c>
      <c r="O275" s="277">
        <v>0</v>
      </c>
      <c r="P275" s="277">
        <v>0</v>
      </c>
      <c r="Q275" s="277">
        <v>0</v>
      </c>
      <c r="R275" s="277">
        <v>0</v>
      </c>
      <c r="S275" s="277">
        <v>0</v>
      </c>
      <c r="T275" s="277">
        <v>0</v>
      </c>
      <c r="U275" s="277">
        <v>0</v>
      </c>
      <c r="V275" s="277">
        <v>0</v>
      </c>
      <c r="W275" s="277">
        <v>0</v>
      </c>
      <c r="X275" s="277">
        <v>0</v>
      </c>
      <c r="Y275" s="277">
        <v>0</v>
      </c>
      <c r="Z275" s="277">
        <v>0</v>
      </c>
      <c r="AA275" s="277">
        <v>0</v>
      </c>
      <c r="AB275" s="276">
        <v>2020</v>
      </c>
    </row>
    <row r="276" spans="1:28" s="6" customFormat="1" ht="35.25" x14ac:dyDescent="0.5">
      <c r="A276" s="6">
        <v>1</v>
      </c>
      <c r="B276" s="135">
        <f>SUBTOTAL(103,$A$7:A276)</f>
        <v>265</v>
      </c>
      <c r="C276" s="270" t="s">
        <v>2140</v>
      </c>
      <c r="D276" s="271">
        <f t="shared" si="11"/>
        <v>131566</v>
      </c>
      <c r="E276" s="277">
        <v>0</v>
      </c>
      <c r="F276" s="277">
        <v>0</v>
      </c>
      <c r="G276" s="277">
        <v>0</v>
      </c>
      <c r="H276" s="277">
        <v>131566</v>
      </c>
      <c r="I276" s="277">
        <v>0</v>
      </c>
      <c r="J276" s="277">
        <v>0</v>
      </c>
      <c r="K276" s="278">
        <v>0</v>
      </c>
      <c r="L276" s="277">
        <v>0</v>
      </c>
      <c r="M276" s="277">
        <v>0</v>
      </c>
      <c r="N276" s="277">
        <v>0</v>
      </c>
      <c r="O276" s="277">
        <v>0</v>
      </c>
      <c r="P276" s="277">
        <v>0</v>
      </c>
      <c r="Q276" s="277">
        <v>0</v>
      </c>
      <c r="R276" s="277">
        <v>0</v>
      </c>
      <c r="S276" s="277">
        <v>0</v>
      </c>
      <c r="T276" s="277">
        <v>0</v>
      </c>
      <c r="U276" s="277">
        <v>0</v>
      </c>
      <c r="V276" s="277">
        <v>0</v>
      </c>
      <c r="W276" s="277">
        <v>0</v>
      </c>
      <c r="X276" s="277">
        <v>0</v>
      </c>
      <c r="Y276" s="277">
        <v>0</v>
      </c>
      <c r="Z276" s="277">
        <v>0</v>
      </c>
      <c r="AA276" s="277">
        <v>0</v>
      </c>
      <c r="AB276" s="276">
        <v>2020</v>
      </c>
    </row>
    <row r="277" spans="1:28" s="6" customFormat="1" ht="35.25" x14ac:dyDescent="0.5">
      <c r="A277" s="6">
        <v>1</v>
      </c>
      <c r="B277" s="135">
        <f>SUBTOTAL(103,$A$7:A277)</f>
        <v>266</v>
      </c>
      <c r="C277" s="270" t="s">
        <v>2141</v>
      </c>
      <c r="D277" s="271">
        <f t="shared" si="11"/>
        <v>1143898</v>
      </c>
      <c r="E277" s="277">
        <v>0</v>
      </c>
      <c r="F277" s="277">
        <v>0</v>
      </c>
      <c r="G277" s="277">
        <v>0</v>
      </c>
      <c r="H277" s="277">
        <v>0</v>
      </c>
      <c r="I277" s="277">
        <v>0</v>
      </c>
      <c r="J277" s="277">
        <v>0</v>
      </c>
      <c r="K277" s="278">
        <v>0</v>
      </c>
      <c r="L277" s="277">
        <v>0</v>
      </c>
      <c r="M277" s="277">
        <v>0</v>
      </c>
      <c r="N277" s="277">
        <v>0</v>
      </c>
      <c r="O277" s="277">
        <v>1143898</v>
      </c>
      <c r="P277" s="277">
        <v>0</v>
      </c>
      <c r="Q277" s="277">
        <v>0</v>
      </c>
      <c r="R277" s="277">
        <v>0</v>
      </c>
      <c r="S277" s="277">
        <v>0</v>
      </c>
      <c r="T277" s="277">
        <v>0</v>
      </c>
      <c r="U277" s="277">
        <v>0</v>
      </c>
      <c r="V277" s="277">
        <v>0</v>
      </c>
      <c r="W277" s="277">
        <v>0</v>
      </c>
      <c r="X277" s="277">
        <v>0</v>
      </c>
      <c r="Y277" s="277">
        <v>0</v>
      </c>
      <c r="Z277" s="277">
        <v>0</v>
      </c>
      <c r="AA277" s="277">
        <v>0</v>
      </c>
      <c r="AB277" s="276">
        <v>2020</v>
      </c>
    </row>
    <row r="278" spans="1:28" s="6" customFormat="1" ht="35.25" x14ac:dyDescent="0.5">
      <c r="A278" s="6">
        <v>1</v>
      </c>
      <c r="B278" s="135">
        <f>SUBTOTAL(103,$A$7:A278)</f>
        <v>267</v>
      </c>
      <c r="C278" s="270" t="s">
        <v>2142</v>
      </c>
      <c r="D278" s="271">
        <f t="shared" si="11"/>
        <v>295760</v>
      </c>
      <c r="E278" s="277">
        <v>0</v>
      </c>
      <c r="F278" s="277">
        <v>0</v>
      </c>
      <c r="G278" s="277">
        <v>0</v>
      </c>
      <c r="H278" s="277">
        <v>0</v>
      </c>
      <c r="I278" s="277">
        <v>0</v>
      </c>
      <c r="J278" s="277">
        <v>0</v>
      </c>
      <c r="K278" s="278">
        <v>0</v>
      </c>
      <c r="L278" s="277">
        <v>0</v>
      </c>
      <c r="M278" s="277">
        <v>0</v>
      </c>
      <c r="N278" s="277">
        <v>0</v>
      </c>
      <c r="O278" s="277">
        <v>295760</v>
      </c>
      <c r="P278" s="277">
        <v>0</v>
      </c>
      <c r="Q278" s="277">
        <v>0</v>
      </c>
      <c r="R278" s="277">
        <v>0</v>
      </c>
      <c r="S278" s="277">
        <v>0</v>
      </c>
      <c r="T278" s="277">
        <v>0</v>
      </c>
      <c r="U278" s="277">
        <v>0</v>
      </c>
      <c r="V278" s="277">
        <v>0</v>
      </c>
      <c r="W278" s="277">
        <v>0</v>
      </c>
      <c r="X278" s="277">
        <v>0</v>
      </c>
      <c r="Y278" s="277">
        <v>0</v>
      </c>
      <c r="Z278" s="277">
        <v>0</v>
      </c>
      <c r="AA278" s="277">
        <v>0</v>
      </c>
      <c r="AB278" s="276">
        <v>2020</v>
      </c>
    </row>
    <row r="279" spans="1:28" s="6" customFormat="1" ht="35.25" x14ac:dyDescent="0.5">
      <c r="A279" s="6">
        <v>1</v>
      </c>
      <c r="B279" s="135">
        <f>SUBTOTAL(103,$A$7:A279)</f>
        <v>268</v>
      </c>
      <c r="C279" s="270" t="s">
        <v>2143</v>
      </c>
      <c r="D279" s="271">
        <f t="shared" si="11"/>
        <v>299644</v>
      </c>
      <c r="E279" s="277">
        <v>0</v>
      </c>
      <c r="F279" s="277">
        <v>0</v>
      </c>
      <c r="G279" s="277">
        <v>0</v>
      </c>
      <c r="H279" s="277">
        <v>0</v>
      </c>
      <c r="I279" s="277">
        <v>0</v>
      </c>
      <c r="J279" s="277">
        <v>0</v>
      </c>
      <c r="K279" s="278">
        <v>0</v>
      </c>
      <c r="L279" s="277">
        <v>0</v>
      </c>
      <c r="M279" s="277">
        <v>299644</v>
      </c>
      <c r="N279" s="277">
        <v>0</v>
      </c>
      <c r="O279" s="277">
        <v>0</v>
      </c>
      <c r="P279" s="277">
        <v>0</v>
      </c>
      <c r="Q279" s="277">
        <v>0</v>
      </c>
      <c r="R279" s="277">
        <v>0</v>
      </c>
      <c r="S279" s="277">
        <v>0</v>
      </c>
      <c r="T279" s="277">
        <v>0</v>
      </c>
      <c r="U279" s="277">
        <v>0</v>
      </c>
      <c r="V279" s="277">
        <v>0</v>
      </c>
      <c r="W279" s="277">
        <v>0</v>
      </c>
      <c r="X279" s="277">
        <v>0</v>
      </c>
      <c r="Y279" s="277">
        <v>0</v>
      </c>
      <c r="Z279" s="277">
        <v>0</v>
      </c>
      <c r="AA279" s="277">
        <v>0</v>
      </c>
      <c r="AB279" s="276">
        <v>2020</v>
      </c>
    </row>
    <row r="280" spans="1:28" s="6" customFormat="1" ht="35.25" x14ac:dyDescent="0.5">
      <c r="A280" s="6">
        <v>1</v>
      </c>
      <c r="B280" s="135">
        <f>SUBTOTAL(103,$A$7:A280)</f>
        <v>269</v>
      </c>
      <c r="C280" s="270" t="s">
        <v>2144</v>
      </c>
      <c r="D280" s="271">
        <f t="shared" si="11"/>
        <v>169491</v>
      </c>
      <c r="E280" s="277">
        <v>0</v>
      </c>
      <c r="F280" s="277">
        <v>0</v>
      </c>
      <c r="G280" s="277">
        <v>0</v>
      </c>
      <c r="H280" s="277">
        <v>0</v>
      </c>
      <c r="I280" s="277">
        <v>0</v>
      </c>
      <c r="J280" s="277">
        <v>0</v>
      </c>
      <c r="K280" s="278">
        <v>0</v>
      </c>
      <c r="L280" s="277">
        <v>0</v>
      </c>
      <c r="M280" s="277">
        <v>169491</v>
      </c>
      <c r="N280" s="277">
        <v>0</v>
      </c>
      <c r="O280" s="277">
        <v>0</v>
      </c>
      <c r="P280" s="277">
        <v>0</v>
      </c>
      <c r="Q280" s="277">
        <v>0</v>
      </c>
      <c r="R280" s="277">
        <v>0</v>
      </c>
      <c r="S280" s="277">
        <v>0</v>
      </c>
      <c r="T280" s="277">
        <v>0</v>
      </c>
      <c r="U280" s="277">
        <v>0</v>
      </c>
      <c r="V280" s="277">
        <v>0</v>
      </c>
      <c r="W280" s="277">
        <v>0</v>
      </c>
      <c r="X280" s="277">
        <v>0</v>
      </c>
      <c r="Y280" s="277">
        <v>0</v>
      </c>
      <c r="Z280" s="277">
        <v>0</v>
      </c>
      <c r="AA280" s="277">
        <v>0</v>
      </c>
      <c r="AB280" s="276">
        <v>2020</v>
      </c>
    </row>
    <row r="281" spans="1:28" s="6" customFormat="1" ht="35.25" x14ac:dyDescent="0.5">
      <c r="A281" s="6">
        <v>1</v>
      </c>
      <c r="B281" s="135">
        <f>SUBTOTAL(103,$A$7:A281)</f>
        <v>270</v>
      </c>
      <c r="C281" s="270" t="s">
        <v>2145</v>
      </c>
      <c r="D281" s="271">
        <f t="shared" si="11"/>
        <v>563800</v>
      </c>
      <c r="E281" s="277">
        <v>0</v>
      </c>
      <c r="F281" s="277">
        <v>0</v>
      </c>
      <c r="G281" s="277">
        <v>563800</v>
      </c>
      <c r="H281" s="277">
        <v>0</v>
      </c>
      <c r="I281" s="277">
        <v>0</v>
      </c>
      <c r="J281" s="277">
        <v>0</v>
      </c>
      <c r="K281" s="278">
        <v>0</v>
      </c>
      <c r="L281" s="277">
        <v>0</v>
      </c>
      <c r="M281" s="277">
        <v>0</v>
      </c>
      <c r="N281" s="277">
        <v>0</v>
      </c>
      <c r="O281" s="277">
        <v>0</v>
      </c>
      <c r="P281" s="277">
        <v>0</v>
      </c>
      <c r="Q281" s="277">
        <v>0</v>
      </c>
      <c r="R281" s="277">
        <v>0</v>
      </c>
      <c r="S281" s="277">
        <v>0</v>
      </c>
      <c r="T281" s="277">
        <v>0</v>
      </c>
      <c r="U281" s="277">
        <v>0</v>
      </c>
      <c r="V281" s="277">
        <v>0</v>
      </c>
      <c r="W281" s="277">
        <v>0</v>
      </c>
      <c r="X281" s="277">
        <v>0</v>
      </c>
      <c r="Y281" s="277">
        <v>0</v>
      </c>
      <c r="Z281" s="277">
        <v>0</v>
      </c>
      <c r="AA281" s="277">
        <v>0</v>
      </c>
      <c r="AB281" s="276">
        <v>2020</v>
      </c>
    </row>
    <row r="282" spans="1:28" s="6" customFormat="1" ht="35.25" x14ac:dyDescent="0.5">
      <c r="A282" s="6">
        <v>1</v>
      </c>
      <c r="B282" s="135">
        <f>SUBTOTAL(103,$A$7:A282)</f>
        <v>271</v>
      </c>
      <c r="C282" s="270" t="s">
        <v>2146</v>
      </c>
      <c r="D282" s="271">
        <f t="shared" si="11"/>
        <v>806650</v>
      </c>
      <c r="E282" s="277">
        <v>0</v>
      </c>
      <c r="F282" s="277">
        <v>0</v>
      </c>
      <c r="G282" s="277">
        <v>0</v>
      </c>
      <c r="H282" s="277">
        <v>0</v>
      </c>
      <c r="I282" s="277">
        <v>0</v>
      </c>
      <c r="J282" s="277">
        <v>0</v>
      </c>
      <c r="K282" s="278">
        <v>0</v>
      </c>
      <c r="L282" s="277">
        <v>0</v>
      </c>
      <c r="M282" s="277">
        <v>0</v>
      </c>
      <c r="N282" s="277">
        <v>0</v>
      </c>
      <c r="O282" s="277">
        <v>806650</v>
      </c>
      <c r="P282" s="277">
        <v>0</v>
      </c>
      <c r="Q282" s="277">
        <v>0</v>
      </c>
      <c r="R282" s="277">
        <v>0</v>
      </c>
      <c r="S282" s="277">
        <v>0</v>
      </c>
      <c r="T282" s="277">
        <v>0</v>
      </c>
      <c r="U282" s="277">
        <v>0</v>
      </c>
      <c r="V282" s="277">
        <v>0</v>
      </c>
      <c r="W282" s="277">
        <v>0</v>
      </c>
      <c r="X282" s="277">
        <v>0</v>
      </c>
      <c r="Y282" s="277">
        <v>0</v>
      </c>
      <c r="Z282" s="277">
        <v>0</v>
      </c>
      <c r="AA282" s="277">
        <v>0</v>
      </c>
      <c r="AB282" s="276">
        <v>2020</v>
      </c>
    </row>
    <row r="283" spans="1:28" s="6" customFormat="1" ht="35.25" x14ac:dyDescent="0.5">
      <c r="A283" s="6">
        <v>1</v>
      </c>
      <c r="B283" s="135">
        <f>SUBTOTAL(103,$A$7:A283)</f>
        <v>272</v>
      </c>
      <c r="C283" s="270" t="s">
        <v>2147</v>
      </c>
      <c r="D283" s="271">
        <f t="shared" si="11"/>
        <v>454614</v>
      </c>
      <c r="E283" s="277">
        <v>0</v>
      </c>
      <c r="F283" s="277">
        <v>0</v>
      </c>
      <c r="G283" s="277">
        <v>0</v>
      </c>
      <c r="H283" s="277">
        <v>0</v>
      </c>
      <c r="I283" s="277">
        <v>0</v>
      </c>
      <c r="J283" s="277">
        <v>0</v>
      </c>
      <c r="K283" s="278">
        <v>0</v>
      </c>
      <c r="L283" s="277">
        <v>0</v>
      </c>
      <c r="M283" s="277">
        <v>0</v>
      </c>
      <c r="N283" s="277">
        <v>0</v>
      </c>
      <c r="O283" s="277">
        <v>454614</v>
      </c>
      <c r="P283" s="277">
        <v>0</v>
      </c>
      <c r="Q283" s="277">
        <v>0</v>
      </c>
      <c r="R283" s="277">
        <v>0</v>
      </c>
      <c r="S283" s="277">
        <v>0</v>
      </c>
      <c r="T283" s="277">
        <v>0</v>
      </c>
      <c r="U283" s="277">
        <v>0</v>
      </c>
      <c r="V283" s="277">
        <v>0</v>
      </c>
      <c r="W283" s="277">
        <v>0</v>
      </c>
      <c r="X283" s="277">
        <v>0</v>
      </c>
      <c r="Y283" s="277">
        <v>0</v>
      </c>
      <c r="Z283" s="277">
        <v>0</v>
      </c>
      <c r="AA283" s="277">
        <v>0</v>
      </c>
      <c r="AB283" s="276">
        <v>2020</v>
      </c>
    </row>
    <row r="284" spans="1:28" s="6" customFormat="1" ht="35.25" x14ac:dyDescent="0.5">
      <c r="A284" s="6">
        <v>1</v>
      </c>
      <c r="B284" s="135">
        <f>SUBTOTAL(103,$A$7:A284)</f>
        <v>273</v>
      </c>
      <c r="C284" s="270" t="s">
        <v>2148</v>
      </c>
      <c r="D284" s="271">
        <f t="shared" si="11"/>
        <v>131148</v>
      </c>
      <c r="E284" s="277">
        <v>0</v>
      </c>
      <c r="F284" s="277">
        <v>0</v>
      </c>
      <c r="G284" s="277">
        <v>0</v>
      </c>
      <c r="H284" s="277">
        <v>0</v>
      </c>
      <c r="I284" s="277">
        <v>0</v>
      </c>
      <c r="J284" s="277">
        <v>0</v>
      </c>
      <c r="K284" s="278">
        <v>0</v>
      </c>
      <c r="L284" s="277">
        <v>0</v>
      </c>
      <c r="M284" s="277">
        <v>131148</v>
      </c>
      <c r="N284" s="277">
        <v>0</v>
      </c>
      <c r="O284" s="277">
        <v>0</v>
      </c>
      <c r="P284" s="277">
        <v>0</v>
      </c>
      <c r="Q284" s="277">
        <v>0</v>
      </c>
      <c r="R284" s="277">
        <v>0</v>
      </c>
      <c r="S284" s="277">
        <v>0</v>
      </c>
      <c r="T284" s="277">
        <v>0</v>
      </c>
      <c r="U284" s="277">
        <v>0</v>
      </c>
      <c r="V284" s="277">
        <v>0</v>
      </c>
      <c r="W284" s="277">
        <v>0</v>
      </c>
      <c r="X284" s="277">
        <v>0</v>
      </c>
      <c r="Y284" s="277">
        <v>0</v>
      </c>
      <c r="Z284" s="277">
        <v>0</v>
      </c>
      <c r="AA284" s="277">
        <v>0</v>
      </c>
      <c r="AB284" s="276">
        <v>2020</v>
      </c>
    </row>
    <row r="285" spans="1:28" s="6" customFormat="1" ht="35.25" x14ac:dyDescent="0.5">
      <c r="A285" s="6">
        <v>1</v>
      </c>
      <c r="B285" s="135">
        <f>SUBTOTAL(103,$A$7:A285)</f>
        <v>274</v>
      </c>
      <c r="C285" s="270" t="s">
        <v>2149</v>
      </c>
      <c r="D285" s="271">
        <f t="shared" ref="D285:D323" si="12">E285+F285+G285+H285+I285+J285+L285+M285+N285+O285+P285+Q285+R285+S285+T285+U285+V285+W285+X285+Y285+Z285+AA285</f>
        <v>68679.3</v>
      </c>
      <c r="E285" s="277">
        <v>0</v>
      </c>
      <c r="F285" s="277">
        <v>0</v>
      </c>
      <c r="G285" s="277">
        <v>0</v>
      </c>
      <c r="H285" s="277">
        <v>0</v>
      </c>
      <c r="I285" s="277">
        <v>0</v>
      </c>
      <c r="J285" s="277">
        <v>0</v>
      </c>
      <c r="K285" s="278">
        <v>0</v>
      </c>
      <c r="L285" s="277">
        <v>0</v>
      </c>
      <c r="M285" s="277">
        <v>0</v>
      </c>
      <c r="N285" s="277">
        <v>0</v>
      </c>
      <c r="O285" s="277">
        <v>68679.3</v>
      </c>
      <c r="P285" s="277">
        <v>0</v>
      </c>
      <c r="Q285" s="277">
        <v>0</v>
      </c>
      <c r="R285" s="277">
        <v>0</v>
      </c>
      <c r="S285" s="277">
        <v>0</v>
      </c>
      <c r="T285" s="277">
        <v>0</v>
      </c>
      <c r="U285" s="277">
        <v>0</v>
      </c>
      <c r="V285" s="277">
        <v>0</v>
      </c>
      <c r="W285" s="277">
        <v>0</v>
      </c>
      <c r="X285" s="277">
        <v>0</v>
      </c>
      <c r="Y285" s="277">
        <v>0</v>
      </c>
      <c r="Z285" s="277">
        <v>0</v>
      </c>
      <c r="AA285" s="277">
        <v>0</v>
      </c>
      <c r="AB285" s="276">
        <v>2020</v>
      </c>
    </row>
    <row r="286" spans="1:28" s="6" customFormat="1" ht="35.25" x14ac:dyDescent="0.5">
      <c r="A286" s="6">
        <v>1</v>
      </c>
      <c r="B286" s="135">
        <f>SUBTOTAL(103,$A$7:A286)</f>
        <v>275</v>
      </c>
      <c r="C286" s="270" t="s">
        <v>2150</v>
      </c>
      <c r="D286" s="271">
        <f t="shared" si="12"/>
        <v>409967</v>
      </c>
      <c r="E286" s="277">
        <v>409967</v>
      </c>
      <c r="F286" s="277">
        <v>0</v>
      </c>
      <c r="G286" s="277">
        <v>0</v>
      </c>
      <c r="H286" s="277">
        <v>0</v>
      </c>
      <c r="I286" s="277">
        <v>0</v>
      </c>
      <c r="J286" s="277">
        <v>0</v>
      </c>
      <c r="K286" s="278">
        <v>0</v>
      </c>
      <c r="L286" s="277">
        <v>0</v>
      </c>
      <c r="M286" s="277">
        <v>0</v>
      </c>
      <c r="N286" s="277">
        <v>0</v>
      </c>
      <c r="O286" s="277">
        <v>0</v>
      </c>
      <c r="P286" s="277">
        <v>0</v>
      </c>
      <c r="Q286" s="277">
        <v>0</v>
      </c>
      <c r="R286" s="277">
        <v>0</v>
      </c>
      <c r="S286" s="277">
        <v>0</v>
      </c>
      <c r="T286" s="277">
        <v>0</v>
      </c>
      <c r="U286" s="277">
        <v>0</v>
      </c>
      <c r="V286" s="277">
        <v>0</v>
      </c>
      <c r="W286" s="277">
        <v>0</v>
      </c>
      <c r="X286" s="277">
        <v>0</v>
      </c>
      <c r="Y286" s="277">
        <v>0</v>
      </c>
      <c r="Z286" s="277">
        <v>0</v>
      </c>
      <c r="AA286" s="277">
        <v>0</v>
      </c>
      <c r="AB286" s="276">
        <v>2020</v>
      </c>
    </row>
    <row r="287" spans="1:28" s="6" customFormat="1" ht="35.25" x14ac:dyDescent="0.5">
      <c r="A287" s="6">
        <v>1</v>
      </c>
      <c r="B287" s="135">
        <f>SUBTOTAL(103,$A$7:A287)</f>
        <v>276</v>
      </c>
      <c r="C287" s="270" t="s">
        <v>2151</v>
      </c>
      <c r="D287" s="271">
        <f t="shared" si="12"/>
        <v>216187</v>
      </c>
      <c r="E287" s="277">
        <v>0</v>
      </c>
      <c r="F287" s="277">
        <v>0</v>
      </c>
      <c r="G287" s="277">
        <v>0</v>
      </c>
      <c r="H287" s="277">
        <v>0</v>
      </c>
      <c r="I287" s="277">
        <v>0</v>
      </c>
      <c r="J287" s="277">
        <v>0</v>
      </c>
      <c r="K287" s="278">
        <v>0</v>
      </c>
      <c r="L287" s="277">
        <v>0</v>
      </c>
      <c r="M287" s="277">
        <v>0</v>
      </c>
      <c r="N287" s="277">
        <v>0</v>
      </c>
      <c r="O287" s="277">
        <v>95414</v>
      </c>
      <c r="P287" s="277">
        <v>120773</v>
      </c>
      <c r="Q287" s="277">
        <v>0</v>
      </c>
      <c r="R287" s="277">
        <v>0</v>
      </c>
      <c r="S287" s="277">
        <v>0</v>
      </c>
      <c r="T287" s="277">
        <v>0</v>
      </c>
      <c r="U287" s="277">
        <v>0</v>
      </c>
      <c r="V287" s="277">
        <v>0</v>
      </c>
      <c r="W287" s="277">
        <v>0</v>
      </c>
      <c r="X287" s="277">
        <v>0</v>
      </c>
      <c r="Y287" s="277">
        <v>0</v>
      </c>
      <c r="Z287" s="277">
        <v>0</v>
      </c>
      <c r="AA287" s="277">
        <v>0</v>
      </c>
      <c r="AB287" s="276">
        <v>2020</v>
      </c>
    </row>
    <row r="288" spans="1:28" s="6" customFormat="1" ht="35.25" x14ac:dyDescent="0.5">
      <c r="A288" s="6">
        <v>1</v>
      </c>
      <c r="B288" s="135">
        <f>SUBTOTAL(103,$A$7:A288)</f>
        <v>277</v>
      </c>
      <c r="C288" s="270" t="s">
        <v>2152</v>
      </c>
      <c r="D288" s="271">
        <f t="shared" si="12"/>
        <v>45391</v>
      </c>
      <c r="E288" s="277">
        <v>0</v>
      </c>
      <c r="F288" s="277">
        <v>0</v>
      </c>
      <c r="G288" s="277">
        <v>45391</v>
      </c>
      <c r="H288" s="277">
        <v>0</v>
      </c>
      <c r="I288" s="277">
        <v>0</v>
      </c>
      <c r="J288" s="277">
        <v>0</v>
      </c>
      <c r="K288" s="278">
        <v>0</v>
      </c>
      <c r="L288" s="277">
        <v>0</v>
      </c>
      <c r="M288" s="277">
        <v>0</v>
      </c>
      <c r="N288" s="277">
        <v>0</v>
      </c>
      <c r="O288" s="277">
        <v>0</v>
      </c>
      <c r="P288" s="277">
        <v>0</v>
      </c>
      <c r="Q288" s="277">
        <v>0</v>
      </c>
      <c r="R288" s="277">
        <v>0</v>
      </c>
      <c r="S288" s="277">
        <v>0</v>
      </c>
      <c r="T288" s="277">
        <v>0</v>
      </c>
      <c r="U288" s="277">
        <v>0</v>
      </c>
      <c r="V288" s="277">
        <v>0</v>
      </c>
      <c r="W288" s="277">
        <v>0</v>
      </c>
      <c r="X288" s="277">
        <v>0</v>
      </c>
      <c r="Y288" s="277">
        <v>0</v>
      </c>
      <c r="Z288" s="277">
        <v>0</v>
      </c>
      <c r="AA288" s="277">
        <v>0</v>
      </c>
      <c r="AB288" s="276">
        <v>2020</v>
      </c>
    </row>
    <row r="289" spans="1:28" s="6" customFormat="1" ht="35.25" x14ac:dyDescent="0.5">
      <c r="A289" s="6">
        <v>1</v>
      </c>
      <c r="B289" s="135">
        <f>SUBTOTAL(103,$A$7:A289)</f>
        <v>278</v>
      </c>
      <c r="C289" s="270" t="s">
        <v>2153</v>
      </c>
      <c r="D289" s="271">
        <f t="shared" si="12"/>
        <v>300000</v>
      </c>
      <c r="E289" s="277">
        <v>0</v>
      </c>
      <c r="F289" s="277">
        <v>0</v>
      </c>
      <c r="G289" s="277">
        <v>0</v>
      </c>
      <c r="H289" s="277">
        <v>0</v>
      </c>
      <c r="I289" s="277">
        <v>0</v>
      </c>
      <c r="J289" s="277">
        <v>0</v>
      </c>
      <c r="K289" s="278">
        <v>0</v>
      </c>
      <c r="L289" s="277">
        <v>0</v>
      </c>
      <c r="M289" s="277">
        <v>0</v>
      </c>
      <c r="N289" s="277">
        <v>0</v>
      </c>
      <c r="O289" s="277">
        <v>300000</v>
      </c>
      <c r="P289" s="277">
        <v>0</v>
      </c>
      <c r="Q289" s="277">
        <v>0</v>
      </c>
      <c r="R289" s="277">
        <v>0</v>
      </c>
      <c r="S289" s="277">
        <v>0</v>
      </c>
      <c r="T289" s="277">
        <v>0</v>
      </c>
      <c r="U289" s="277">
        <v>0</v>
      </c>
      <c r="V289" s="277">
        <v>0</v>
      </c>
      <c r="W289" s="277">
        <v>0</v>
      </c>
      <c r="X289" s="277">
        <v>0</v>
      </c>
      <c r="Y289" s="277">
        <v>0</v>
      </c>
      <c r="Z289" s="277">
        <v>0</v>
      </c>
      <c r="AA289" s="277">
        <v>0</v>
      </c>
      <c r="AB289" s="276">
        <v>2020</v>
      </c>
    </row>
    <row r="290" spans="1:28" s="6" customFormat="1" ht="35.25" x14ac:dyDescent="0.5">
      <c r="A290" s="6">
        <v>1</v>
      </c>
      <c r="B290" s="135">
        <f>SUBTOTAL(103,$A$7:A290)</f>
        <v>279</v>
      </c>
      <c r="C290" s="270" t="s">
        <v>2154</v>
      </c>
      <c r="D290" s="271">
        <f t="shared" si="12"/>
        <v>185000</v>
      </c>
      <c r="E290" s="277">
        <v>0</v>
      </c>
      <c r="F290" s="277">
        <v>0</v>
      </c>
      <c r="G290" s="277">
        <v>0</v>
      </c>
      <c r="H290" s="277">
        <v>0</v>
      </c>
      <c r="I290" s="277">
        <v>0</v>
      </c>
      <c r="J290" s="277">
        <v>0</v>
      </c>
      <c r="K290" s="278">
        <v>0</v>
      </c>
      <c r="L290" s="277">
        <v>0</v>
      </c>
      <c r="M290" s="277">
        <v>0</v>
      </c>
      <c r="N290" s="277">
        <v>0</v>
      </c>
      <c r="O290" s="277">
        <v>185000</v>
      </c>
      <c r="P290" s="277">
        <v>0</v>
      </c>
      <c r="Q290" s="277">
        <v>0</v>
      </c>
      <c r="R290" s="277">
        <v>0</v>
      </c>
      <c r="S290" s="277">
        <v>0</v>
      </c>
      <c r="T290" s="277">
        <v>0</v>
      </c>
      <c r="U290" s="277">
        <v>0</v>
      </c>
      <c r="V290" s="277">
        <v>0</v>
      </c>
      <c r="W290" s="277">
        <v>0</v>
      </c>
      <c r="X290" s="277">
        <v>0</v>
      </c>
      <c r="Y290" s="277">
        <v>0</v>
      </c>
      <c r="Z290" s="277">
        <v>0</v>
      </c>
      <c r="AA290" s="277">
        <v>0</v>
      </c>
      <c r="AB290" s="276">
        <v>2020</v>
      </c>
    </row>
    <row r="291" spans="1:28" s="6" customFormat="1" ht="35.25" x14ac:dyDescent="0.5">
      <c r="A291" s="6">
        <v>1</v>
      </c>
      <c r="B291" s="135">
        <f>SUBTOTAL(103,$A$7:A291)</f>
        <v>280</v>
      </c>
      <c r="C291" s="270" t="s">
        <v>2155</v>
      </c>
      <c r="D291" s="271">
        <f t="shared" si="12"/>
        <v>536083</v>
      </c>
      <c r="E291" s="277">
        <v>127342</v>
      </c>
      <c r="F291" s="277">
        <v>161294</v>
      </c>
      <c r="G291" s="277">
        <v>0</v>
      </c>
      <c r="H291" s="277">
        <v>0</v>
      </c>
      <c r="I291" s="277">
        <v>48447</v>
      </c>
      <c r="J291" s="277">
        <v>0</v>
      </c>
      <c r="K291" s="278">
        <v>0</v>
      </c>
      <c r="L291" s="277">
        <v>0</v>
      </c>
      <c r="M291" s="277">
        <v>0</v>
      </c>
      <c r="N291" s="277">
        <v>0</v>
      </c>
      <c r="O291" s="277">
        <v>199000</v>
      </c>
      <c r="P291" s="277">
        <v>0</v>
      </c>
      <c r="Q291" s="277">
        <v>0</v>
      </c>
      <c r="R291" s="277">
        <v>0</v>
      </c>
      <c r="S291" s="277">
        <v>0</v>
      </c>
      <c r="T291" s="277">
        <v>0</v>
      </c>
      <c r="U291" s="277">
        <v>0</v>
      </c>
      <c r="V291" s="277">
        <v>0</v>
      </c>
      <c r="W291" s="277">
        <v>0</v>
      </c>
      <c r="X291" s="277">
        <v>0</v>
      </c>
      <c r="Y291" s="277">
        <v>0</v>
      </c>
      <c r="Z291" s="277">
        <v>0</v>
      </c>
      <c r="AA291" s="277">
        <v>0</v>
      </c>
      <c r="AB291" s="276">
        <v>2020</v>
      </c>
    </row>
    <row r="292" spans="1:28" s="6" customFormat="1" ht="35.25" x14ac:dyDescent="0.5">
      <c r="A292" s="6">
        <v>1</v>
      </c>
      <c r="B292" s="135">
        <f>SUBTOTAL(103,$A$7:A292)</f>
        <v>281</v>
      </c>
      <c r="C292" s="270" t="s">
        <v>2156</v>
      </c>
      <c r="D292" s="271">
        <f t="shared" si="12"/>
        <v>1195423</v>
      </c>
      <c r="E292" s="277">
        <v>0</v>
      </c>
      <c r="F292" s="277">
        <v>0</v>
      </c>
      <c r="G292" s="277">
        <v>0</v>
      </c>
      <c r="H292" s="277">
        <v>0</v>
      </c>
      <c r="I292" s="277">
        <v>0</v>
      </c>
      <c r="J292" s="277">
        <v>0</v>
      </c>
      <c r="K292" s="278">
        <v>0</v>
      </c>
      <c r="L292" s="277">
        <v>0</v>
      </c>
      <c r="M292" s="277">
        <v>0</v>
      </c>
      <c r="N292" s="277">
        <v>0</v>
      </c>
      <c r="O292" s="277">
        <v>1195423</v>
      </c>
      <c r="P292" s="277">
        <v>0</v>
      </c>
      <c r="Q292" s="277">
        <v>0</v>
      </c>
      <c r="R292" s="277">
        <v>0</v>
      </c>
      <c r="S292" s="277">
        <v>0</v>
      </c>
      <c r="T292" s="277">
        <v>0</v>
      </c>
      <c r="U292" s="277">
        <v>0</v>
      </c>
      <c r="V292" s="277">
        <v>0</v>
      </c>
      <c r="W292" s="277">
        <v>0</v>
      </c>
      <c r="X292" s="277">
        <v>0</v>
      </c>
      <c r="Y292" s="277">
        <v>0</v>
      </c>
      <c r="Z292" s="277">
        <v>0</v>
      </c>
      <c r="AA292" s="277">
        <v>0</v>
      </c>
      <c r="AB292" s="276">
        <v>2020</v>
      </c>
    </row>
    <row r="293" spans="1:28" s="6" customFormat="1" ht="35.25" x14ac:dyDescent="0.5">
      <c r="A293" s="6">
        <v>1</v>
      </c>
      <c r="B293" s="135">
        <f>SUBTOTAL(103,$A$7:A293)</f>
        <v>282</v>
      </c>
      <c r="C293" s="270" t="s">
        <v>2157</v>
      </c>
      <c r="D293" s="271">
        <f t="shared" si="12"/>
        <v>381537</v>
      </c>
      <c r="E293" s="277">
        <v>0</v>
      </c>
      <c r="F293" s="277">
        <v>0</v>
      </c>
      <c r="G293" s="277">
        <v>0</v>
      </c>
      <c r="H293" s="277">
        <v>0</v>
      </c>
      <c r="I293" s="277">
        <v>170882</v>
      </c>
      <c r="J293" s="277">
        <v>0</v>
      </c>
      <c r="K293" s="278">
        <v>0</v>
      </c>
      <c r="L293" s="277">
        <v>0</v>
      </c>
      <c r="M293" s="277">
        <v>0</v>
      </c>
      <c r="N293" s="277">
        <v>0</v>
      </c>
      <c r="O293" s="277">
        <v>210655</v>
      </c>
      <c r="P293" s="277">
        <v>0</v>
      </c>
      <c r="Q293" s="277">
        <v>0</v>
      </c>
      <c r="R293" s="277">
        <v>0</v>
      </c>
      <c r="S293" s="277">
        <v>0</v>
      </c>
      <c r="T293" s="277">
        <v>0</v>
      </c>
      <c r="U293" s="277">
        <v>0</v>
      </c>
      <c r="V293" s="277">
        <v>0</v>
      </c>
      <c r="W293" s="277">
        <v>0</v>
      </c>
      <c r="X293" s="277">
        <v>0</v>
      </c>
      <c r="Y293" s="277">
        <v>0</v>
      </c>
      <c r="Z293" s="277">
        <v>0</v>
      </c>
      <c r="AA293" s="277">
        <v>0</v>
      </c>
      <c r="AB293" s="276">
        <v>2020</v>
      </c>
    </row>
    <row r="294" spans="1:28" s="6" customFormat="1" ht="35.25" x14ac:dyDescent="0.5">
      <c r="A294" s="6">
        <v>1</v>
      </c>
      <c r="B294" s="135">
        <f>SUBTOTAL(103,$A$7:A294)</f>
        <v>283</v>
      </c>
      <c r="C294" s="270" t="s">
        <v>2158</v>
      </c>
      <c r="D294" s="271">
        <f t="shared" si="12"/>
        <v>239525</v>
      </c>
      <c r="E294" s="277">
        <v>0</v>
      </c>
      <c r="F294" s="277">
        <v>0</v>
      </c>
      <c r="G294" s="277">
        <v>0</v>
      </c>
      <c r="H294" s="277">
        <v>0</v>
      </c>
      <c r="I294" s="277">
        <v>0</v>
      </c>
      <c r="J294" s="277">
        <v>0</v>
      </c>
      <c r="K294" s="278">
        <v>0</v>
      </c>
      <c r="L294" s="277">
        <v>0</v>
      </c>
      <c r="M294" s="277">
        <v>0</v>
      </c>
      <c r="N294" s="277">
        <v>0</v>
      </c>
      <c r="O294" s="277">
        <v>239525</v>
      </c>
      <c r="P294" s="277">
        <v>0</v>
      </c>
      <c r="Q294" s="277">
        <v>0</v>
      </c>
      <c r="R294" s="277">
        <v>0</v>
      </c>
      <c r="S294" s="277">
        <v>0</v>
      </c>
      <c r="T294" s="277">
        <v>0</v>
      </c>
      <c r="U294" s="277">
        <v>0</v>
      </c>
      <c r="V294" s="277">
        <v>0</v>
      </c>
      <c r="W294" s="277">
        <v>0</v>
      </c>
      <c r="X294" s="277">
        <v>0</v>
      </c>
      <c r="Y294" s="277">
        <v>0</v>
      </c>
      <c r="Z294" s="277">
        <v>0</v>
      </c>
      <c r="AA294" s="277">
        <v>0</v>
      </c>
      <c r="AB294" s="276">
        <v>2020</v>
      </c>
    </row>
    <row r="295" spans="1:28" s="6" customFormat="1" ht="35.25" x14ac:dyDescent="0.5">
      <c r="A295" s="6">
        <v>1</v>
      </c>
      <c r="B295" s="135">
        <f>SUBTOTAL(103,$A$7:A295)</f>
        <v>284</v>
      </c>
      <c r="C295" s="270" t="s">
        <v>2159</v>
      </c>
      <c r="D295" s="271">
        <f t="shared" si="12"/>
        <v>443675</v>
      </c>
      <c r="E295" s="277">
        <v>0</v>
      </c>
      <c r="F295" s="277">
        <v>0</v>
      </c>
      <c r="G295" s="277">
        <v>0</v>
      </c>
      <c r="H295" s="277">
        <v>0</v>
      </c>
      <c r="I295" s="277">
        <v>0</v>
      </c>
      <c r="J295" s="277">
        <v>0</v>
      </c>
      <c r="K295" s="278">
        <v>0</v>
      </c>
      <c r="L295" s="277">
        <v>0</v>
      </c>
      <c r="M295" s="277">
        <v>0</v>
      </c>
      <c r="N295" s="277">
        <v>0</v>
      </c>
      <c r="O295" s="277">
        <v>443675</v>
      </c>
      <c r="P295" s="277">
        <v>0</v>
      </c>
      <c r="Q295" s="277">
        <v>0</v>
      </c>
      <c r="R295" s="277">
        <v>0</v>
      </c>
      <c r="S295" s="277">
        <v>0</v>
      </c>
      <c r="T295" s="277">
        <v>0</v>
      </c>
      <c r="U295" s="277">
        <v>0</v>
      </c>
      <c r="V295" s="277">
        <v>0</v>
      </c>
      <c r="W295" s="277">
        <v>0</v>
      </c>
      <c r="X295" s="277">
        <v>0</v>
      </c>
      <c r="Y295" s="277">
        <v>0</v>
      </c>
      <c r="Z295" s="277">
        <v>0</v>
      </c>
      <c r="AA295" s="277">
        <v>0</v>
      </c>
      <c r="AB295" s="276">
        <v>2020</v>
      </c>
    </row>
    <row r="296" spans="1:28" s="6" customFormat="1" ht="35.25" x14ac:dyDescent="0.5">
      <c r="A296" s="6">
        <v>1</v>
      </c>
      <c r="B296" s="135">
        <f>SUBTOTAL(103,$A$7:A296)</f>
        <v>285</v>
      </c>
      <c r="C296" s="270" t="s">
        <v>2160</v>
      </c>
      <c r="D296" s="271">
        <f t="shared" si="12"/>
        <v>278300</v>
      </c>
      <c r="E296" s="277">
        <v>0</v>
      </c>
      <c r="F296" s="277">
        <v>0</v>
      </c>
      <c r="G296" s="277">
        <v>0</v>
      </c>
      <c r="H296" s="277">
        <v>0</v>
      </c>
      <c r="I296" s="277">
        <v>0</v>
      </c>
      <c r="J296" s="277">
        <v>0</v>
      </c>
      <c r="K296" s="278">
        <v>0</v>
      </c>
      <c r="L296" s="277">
        <v>0</v>
      </c>
      <c r="M296" s="277">
        <v>0</v>
      </c>
      <c r="N296" s="277">
        <v>0</v>
      </c>
      <c r="O296" s="277">
        <v>278300</v>
      </c>
      <c r="P296" s="277">
        <v>0</v>
      </c>
      <c r="Q296" s="277">
        <v>0</v>
      </c>
      <c r="R296" s="277">
        <v>0</v>
      </c>
      <c r="S296" s="277">
        <v>0</v>
      </c>
      <c r="T296" s="277">
        <v>0</v>
      </c>
      <c r="U296" s="277">
        <v>0</v>
      </c>
      <c r="V296" s="277">
        <v>0</v>
      </c>
      <c r="W296" s="277">
        <v>0</v>
      </c>
      <c r="X296" s="277">
        <v>0</v>
      </c>
      <c r="Y296" s="277">
        <v>0</v>
      </c>
      <c r="Z296" s="277">
        <v>0</v>
      </c>
      <c r="AA296" s="277">
        <v>0</v>
      </c>
      <c r="AB296" s="276">
        <v>2020</v>
      </c>
    </row>
    <row r="297" spans="1:28" s="6" customFormat="1" ht="35.25" x14ac:dyDescent="0.5">
      <c r="A297" s="6">
        <v>1</v>
      </c>
      <c r="B297" s="135">
        <f>SUBTOTAL(103,$A$7:A297)</f>
        <v>286</v>
      </c>
      <c r="C297" s="270" t="s">
        <v>2161</v>
      </c>
      <c r="D297" s="271">
        <f t="shared" si="12"/>
        <v>400000</v>
      </c>
      <c r="E297" s="277">
        <v>0</v>
      </c>
      <c r="F297" s="277">
        <v>0</v>
      </c>
      <c r="G297" s="277">
        <v>0</v>
      </c>
      <c r="H297" s="277">
        <v>0</v>
      </c>
      <c r="I297" s="277">
        <v>0</v>
      </c>
      <c r="J297" s="277">
        <v>0</v>
      </c>
      <c r="K297" s="278">
        <v>0</v>
      </c>
      <c r="L297" s="277">
        <v>0</v>
      </c>
      <c r="M297" s="277">
        <v>0</v>
      </c>
      <c r="N297" s="277">
        <v>0</v>
      </c>
      <c r="O297" s="277">
        <v>400000</v>
      </c>
      <c r="P297" s="277">
        <v>0</v>
      </c>
      <c r="Q297" s="277">
        <v>0</v>
      </c>
      <c r="R297" s="277">
        <v>0</v>
      </c>
      <c r="S297" s="277">
        <v>0</v>
      </c>
      <c r="T297" s="277">
        <v>0</v>
      </c>
      <c r="U297" s="277">
        <v>0</v>
      </c>
      <c r="V297" s="277">
        <v>0</v>
      </c>
      <c r="W297" s="277">
        <v>0</v>
      </c>
      <c r="X297" s="277">
        <v>0</v>
      </c>
      <c r="Y297" s="277">
        <v>0</v>
      </c>
      <c r="Z297" s="277">
        <v>0</v>
      </c>
      <c r="AA297" s="277">
        <v>0</v>
      </c>
      <c r="AB297" s="276">
        <v>2020</v>
      </c>
    </row>
    <row r="298" spans="1:28" s="6" customFormat="1" ht="35.25" x14ac:dyDescent="0.5">
      <c r="A298" s="6">
        <v>1</v>
      </c>
      <c r="B298" s="135">
        <f>SUBTOTAL(103,$A$7:A298)</f>
        <v>287</v>
      </c>
      <c r="C298" s="270" t="s">
        <v>2162</v>
      </c>
      <c r="D298" s="271">
        <f t="shared" si="12"/>
        <v>223100</v>
      </c>
      <c r="E298" s="277">
        <v>0</v>
      </c>
      <c r="F298" s="277">
        <v>0</v>
      </c>
      <c r="G298" s="277">
        <v>0</v>
      </c>
      <c r="H298" s="277">
        <v>0</v>
      </c>
      <c r="I298" s="277">
        <v>0</v>
      </c>
      <c r="J298" s="277">
        <v>0</v>
      </c>
      <c r="K298" s="278">
        <v>0</v>
      </c>
      <c r="L298" s="277">
        <v>0</v>
      </c>
      <c r="M298" s="277">
        <v>223100</v>
      </c>
      <c r="N298" s="277">
        <v>0</v>
      </c>
      <c r="O298" s="277">
        <v>0</v>
      </c>
      <c r="P298" s="277">
        <v>0</v>
      </c>
      <c r="Q298" s="277">
        <v>0</v>
      </c>
      <c r="R298" s="277">
        <v>0</v>
      </c>
      <c r="S298" s="277">
        <v>0</v>
      </c>
      <c r="T298" s="277">
        <v>0</v>
      </c>
      <c r="U298" s="277">
        <v>0</v>
      </c>
      <c r="V298" s="277">
        <v>0</v>
      </c>
      <c r="W298" s="277">
        <v>0</v>
      </c>
      <c r="X298" s="277">
        <v>0</v>
      </c>
      <c r="Y298" s="277">
        <v>0</v>
      </c>
      <c r="Z298" s="277">
        <v>0</v>
      </c>
      <c r="AA298" s="277">
        <v>0</v>
      </c>
      <c r="AB298" s="276">
        <v>2020</v>
      </c>
    </row>
    <row r="299" spans="1:28" s="6" customFormat="1" ht="35.25" x14ac:dyDescent="0.5">
      <c r="A299" s="6">
        <v>1</v>
      </c>
      <c r="B299" s="135">
        <f>SUBTOTAL(103,$A$7:A299)</f>
        <v>288</v>
      </c>
      <c r="C299" s="270" t="s">
        <v>2163</v>
      </c>
      <c r="D299" s="271">
        <f t="shared" si="12"/>
        <v>76725</v>
      </c>
      <c r="E299" s="277">
        <v>0</v>
      </c>
      <c r="F299" s="277">
        <v>0</v>
      </c>
      <c r="G299" s="277">
        <v>0</v>
      </c>
      <c r="H299" s="277">
        <v>0</v>
      </c>
      <c r="I299" s="277">
        <v>0</v>
      </c>
      <c r="J299" s="277">
        <v>0</v>
      </c>
      <c r="K299" s="278">
        <v>0</v>
      </c>
      <c r="L299" s="277">
        <v>0</v>
      </c>
      <c r="M299" s="277">
        <v>76725</v>
      </c>
      <c r="N299" s="277">
        <v>0</v>
      </c>
      <c r="O299" s="277">
        <v>0</v>
      </c>
      <c r="P299" s="277">
        <v>0</v>
      </c>
      <c r="Q299" s="277">
        <v>0</v>
      </c>
      <c r="R299" s="277">
        <v>0</v>
      </c>
      <c r="S299" s="277">
        <v>0</v>
      </c>
      <c r="T299" s="277">
        <v>0</v>
      </c>
      <c r="U299" s="277">
        <v>0</v>
      </c>
      <c r="V299" s="277">
        <v>0</v>
      </c>
      <c r="W299" s="277">
        <v>0</v>
      </c>
      <c r="X299" s="277">
        <v>0</v>
      </c>
      <c r="Y299" s="277">
        <v>0</v>
      </c>
      <c r="Z299" s="277">
        <v>0</v>
      </c>
      <c r="AA299" s="277">
        <v>0</v>
      </c>
      <c r="AB299" s="276">
        <v>2020</v>
      </c>
    </row>
    <row r="300" spans="1:28" s="6" customFormat="1" ht="35.25" x14ac:dyDescent="0.5">
      <c r="A300" s="6">
        <v>1</v>
      </c>
      <c r="B300" s="135">
        <f>SUBTOTAL(103,$A$7:A300)</f>
        <v>289</v>
      </c>
      <c r="C300" s="270" t="s">
        <v>2164</v>
      </c>
      <c r="D300" s="271">
        <f t="shared" si="12"/>
        <v>333783</v>
      </c>
      <c r="E300" s="277">
        <v>0</v>
      </c>
      <c r="F300" s="277">
        <v>0</v>
      </c>
      <c r="G300" s="277">
        <v>0</v>
      </c>
      <c r="H300" s="277">
        <v>0</v>
      </c>
      <c r="I300" s="277">
        <v>0</v>
      </c>
      <c r="J300" s="277">
        <v>0</v>
      </c>
      <c r="K300" s="278">
        <v>0</v>
      </c>
      <c r="L300" s="277">
        <v>0</v>
      </c>
      <c r="M300" s="277">
        <v>0</v>
      </c>
      <c r="N300" s="277">
        <v>0</v>
      </c>
      <c r="O300" s="277">
        <v>0</v>
      </c>
      <c r="P300" s="277">
        <v>333783</v>
      </c>
      <c r="Q300" s="277">
        <v>0</v>
      </c>
      <c r="R300" s="277">
        <v>0</v>
      </c>
      <c r="S300" s="277">
        <v>0</v>
      </c>
      <c r="T300" s="277">
        <v>0</v>
      </c>
      <c r="U300" s="277">
        <v>0</v>
      </c>
      <c r="V300" s="277">
        <v>0</v>
      </c>
      <c r="W300" s="277">
        <v>0</v>
      </c>
      <c r="X300" s="277">
        <v>0</v>
      </c>
      <c r="Y300" s="277">
        <v>0</v>
      </c>
      <c r="Z300" s="277">
        <v>0</v>
      </c>
      <c r="AA300" s="277">
        <v>0</v>
      </c>
      <c r="AB300" s="276">
        <v>2020</v>
      </c>
    </row>
    <row r="301" spans="1:28" s="6" customFormat="1" ht="35.25" x14ac:dyDescent="0.5">
      <c r="A301" s="6">
        <v>1</v>
      </c>
      <c r="B301" s="135">
        <f>SUBTOTAL(103,$A$7:A301)</f>
        <v>290</v>
      </c>
      <c r="C301" s="270" t="s">
        <v>2165</v>
      </c>
      <c r="D301" s="271">
        <f t="shared" si="12"/>
        <v>524585</v>
      </c>
      <c r="E301" s="277">
        <v>0</v>
      </c>
      <c r="F301" s="277">
        <v>0</v>
      </c>
      <c r="G301" s="277">
        <v>0</v>
      </c>
      <c r="H301" s="277">
        <v>0</v>
      </c>
      <c r="I301" s="277">
        <v>0</v>
      </c>
      <c r="J301" s="277">
        <v>0</v>
      </c>
      <c r="K301" s="278">
        <v>0</v>
      </c>
      <c r="L301" s="277">
        <v>0</v>
      </c>
      <c r="M301" s="277">
        <v>0</v>
      </c>
      <c r="N301" s="277">
        <v>0</v>
      </c>
      <c r="O301" s="277">
        <v>524585</v>
      </c>
      <c r="P301" s="277">
        <v>0</v>
      </c>
      <c r="Q301" s="277">
        <v>0</v>
      </c>
      <c r="R301" s="277">
        <v>0</v>
      </c>
      <c r="S301" s="277">
        <v>0</v>
      </c>
      <c r="T301" s="277">
        <v>0</v>
      </c>
      <c r="U301" s="277">
        <v>0</v>
      </c>
      <c r="V301" s="277">
        <v>0</v>
      </c>
      <c r="W301" s="277">
        <v>0</v>
      </c>
      <c r="X301" s="277">
        <v>0</v>
      </c>
      <c r="Y301" s="277">
        <v>0</v>
      </c>
      <c r="Z301" s="277">
        <v>0</v>
      </c>
      <c r="AA301" s="277">
        <v>0</v>
      </c>
      <c r="AB301" s="276">
        <v>2020</v>
      </c>
    </row>
    <row r="302" spans="1:28" s="6" customFormat="1" ht="35.25" x14ac:dyDescent="0.5">
      <c r="A302" s="6">
        <v>1</v>
      </c>
      <c r="B302" s="135">
        <f>SUBTOTAL(103,$A$7:A302)</f>
        <v>291</v>
      </c>
      <c r="C302" s="270" t="s">
        <v>2166</v>
      </c>
      <c r="D302" s="271">
        <f t="shared" si="12"/>
        <v>523713.59</v>
      </c>
      <c r="E302" s="277">
        <v>0</v>
      </c>
      <c r="F302" s="277">
        <v>0</v>
      </c>
      <c r="G302" s="277">
        <v>0</v>
      </c>
      <c r="H302" s="277">
        <v>0</v>
      </c>
      <c r="I302" s="277">
        <v>0</v>
      </c>
      <c r="J302" s="277">
        <v>0</v>
      </c>
      <c r="K302" s="278">
        <v>0</v>
      </c>
      <c r="L302" s="277">
        <v>0</v>
      </c>
      <c r="M302" s="277">
        <v>0</v>
      </c>
      <c r="N302" s="277">
        <v>0</v>
      </c>
      <c r="O302" s="277">
        <v>523713.59</v>
      </c>
      <c r="P302" s="277">
        <v>0</v>
      </c>
      <c r="Q302" s="277">
        <v>0</v>
      </c>
      <c r="R302" s="277">
        <v>0</v>
      </c>
      <c r="S302" s="277">
        <v>0</v>
      </c>
      <c r="T302" s="277">
        <v>0</v>
      </c>
      <c r="U302" s="277">
        <v>0</v>
      </c>
      <c r="V302" s="277">
        <v>0</v>
      </c>
      <c r="W302" s="277">
        <v>0</v>
      </c>
      <c r="X302" s="277">
        <v>0</v>
      </c>
      <c r="Y302" s="277">
        <v>0</v>
      </c>
      <c r="Z302" s="277">
        <v>0</v>
      </c>
      <c r="AA302" s="277">
        <v>0</v>
      </c>
      <c r="AB302" s="276">
        <v>2020</v>
      </c>
    </row>
    <row r="303" spans="1:28" s="6" customFormat="1" ht="35.25" x14ac:dyDescent="0.5">
      <c r="A303" s="6">
        <v>1</v>
      </c>
      <c r="B303" s="135">
        <f>SUBTOTAL(103,$A$7:A303)</f>
        <v>292</v>
      </c>
      <c r="C303" s="270" t="s">
        <v>2167</v>
      </c>
      <c r="D303" s="271">
        <f t="shared" si="12"/>
        <v>1050321.76</v>
      </c>
      <c r="E303" s="277">
        <v>0</v>
      </c>
      <c r="F303" s="277">
        <v>0</v>
      </c>
      <c r="G303" s="277">
        <v>637270</v>
      </c>
      <c r="H303" s="277">
        <v>0</v>
      </c>
      <c r="I303" s="277">
        <v>0</v>
      </c>
      <c r="J303" s="277">
        <v>0</v>
      </c>
      <c r="K303" s="278">
        <v>0</v>
      </c>
      <c r="L303" s="277">
        <v>0</v>
      </c>
      <c r="M303" s="277">
        <v>0</v>
      </c>
      <c r="N303" s="277">
        <v>0</v>
      </c>
      <c r="O303" s="277">
        <v>413051.76</v>
      </c>
      <c r="P303" s="277">
        <v>0</v>
      </c>
      <c r="Q303" s="277">
        <v>0</v>
      </c>
      <c r="R303" s="277">
        <v>0</v>
      </c>
      <c r="S303" s="277">
        <v>0</v>
      </c>
      <c r="T303" s="277">
        <v>0</v>
      </c>
      <c r="U303" s="277">
        <v>0</v>
      </c>
      <c r="V303" s="277">
        <v>0</v>
      </c>
      <c r="W303" s="277">
        <v>0</v>
      </c>
      <c r="X303" s="277">
        <v>0</v>
      </c>
      <c r="Y303" s="277">
        <v>0</v>
      </c>
      <c r="Z303" s="277">
        <v>0</v>
      </c>
      <c r="AA303" s="277">
        <v>0</v>
      </c>
      <c r="AB303" s="276">
        <v>2020</v>
      </c>
    </row>
    <row r="304" spans="1:28" s="6" customFormat="1" ht="35.25" x14ac:dyDescent="0.5">
      <c r="A304" s="6">
        <v>1</v>
      </c>
      <c r="B304" s="135">
        <f>SUBTOTAL(103,$A$7:A304)</f>
        <v>293</v>
      </c>
      <c r="C304" s="270" t="s">
        <v>2168</v>
      </c>
      <c r="D304" s="271">
        <f t="shared" si="12"/>
        <v>46494</v>
      </c>
      <c r="E304" s="277">
        <v>0</v>
      </c>
      <c r="F304" s="277">
        <v>0</v>
      </c>
      <c r="G304" s="277">
        <v>46494</v>
      </c>
      <c r="H304" s="277">
        <v>0</v>
      </c>
      <c r="I304" s="277">
        <v>0</v>
      </c>
      <c r="J304" s="277">
        <v>0</v>
      </c>
      <c r="K304" s="278">
        <v>0</v>
      </c>
      <c r="L304" s="277">
        <v>0</v>
      </c>
      <c r="M304" s="277">
        <v>0</v>
      </c>
      <c r="N304" s="277">
        <v>0</v>
      </c>
      <c r="O304" s="277">
        <v>0</v>
      </c>
      <c r="P304" s="277">
        <v>0</v>
      </c>
      <c r="Q304" s="277">
        <v>0</v>
      </c>
      <c r="R304" s="277">
        <v>0</v>
      </c>
      <c r="S304" s="277">
        <v>0</v>
      </c>
      <c r="T304" s="277">
        <v>0</v>
      </c>
      <c r="U304" s="277">
        <v>0</v>
      </c>
      <c r="V304" s="277">
        <v>0</v>
      </c>
      <c r="W304" s="277">
        <v>0</v>
      </c>
      <c r="X304" s="277">
        <v>0</v>
      </c>
      <c r="Y304" s="277">
        <v>0</v>
      </c>
      <c r="Z304" s="277">
        <v>0</v>
      </c>
      <c r="AA304" s="277">
        <v>0</v>
      </c>
      <c r="AB304" s="276">
        <v>2020</v>
      </c>
    </row>
    <row r="305" spans="1:28" s="6" customFormat="1" ht="35.25" x14ac:dyDescent="0.5">
      <c r="A305" s="6">
        <v>1</v>
      </c>
      <c r="B305" s="135">
        <f>SUBTOTAL(103,$A$7:A305)</f>
        <v>294</v>
      </c>
      <c r="C305" s="270" t="s">
        <v>2169</v>
      </c>
      <c r="D305" s="271">
        <f t="shared" si="12"/>
        <v>48083</v>
      </c>
      <c r="E305" s="277">
        <v>0</v>
      </c>
      <c r="F305" s="277">
        <v>0</v>
      </c>
      <c r="G305" s="277">
        <v>48083</v>
      </c>
      <c r="H305" s="277">
        <v>0</v>
      </c>
      <c r="I305" s="277">
        <v>0</v>
      </c>
      <c r="J305" s="277">
        <v>0</v>
      </c>
      <c r="K305" s="278">
        <v>0</v>
      </c>
      <c r="L305" s="277">
        <v>0</v>
      </c>
      <c r="M305" s="277">
        <v>0</v>
      </c>
      <c r="N305" s="277">
        <v>0</v>
      </c>
      <c r="O305" s="277">
        <v>0</v>
      </c>
      <c r="P305" s="277">
        <v>0</v>
      </c>
      <c r="Q305" s="277">
        <v>0</v>
      </c>
      <c r="R305" s="277">
        <v>0</v>
      </c>
      <c r="S305" s="277">
        <v>0</v>
      </c>
      <c r="T305" s="277">
        <v>0</v>
      </c>
      <c r="U305" s="277">
        <v>0</v>
      </c>
      <c r="V305" s="277">
        <v>0</v>
      </c>
      <c r="W305" s="277">
        <v>0</v>
      </c>
      <c r="X305" s="277">
        <v>0</v>
      </c>
      <c r="Y305" s="277">
        <v>0</v>
      </c>
      <c r="Z305" s="277">
        <v>0</v>
      </c>
      <c r="AA305" s="277">
        <v>0</v>
      </c>
      <c r="AB305" s="276">
        <v>2020</v>
      </c>
    </row>
    <row r="306" spans="1:28" s="6" customFormat="1" ht="35.25" x14ac:dyDescent="0.5">
      <c r="A306" s="6">
        <v>1</v>
      </c>
      <c r="B306" s="135">
        <f>SUBTOTAL(103,$A$7:A306)</f>
        <v>295</v>
      </c>
      <c r="C306" s="270" t="s">
        <v>2170</v>
      </c>
      <c r="D306" s="271">
        <f t="shared" si="12"/>
        <v>174550</v>
      </c>
      <c r="E306" s="277">
        <v>0</v>
      </c>
      <c r="F306" s="277">
        <v>174550</v>
      </c>
      <c r="G306" s="277">
        <v>0</v>
      </c>
      <c r="H306" s="277">
        <v>0</v>
      </c>
      <c r="I306" s="277">
        <v>0</v>
      </c>
      <c r="J306" s="277">
        <v>0</v>
      </c>
      <c r="K306" s="278">
        <v>0</v>
      </c>
      <c r="L306" s="277">
        <v>0</v>
      </c>
      <c r="M306" s="277">
        <v>0</v>
      </c>
      <c r="N306" s="277">
        <v>0</v>
      </c>
      <c r="O306" s="277">
        <v>0</v>
      </c>
      <c r="P306" s="277">
        <v>0</v>
      </c>
      <c r="Q306" s="277">
        <v>0</v>
      </c>
      <c r="R306" s="277">
        <v>0</v>
      </c>
      <c r="S306" s="277">
        <v>0</v>
      </c>
      <c r="T306" s="277">
        <v>0</v>
      </c>
      <c r="U306" s="277">
        <v>0</v>
      </c>
      <c r="V306" s="277">
        <v>0</v>
      </c>
      <c r="W306" s="277">
        <v>0</v>
      </c>
      <c r="X306" s="277">
        <v>0</v>
      </c>
      <c r="Y306" s="277">
        <v>0</v>
      </c>
      <c r="Z306" s="277">
        <v>0</v>
      </c>
      <c r="AA306" s="277">
        <v>0</v>
      </c>
      <c r="AB306" s="276">
        <v>2020</v>
      </c>
    </row>
    <row r="307" spans="1:28" s="6" customFormat="1" ht="35.25" x14ac:dyDescent="0.5">
      <c r="A307" s="6">
        <v>1</v>
      </c>
      <c r="B307" s="135">
        <f>SUBTOTAL(103,$A$7:A307)</f>
        <v>296</v>
      </c>
      <c r="C307" s="270" t="s">
        <v>2171</v>
      </c>
      <c r="D307" s="271">
        <f t="shared" si="12"/>
        <v>403107</v>
      </c>
      <c r="E307" s="277">
        <v>0</v>
      </c>
      <c r="F307" s="277">
        <v>0</v>
      </c>
      <c r="G307" s="277">
        <v>0</v>
      </c>
      <c r="H307" s="277">
        <v>0</v>
      </c>
      <c r="I307" s="277">
        <v>0</v>
      </c>
      <c r="J307" s="277">
        <v>0</v>
      </c>
      <c r="K307" s="278">
        <v>0</v>
      </c>
      <c r="L307" s="277">
        <v>0</v>
      </c>
      <c r="M307" s="277">
        <v>0</v>
      </c>
      <c r="N307" s="277">
        <v>0</v>
      </c>
      <c r="O307" s="277">
        <v>403107</v>
      </c>
      <c r="P307" s="277">
        <v>0</v>
      </c>
      <c r="Q307" s="277">
        <v>0</v>
      </c>
      <c r="R307" s="277">
        <v>0</v>
      </c>
      <c r="S307" s="277">
        <v>0</v>
      </c>
      <c r="T307" s="277">
        <v>0</v>
      </c>
      <c r="U307" s="277">
        <v>0</v>
      </c>
      <c r="V307" s="277">
        <v>0</v>
      </c>
      <c r="W307" s="277">
        <v>0</v>
      </c>
      <c r="X307" s="277">
        <v>0</v>
      </c>
      <c r="Y307" s="277">
        <v>0</v>
      </c>
      <c r="Z307" s="277">
        <v>0</v>
      </c>
      <c r="AA307" s="277">
        <v>0</v>
      </c>
      <c r="AB307" s="276">
        <v>2020</v>
      </c>
    </row>
    <row r="308" spans="1:28" s="6" customFormat="1" ht="35.25" x14ac:dyDescent="0.5">
      <c r="A308" s="6">
        <v>1</v>
      </c>
      <c r="B308" s="135">
        <f>SUBTOTAL(103,$A$7:A308)</f>
        <v>297</v>
      </c>
      <c r="C308" s="270" t="s">
        <v>2172</v>
      </c>
      <c r="D308" s="271">
        <f t="shared" si="12"/>
        <v>431437</v>
      </c>
      <c r="E308" s="277">
        <v>0</v>
      </c>
      <c r="F308" s="277">
        <v>0</v>
      </c>
      <c r="G308" s="277">
        <v>0</v>
      </c>
      <c r="H308" s="277">
        <v>0</v>
      </c>
      <c r="I308" s="277">
        <v>0</v>
      </c>
      <c r="J308" s="277">
        <v>0</v>
      </c>
      <c r="K308" s="278">
        <v>0</v>
      </c>
      <c r="L308" s="277">
        <v>0</v>
      </c>
      <c r="M308" s="277">
        <v>0</v>
      </c>
      <c r="N308" s="277">
        <v>0</v>
      </c>
      <c r="O308" s="277">
        <v>431437</v>
      </c>
      <c r="P308" s="277">
        <v>0</v>
      </c>
      <c r="Q308" s="277">
        <v>0</v>
      </c>
      <c r="R308" s="277">
        <v>0</v>
      </c>
      <c r="S308" s="277">
        <v>0</v>
      </c>
      <c r="T308" s="277">
        <v>0</v>
      </c>
      <c r="U308" s="277">
        <v>0</v>
      </c>
      <c r="V308" s="277">
        <v>0</v>
      </c>
      <c r="W308" s="277">
        <v>0</v>
      </c>
      <c r="X308" s="277">
        <v>0</v>
      </c>
      <c r="Y308" s="277">
        <v>0</v>
      </c>
      <c r="Z308" s="277">
        <v>0</v>
      </c>
      <c r="AA308" s="277">
        <v>0</v>
      </c>
      <c r="AB308" s="276">
        <v>2020</v>
      </c>
    </row>
    <row r="309" spans="1:28" s="6" customFormat="1" ht="35.25" x14ac:dyDescent="0.5">
      <c r="A309" s="6">
        <v>1</v>
      </c>
      <c r="B309" s="135">
        <f>SUBTOTAL(103,$A$7:A309)</f>
        <v>298</v>
      </c>
      <c r="C309" s="270" t="s">
        <v>2173</v>
      </c>
      <c r="D309" s="271">
        <f t="shared" si="12"/>
        <v>380000</v>
      </c>
      <c r="E309" s="277">
        <v>0</v>
      </c>
      <c r="F309" s="277">
        <v>0</v>
      </c>
      <c r="G309" s="277">
        <v>0</v>
      </c>
      <c r="H309" s="277">
        <v>0</v>
      </c>
      <c r="I309" s="277">
        <v>0</v>
      </c>
      <c r="J309" s="277">
        <v>0</v>
      </c>
      <c r="K309" s="278">
        <v>0</v>
      </c>
      <c r="L309" s="277">
        <v>0</v>
      </c>
      <c r="M309" s="277">
        <v>380000</v>
      </c>
      <c r="N309" s="277">
        <v>0</v>
      </c>
      <c r="O309" s="277">
        <v>0</v>
      </c>
      <c r="P309" s="277">
        <v>0</v>
      </c>
      <c r="Q309" s="277">
        <v>0</v>
      </c>
      <c r="R309" s="277">
        <v>0</v>
      </c>
      <c r="S309" s="277">
        <v>0</v>
      </c>
      <c r="T309" s="277">
        <v>0</v>
      </c>
      <c r="U309" s="277">
        <v>0</v>
      </c>
      <c r="V309" s="277">
        <v>0</v>
      </c>
      <c r="W309" s="277">
        <v>0</v>
      </c>
      <c r="X309" s="277">
        <v>0</v>
      </c>
      <c r="Y309" s="277">
        <v>0</v>
      </c>
      <c r="Z309" s="277">
        <v>0</v>
      </c>
      <c r="AA309" s="277">
        <v>0</v>
      </c>
      <c r="AB309" s="276">
        <v>2020</v>
      </c>
    </row>
    <row r="310" spans="1:28" s="6" customFormat="1" ht="35.25" x14ac:dyDescent="0.5">
      <c r="A310" s="6">
        <v>1</v>
      </c>
      <c r="B310" s="135">
        <f>SUBTOTAL(103,$A$7:A310)</f>
        <v>299</v>
      </c>
      <c r="C310" s="270" t="s">
        <v>2174</v>
      </c>
      <c r="D310" s="271">
        <f t="shared" si="12"/>
        <v>379775.77</v>
      </c>
      <c r="E310" s="277">
        <v>0</v>
      </c>
      <c r="F310" s="277">
        <v>0</v>
      </c>
      <c r="G310" s="277">
        <v>0</v>
      </c>
      <c r="H310" s="277">
        <v>0</v>
      </c>
      <c r="I310" s="277">
        <v>0</v>
      </c>
      <c r="J310" s="277">
        <v>0</v>
      </c>
      <c r="K310" s="278">
        <v>0</v>
      </c>
      <c r="L310" s="277">
        <v>0</v>
      </c>
      <c r="M310" s="277">
        <v>379775.77</v>
      </c>
      <c r="N310" s="277">
        <v>0</v>
      </c>
      <c r="O310" s="277">
        <v>0</v>
      </c>
      <c r="P310" s="277">
        <v>0</v>
      </c>
      <c r="Q310" s="277">
        <v>0</v>
      </c>
      <c r="R310" s="277">
        <v>0</v>
      </c>
      <c r="S310" s="277">
        <v>0</v>
      </c>
      <c r="T310" s="277">
        <v>0</v>
      </c>
      <c r="U310" s="277">
        <v>0</v>
      </c>
      <c r="V310" s="277">
        <v>0</v>
      </c>
      <c r="W310" s="277">
        <v>0</v>
      </c>
      <c r="X310" s="277">
        <v>0</v>
      </c>
      <c r="Y310" s="277">
        <v>0</v>
      </c>
      <c r="Z310" s="277">
        <v>0</v>
      </c>
      <c r="AA310" s="277">
        <v>0</v>
      </c>
      <c r="AB310" s="276">
        <v>2020</v>
      </c>
    </row>
    <row r="311" spans="1:28" s="6" customFormat="1" ht="35.25" x14ac:dyDescent="0.5">
      <c r="A311" s="6">
        <v>1</v>
      </c>
      <c r="B311" s="135">
        <f>SUBTOTAL(103,$A$7:A311)</f>
        <v>300</v>
      </c>
      <c r="C311" s="270" t="s">
        <v>2175</v>
      </c>
      <c r="D311" s="271">
        <f t="shared" si="12"/>
        <v>220000</v>
      </c>
      <c r="E311" s="277">
        <v>0</v>
      </c>
      <c r="F311" s="277">
        <v>0</v>
      </c>
      <c r="G311" s="277">
        <v>0</v>
      </c>
      <c r="H311" s="277">
        <v>0</v>
      </c>
      <c r="I311" s="277">
        <v>0</v>
      </c>
      <c r="J311" s="277">
        <v>0</v>
      </c>
      <c r="K311" s="278">
        <v>0</v>
      </c>
      <c r="L311" s="277">
        <v>0</v>
      </c>
      <c r="M311" s="277">
        <v>0</v>
      </c>
      <c r="N311" s="277">
        <v>0</v>
      </c>
      <c r="O311" s="277">
        <v>220000</v>
      </c>
      <c r="P311" s="277">
        <v>0</v>
      </c>
      <c r="Q311" s="277">
        <v>0</v>
      </c>
      <c r="R311" s="277">
        <v>0</v>
      </c>
      <c r="S311" s="277">
        <v>0</v>
      </c>
      <c r="T311" s="277">
        <v>0</v>
      </c>
      <c r="U311" s="277">
        <v>0</v>
      </c>
      <c r="V311" s="277">
        <v>0</v>
      </c>
      <c r="W311" s="277">
        <v>0</v>
      </c>
      <c r="X311" s="277">
        <v>0</v>
      </c>
      <c r="Y311" s="277">
        <v>0</v>
      </c>
      <c r="Z311" s="277">
        <v>0</v>
      </c>
      <c r="AA311" s="277">
        <v>0</v>
      </c>
      <c r="AB311" s="276">
        <v>2020</v>
      </c>
    </row>
    <row r="312" spans="1:28" s="6" customFormat="1" ht="35.25" x14ac:dyDescent="0.5">
      <c r="A312" s="6">
        <v>1</v>
      </c>
      <c r="B312" s="135">
        <f>SUBTOTAL(103,$A$7:A312)</f>
        <v>301</v>
      </c>
      <c r="C312" s="270" t="s">
        <v>2176</v>
      </c>
      <c r="D312" s="271">
        <f t="shared" si="12"/>
        <v>964015</v>
      </c>
      <c r="E312" s="277">
        <v>0</v>
      </c>
      <c r="F312" s="277">
        <v>0</v>
      </c>
      <c r="G312" s="277">
        <v>0</v>
      </c>
      <c r="H312" s="277">
        <v>0</v>
      </c>
      <c r="I312" s="277">
        <v>0</v>
      </c>
      <c r="J312" s="277">
        <v>0</v>
      </c>
      <c r="K312" s="278">
        <v>0</v>
      </c>
      <c r="L312" s="277">
        <v>0</v>
      </c>
      <c r="M312" s="277">
        <v>0</v>
      </c>
      <c r="N312" s="277">
        <v>0</v>
      </c>
      <c r="O312" s="277">
        <v>964015</v>
      </c>
      <c r="P312" s="277">
        <v>0</v>
      </c>
      <c r="Q312" s="277">
        <v>0</v>
      </c>
      <c r="R312" s="277">
        <v>0</v>
      </c>
      <c r="S312" s="277">
        <v>0</v>
      </c>
      <c r="T312" s="277">
        <v>0</v>
      </c>
      <c r="U312" s="277">
        <v>0</v>
      </c>
      <c r="V312" s="277">
        <v>0</v>
      </c>
      <c r="W312" s="277">
        <v>0</v>
      </c>
      <c r="X312" s="277">
        <v>0</v>
      </c>
      <c r="Y312" s="277">
        <v>0</v>
      </c>
      <c r="Z312" s="277">
        <v>0</v>
      </c>
      <c r="AA312" s="277">
        <v>0</v>
      </c>
      <c r="AB312" s="276">
        <v>2020</v>
      </c>
    </row>
    <row r="313" spans="1:28" s="6" customFormat="1" ht="35.25" x14ac:dyDescent="0.5">
      <c r="A313" s="6">
        <v>1</v>
      </c>
      <c r="B313" s="135">
        <f>SUBTOTAL(103,$A$7:A313)</f>
        <v>302</v>
      </c>
      <c r="C313" s="270" t="s">
        <v>2177</v>
      </c>
      <c r="D313" s="271">
        <f t="shared" si="12"/>
        <v>290444</v>
      </c>
      <c r="E313" s="277">
        <v>0</v>
      </c>
      <c r="F313" s="277">
        <v>0</v>
      </c>
      <c r="G313" s="277">
        <v>0</v>
      </c>
      <c r="H313" s="277">
        <v>0</v>
      </c>
      <c r="I313" s="277">
        <v>0</v>
      </c>
      <c r="J313" s="277">
        <v>0</v>
      </c>
      <c r="K313" s="278">
        <v>0</v>
      </c>
      <c r="L313" s="277">
        <v>0</v>
      </c>
      <c r="M313" s="277">
        <v>290444</v>
      </c>
      <c r="N313" s="277">
        <v>0</v>
      </c>
      <c r="O313" s="277">
        <v>0</v>
      </c>
      <c r="P313" s="277">
        <v>0</v>
      </c>
      <c r="Q313" s="277">
        <v>0</v>
      </c>
      <c r="R313" s="277">
        <v>0</v>
      </c>
      <c r="S313" s="277">
        <v>0</v>
      </c>
      <c r="T313" s="277">
        <v>0</v>
      </c>
      <c r="U313" s="277">
        <v>0</v>
      </c>
      <c r="V313" s="277">
        <v>0</v>
      </c>
      <c r="W313" s="277">
        <v>0</v>
      </c>
      <c r="X313" s="277">
        <v>0</v>
      </c>
      <c r="Y313" s="277">
        <v>0</v>
      </c>
      <c r="Z313" s="277">
        <v>0</v>
      </c>
      <c r="AA313" s="277">
        <v>0</v>
      </c>
      <c r="AB313" s="276">
        <v>2020</v>
      </c>
    </row>
    <row r="314" spans="1:28" s="6" customFormat="1" ht="35.25" x14ac:dyDescent="0.5">
      <c r="A314" s="6">
        <v>1</v>
      </c>
      <c r="B314" s="135">
        <f>SUBTOTAL(103,$A$7:A314)</f>
        <v>303</v>
      </c>
      <c r="C314" s="270" t="s">
        <v>2178</v>
      </c>
      <c r="D314" s="271">
        <f t="shared" si="12"/>
        <v>897533</v>
      </c>
      <c r="E314" s="277">
        <v>0</v>
      </c>
      <c r="F314" s="277">
        <v>0</v>
      </c>
      <c r="G314" s="277">
        <v>0</v>
      </c>
      <c r="H314" s="277">
        <v>0</v>
      </c>
      <c r="I314" s="277">
        <v>0</v>
      </c>
      <c r="J314" s="277">
        <v>0</v>
      </c>
      <c r="K314" s="278">
        <v>0</v>
      </c>
      <c r="L314" s="277">
        <v>0</v>
      </c>
      <c r="M314" s="277">
        <v>0</v>
      </c>
      <c r="N314" s="277">
        <v>0</v>
      </c>
      <c r="O314" s="277">
        <v>897533</v>
      </c>
      <c r="P314" s="277">
        <v>0</v>
      </c>
      <c r="Q314" s="277">
        <v>0</v>
      </c>
      <c r="R314" s="277">
        <v>0</v>
      </c>
      <c r="S314" s="277">
        <v>0</v>
      </c>
      <c r="T314" s="277">
        <v>0</v>
      </c>
      <c r="U314" s="277">
        <v>0</v>
      </c>
      <c r="V314" s="277">
        <v>0</v>
      </c>
      <c r="W314" s="277">
        <v>0</v>
      </c>
      <c r="X314" s="277">
        <v>0</v>
      </c>
      <c r="Y314" s="277">
        <v>0</v>
      </c>
      <c r="Z314" s="277">
        <v>0</v>
      </c>
      <c r="AA314" s="277">
        <v>0</v>
      </c>
      <c r="AB314" s="276">
        <v>2020</v>
      </c>
    </row>
    <row r="315" spans="1:28" s="6" customFormat="1" ht="35.25" x14ac:dyDescent="0.5">
      <c r="A315" s="6">
        <v>1</v>
      </c>
      <c r="B315" s="135">
        <f>SUBTOTAL(103,$A$7:A315)</f>
        <v>304</v>
      </c>
      <c r="C315" s="270" t="s">
        <v>2179</v>
      </c>
      <c r="D315" s="271">
        <f t="shared" si="12"/>
        <v>706818.62</v>
      </c>
      <c r="E315" s="277">
        <v>0</v>
      </c>
      <c r="F315" s="277">
        <v>0</v>
      </c>
      <c r="G315" s="277">
        <v>0</v>
      </c>
      <c r="H315" s="277">
        <v>0</v>
      </c>
      <c r="I315" s="277">
        <v>0</v>
      </c>
      <c r="J315" s="277">
        <v>0</v>
      </c>
      <c r="K315" s="278">
        <v>0</v>
      </c>
      <c r="L315" s="277">
        <v>0</v>
      </c>
      <c r="M315" s="277">
        <v>498818.62</v>
      </c>
      <c r="N315" s="277">
        <v>0</v>
      </c>
      <c r="O315" s="277">
        <v>208000</v>
      </c>
      <c r="P315" s="277">
        <v>0</v>
      </c>
      <c r="Q315" s="277">
        <v>0</v>
      </c>
      <c r="R315" s="277">
        <v>0</v>
      </c>
      <c r="S315" s="277">
        <v>0</v>
      </c>
      <c r="T315" s="277">
        <v>0</v>
      </c>
      <c r="U315" s="277">
        <v>0</v>
      </c>
      <c r="V315" s="277">
        <v>0</v>
      </c>
      <c r="W315" s="277">
        <v>0</v>
      </c>
      <c r="X315" s="277">
        <v>0</v>
      </c>
      <c r="Y315" s="277">
        <v>0</v>
      </c>
      <c r="Z315" s="277">
        <v>0</v>
      </c>
      <c r="AA315" s="277">
        <v>0</v>
      </c>
      <c r="AB315" s="276">
        <v>2020</v>
      </c>
    </row>
    <row r="316" spans="1:28" s="6" customFormat="1" ht="35.25" x14ac:dyDescent="0.5">
      <c r="A316" s="6">
        <v>1</v>
      </c>
      <c r="B316" s="135">
        <f>SUBTOTAL(103,$A$7:A316)</f>
        <v>305</v>
      </c>
      <c r="C316" s="270" t="s">
        <v>2180</v>
      </c>
      <c r="D316" s="271">
        <f t="shared" si="12"/>
        <v>444403</v>
      </c>
      <c r="E316" s="277">
        <v>0</v>
      </c>
      <c r="F316" s="277">
        <v>0</v>
      </c>
      <c r="G316" s="277">
        <v>0</v>
      </c>
      <c r="H316" s="277">
        <v>0</v>
      </c>
      <c r="I316" s="277">
        <v>0</v>
      </c>
      <c r="J316" s="277">
        <v>0</v>
      </c>
      <c r="K316" s="278">
        <v>0</v>
      </c>
      <c r="L316" s="277">
        <v>0</v>
      </c>
      <c r="M316" s="277">
        <v>444403</v>
      </c>
      <c r="N316" s="277">
        <v>0</v>
      </c>
      <c r="O316" s="277">
        <v>0</v>
      </c>
      <c r="P316" s="277">
        <v>0</v>
      </c>
      <c r="Q316" s="277">
        <v>0</v>
      </c>
      <c r="R316" s="277">
        <v>0</v>
      </c>
      <c r="S316" s="277">
        <v>0</v>
      </c>
      <c r="T316" s="277">
        <v>0</v>
      </c>
      <c r="U316" s="277">
        <v>0</v>
      </c>
      <c r="V316" s="277">
        <v>0</v>
      </c>
      <c r="W316" s="277">
        <v>0</v>
      </c>
      <c r="X316" s="277">
        <v>0</v>
      </c>
      <c r="Y316" s="277">
        <v>0</v>
      </c>
      <c r="Z316" s="277">
        <v>0</v>
      </c>
      <c r="AA316" s="277">
        <v>0</v>
      </c>
      <c r="AB316" s="276">
        <v>2020</v>
      </c>
    </row>
    <row r="317" spans="1:28" s="6" customFormat="1" ht="35.25" x14ac:dyDescent="0.5">
      <c r="A317" s="6">
        <v>1</v>
      </c>
      <c r="B317" s="135">
        <f>SUBTOTAL(103,$A$7:A317)</f>
        <v>306</v>
      </c>
      <c r="C317" s="270" t="s">
        <v>2181</v>
      </c>
      <c r="D317" s="271">
        <f t="shared" si="12"/>
        <v>379619</v>
      </c>
      <c r="E317" s="277">
        <v>0</v>
      </c>
      <c r="F317" s="277">
        <v>0</v>
      </c>
      <c r="G317" s="277">
        <v>0</v>
      </c>
      <c r="H317" s="277">
        <v>0</v>
      </c>
      <c r="I317" s="277">
        <v>0</v>
      </c>
      <c r="J317" s="277">
        <v>0</v>
      </c>
      <c r="K317" s="278">
        <v>0</v>
      </c>
      <c r="L317" s="277">
        <v>0</v>
      </c>
      <c r="M317" s="277">
        <v>0</v>
      </c>
      <c r="N317" s="277">
        <v>0</v>
      </c>
      <c r="O317" s="277">
        <v>0</v>
      </c>
      <c r="P317" s="277">
        <v>379619</v>
      </c>
      <c r="Q317" s="277">
        <v>0</v>
      </c>
      <c r="R317" s="277">
        <v>0</v>
      </c>
      <c r="S317" s="277">
        <v>0</v>
      </c>
      <c r="T317" s="277">
        <v>0</v>
      </c>
      <c r="U317" s="277">
        <v>0</v>
      </c>
      <c r="V317" s="277">
        <v>0</v>
      </c>
      <c r="W317" s="277">
        <v>0</v>
      </c>
      <c r="X317" s="277">
        <v>0</v>
      </c>
      <c r="Y317" s="277">
        <v>0</v>
      </c>
      <c r="Z317" s="277">
        <v>0</v>
      </c>
      <c r="AA317" s="277">
        <v>0</v>
      </c>
      <c r="AB317" s="276">
        <v>2020</v>
      </c>
    </row>
    <row r="318" spans="1:28" s="6" customFormat="1" ht="35.25" x14ac:dyDescent="0.5">
      <c r="A318" s="6">
        <v>1</v>
      </c>
      <c r="B318" s="135">
        <f>SUBTOTAL(103,$A$7:A318)</f>
        <v>307</v>
      </c>
      <c r="C318" s="270" t="s">
        <v>2182</v>
      </c>
      <c r="D318" s="271">
        <f t="shared" si="12"/>
        <v>796865</v>
      </c>
      <c r="E318" s="277">
        <v>0</v>
      </c>
      <c r="F318" s="277">
        <v>0</v>
      </c>
      <c r="G318" s="277">
        <v>0</v>
      </c>
      <c r="H318" s="277">
        <v>0</v>
      </c>
      <c r="I318" s="277">
        <v>0</v>
      </c>
      <c r="J318" s="277">
        <v>0</v>
      </c>
      <c r="K318" s="278">
        <v>0</v>
      </c>
      <c r="L318" s="277">
        <v>0</v>
      </c>
      <c r="M318" s="277">
        <v>796865</v>
      </c>
      <c r="N318" s="277">
        <v>0</v>
      </c>
      <c r="O318" s="277">
        <v>0</v>
      </c>
      <c r="P318" s="277">
        <v>0</v>
      </c>
      <c r="Q318" s="277">
        <v>0</v>
      </c>
      <c r="R318" s="277">
        <v>0</v>
      </c>
      <c r="S318" s="277">
        <v>0</v>
      </c>
      <c r="T318" s="277">
        <v>0</v>
      </c>
      <c r="U318" s="277">
        <v>0</v>
      </c>
      <c r="V318" s="277">
        <v>0</v>
      </c>
      <c r="W318" s="277">
        <v>0</v>
      </c>
      <c r="X318" s="277">
        <v>0</v>
      </c>
      <c r="Y318" s="277">
        <v>0</v>
      </c>
      <c r="Z318" s="277">
        <v>0</v>
      </c>
      <c r="AA318" s="277">
        <v>0</v>
      </c>
      <c r="AB318" s="276">
        <v>2020</v>
      </c>
    </row>
    <row r="319" spans="1:28" s="6" customFormat="1" ht="35.25" x14ac:dyDescent="0.5">
      <c r="A319" s="6">
        <v>1</v>
      </c>
      <c r="B319" s="135">
        <f>SUBTOTAL(103,$A$7:A319)</f>
        <v>308</v>
      </c>
      <c r="C319" s="270" t="s">
        <v>2183</v>
      </c>
      <c r="D319" s="271">
        <f t="shared" si="12"/>
        <v>363729</v>
      </c>
      <c r="E319" s="277">
        <v>0</v>
      </c>
      <c r="F319" s="277">
        <v>0</v>
      </c>
      <c r="G319" s="277">
        <v>0</v>
      </c>
      <c r="H319" s="277">
        <v>0</v>
      </c>
      <c r="I319" s="277">
        <v>0</v>
      </c>
      <c r="J319" s="277">
        <v>0</v>
      </c>
      <c r="K319" s="278">
        <v>0</v>
      </c>
      <c r="L319" s="277">
        <v>0</v>
      </c>
      <c r="M319" s="277">
        <v>363729</v>
      </c>
      <c r="N319" s="277">
        <v>0</v>
      </c>
      <c r="O319" s="277">
        <v>0</v>
      </c>
      <c r="P319" s="277">
        <v>0</v>
      </c>
      <c r="Q319" s="277">
        <v>0</v>
      </c>
      <c r="R319" s="277">
        <v>0</v>
      </c>
      <c r="S319" s="277">
        <v>0</v>
      </c>
      <c r="T319" s="277">
        <v>0</v>
      </c>
      <c r="U319" s="277">
        <v>0</v>
      </c>
      <c r="V319" s="277">
        <v>0</v>
      </c>
      <c r="W319" s="277">
        <v>0</v>
      </c>
      <c r="X319" s="277">
        <v>0</v>
      </c>
      <c r="Y319" s="277">
        <v>0</v>
      </c>
      <c r="Z319" s="277">
        <v>0</v>
      </c>
      <c r="AA319" s="277">
        <v>0</v>
      </c>
      <c r="AB319" s="276">
        <v>2020</v>
      </c>
    </row>
    <row r="320" spans="1:28" s="6" customFormat="1" ht="35.25" x14ac:dyDescent="0.5">
      <c r="A320" s="6">
        <v>1</v>
      </c>
      <c r="B320" s="135">
        <f>SUBTOTAL(103,$A$7:A320)</f>
        <v>309</v>
      </c>
      <c r="C320" s="270" t="s">
        <v>2184</v>
      </c>
      <c r="D320" s="271">
        <f t="shared" si="12"/>
        <v>294325</v>
      </c>
      <c r="E320" s="277">
        <v>0</v>
      </c>
      <c r="F320" s="277">
        <v>0</v>
      </c>
      <c r="G320" s="277">
        <v>0</v>
      </c>
      <c r="H320" s="277">
        <v>0</v>
      </c>
      <c r="I320" s="277">
        <v>0</v>
      </c>
      <c r="J320" s="277">
        <v>0</v>
      </c>
      <c r="K320" s="278">
        <v>0</v>
      </c>
      <c r="L320" s="277">
        <v>0</v>
      </c>
      <c r="M320" s="277">
        <v>0</v>
      </c>
      <c r="N320" s="277">
        <v>0</v>
      </c>
      <c r="O320" s="277">
        <v>294325</v>
      </c>
      <c r="P320" s="277">
        <v>0</v>
      </c>
      <c r="Q320" s="277">
        <v>0</v>
      </c>
      <c r="R320" s="277">
        <v>0</v>
      </c>
      <c r="S320" s="277">
        <v>0</v>
      </c>
      <c r="T320" s="277">
        <v>0</v>
      </c>
      <c r="U320" s="277">
        <v>0</v>
      </c>
      <c r="V320" s="277">
        <v>0</v>
      </c>
      <c r="W320" s="277">
        <v>0</v>
      </c>
      <c r="X320" s="277">
        <v>0</v>
      </c>
      <c r="Y320" s="277">
        <v>0</v>
      </c>
      <c r="Z320" s="277">
        <v>0</v>
      </c>
      <c r="AA320" s="277">
        <v>0</v>
      </c>
      <c r="AB320" s="276">
        <v>2020</v>
      </c>
    </row>
    <row r="321" spans="1:28" s="6" customFormat="1" ht="35.25" x14ac:dyDescent="0.5">
      <c r="A321" s="6">
        <v>1</v>
      </c>
      <c r="B321" s="135">
        <f>SUBTOTAL(103,$A$7:A321)</f>
        <v>310</v>
      </c>
      <c r="C321" s="270" t="s">
        <v>2185</v>
      </c>
      <c r="D321" s="271">
        <f t="shared" si="12"/>
        <v>412286</v>
      </c>
      <c r="E321" s="277">
        <v>0</v>
      </c>
      <c r="F321" s="277">
        <v>0</v>
      </c>
      <c r="G321" s="277">
        <v>0</v>
      </c>
      <c r="H321" s="277">
        <v>0</v>
      </c>
      <c r="I321" s="277">
        <v>0</v>
      </c>
      <c r="J321" s="277">
        <v>0</v>
      </c>
      <c r="K321" s="278">
        <v>0</v>
      </c>
      <c r="L321" s="277">
        <v>0</v>
      </c>
      <c r="M321" s="277">
        <v>0</v>
      </c>
      <c r="N321" s="277">
        <v>0</v>
      </c>
      <c r="O321" s="277">
        <v>412286</v>
      </c>
      <c r="P321" s="277">
        <v>0</v>
      </c>
      <c r="Q321" s="277">
        <v>0</v>
      </c>
      <c r="R321" s="277">
        <v>0</v>
      </c>
      <c r="S321" s="277">
        <v>0</v>
      </c>
      <c r="T321" s="277">
        <v>0</v>
      </c>
      <c r="U321" s="277">
        <v>0</v>
      </c>
      <c r="V321" s="277">
        <v>0</v>
      </c>
      <c r="W321" s="277">
        <v>0</v>
      </c>
      <c r="X321" s="277">
        <v>0</v>
      </c>
      <c r="Y321" s="277">
        <v>0</v>
      </c>
      <c r="Z321" s="277">
        <v>0</v>
      </c>
      <c r="AA321" s="277">
        <v>0</v>
      </c>
      <c r="AB321" s="276">
        <v>2020</v>
      </c>
    </row>
    <row r="322" spans="1:28" s="6" customFormat="1" ht="35.25" x14ac:dyDescent="0.5">
      <c r="A322" s="6">
        <v>1</v>
      </c>
      <c r="B322" s="135">
        <f>SUBTOTAL(103,$A$7:A322)</f>
        <v>311</v>
      </c>
      <c r="C322" s="270" t="s">
        <v>2186</v>
      </c>
      <c r="D322" s="271">
        <f t="shared" si="12"/>
        <v>582000</v>
      </c>
      <c r="E322" s="277">
        <v>0</v>
      </c>
      <c r="F322" s="277">
        <v>0</v>
      </c>
      <c r="G322" s="277">
        <v>0</v>
      </c>
      <c r="H322" s="277">
        <v>0</v>
      </c>
      <c r="I322" s="277">
        <v>0</v>
      </c>
      <c r="J322" s="277">
        <v>0</v>
      </c>
      <c r="K322" s="278">
        <v>1</v>
      </c>
      <c r="L322" s="277">
        <v>582000</v>
      </c>
      <c r="M322" s="277">
        <v>0</v>
      </c>
      <c r="N322" s="277">
        <v>0</v>
      </c>
      <c r="O322" s="277">
        <v>0</v>
      </c>
      <c r="P322" s="277">
        <v>0</v>
      </c>
      <c r="Q322" s="277">
        <v>0</v>
      </c>
      <c r="R322" s="277">
        <v>0</v>
      </c>
      <c r="S322" s="277">
        <v>0</v>
      </c>
      <c r="T322" s="277">
        <v>0</v>
      </c>
      <c r="U322" s="277">
        <v>0</v>
      </c>
      <c r="V322" s="277">
        <v>0</v>
      </c>
      <c r="W322" s="277">
        <v>0</v>
      </c>
      <c r="X322" s="277">
        <v>0</v>
      </c>
      <c r="Y322" s="277">
        <v>0</v>
      </c>
      <c r="Z322" s="277">
        <v>0</v>
      </c>
      <c r="AA322" s="277">
        <v>0</v>
      </c>
      <c r="AB322" s="276">
        <v>2020</v>
      </c>
    </row>
    <row r="323" spans="1:28" s="6" customFormat="1" ht="35.25" x14ac:dyDescent="0.5">
      <c r="A323" s="6">
        <v>1</v>
      </c>
      <c r="B323" s="135">
        <f>SUBTOTAL(103,$A$7:A323)</f>
        <v>312</v>
      </c>
      <c r="C323" s="270" t="s">
        <v>2187</v>
      </c>
      <c r="D323" s="271">
        <f t="shared" si="12"/>
        <v>544685</v>
      </c>
      <c r="E323" s="277">
        <v>0</v>
      </c>
      <c r="F323" s="277">
        <v>0</v>
      </c>
      <c r="G323" s="277">
        <v>0</v>
      </c>
      <c r="H323" s="277">
        <v>0</v>
      </c>
      <c r="I323" s="277">
        <v>0</v>
      </c>
      <c r="J323" s="277">
        <v>0</v>
      </c>
      <c r="K323" s="278">
        <v>0</v>
      </c>
      <c r="L323" s="277">
        <v>0</v>
      </c>
      <c r="M323" s="277">
        <v>0</v>
      </c>
      <c r="N323" s="277">
        <v>0</v>
      </c>
      <c r="O323" s="277">
        <v>544685</v>
      </c>
      <c r="P323" s="277">
        <v>0</v>
      </c>
      <c r="Q323" s="277">
        <v>0</v>
      </c>
      <c r="R323" s="277">
        <v>0</v>
      </c>
      <c r="S323" s="277">
        <v>0</v>
      </c>
      <c r="T323" s="277">
        <v>0</v>
      </c>
      <c r="U323" s="277">
        <v>0</v>
      </c>
      <c r="V323" s="277">
        <v>0</v>
      </c>
      <c r="W323" s="277">
        <v>0</v>
      </c>
      <c r="X323" s="277">
        <v>0</v>
      </c>
      <c r="Y323" s="277">
        <v>0</v>
      </c>
      <c r="Z323" s="277">
        <v>0</v>
      </c>
      <c r="AA323" s="277">
        <v>0</v>
      </c>
      <c r="AB323" s="276">
        <v>2020</v>
      </c>
    </row>
    <row r="324" spans="1:28" s="6" customFormat="1" ht="35.25" x14ac:dyDescent="0.5">
      <c r="A324" s="6">
        <v>1</v>
      </c>
      <c r="B324" s="135">
        <f>SUBTOTAL(103,$A$7:A324)</f>
        <v>313</v>
      </c>
      <c r="C324" s="270" t="s">
        <v>2188</v>
      </c>
      <c r="D324" s="271">
        <f>E324+F324+G324+H324+I324+J324+L324+M324+N324+O324+P324+Q324+R324+S324+T324+U324+V324+W324+X324+Y324+Z324+AA324</f>
        <v>48000</v>
      </c>
      <c r="E324" s="277">
        <v>0</v>
      </c>
      <c r="F324" s="277">
        <v>0</v>
      </c>
      <c r="G324" s="277">
        <v>48000</v>
      </c>
      <c r="H324" s="277">
        <v>0</v>
      </c>
      <c r="I324" s="277">
        <v>0</v>
      </c>
      <c r="J324" s="277">
        <v>0</v>
      </c>
      <c r="K324" s="278">
        <v>0</v>
      </c>
      <c r="L324" s="277">
        <v>0</v>
      </c>
      <c r="M324" s="277">
        <v>0</v>
      </c>
      <c r="N324" s="277">
        <v>0</v>
      </c>
      <c r="O324" s="277">
        <v>0</v>
      </c>
      <c r="P324" s="277">
        <v>0</v>
      </c>
      <c r="Q324" s="277">
        <v>0</v>
      </c>
      <c r="R324" s="277">
        <v>0</v>
      </c>
      <c r="S324" s="277">
        <v>0</v>
      </c>
      <c r="T324" s="277">
        <v>0</v>
      </c>
      <c r="U324" s="277">
        <v>0</v>
      </c>
      <c r="V324" s="277">
        <v>0</v>
      </c>
      <c r="W324" s="277">
        <v>0</v>
      </c>
      <c r="X324" s="277">
        <v>0</v>
      </c>
      <c r="Y324" s="277">
        <v>0</v>
      </c>
      <c r="Z324" s="277">
        <v>0</v>
      </c>
      <c r="AA324" s="277">
        <v>0</v>
      </c>
      <c r="AB324" s="276">
        <v>2020</v>
      </c>
    </row>
    <row r="325" spans="1:28" s="6" customFormat="1" ht="35.25" x14ac:dyDescent="0.5">
      <c r="A325" s="6">
        <v>1</v>
      </c>
      <c r="B325" s="135">
        <f>SUBTOTAL(103,$A$7:A325)</f>
        <v>314</v>
      </c>
      <c r="C325" s="270" t="s">
        <v>2189</v>
      </c>
      <c r="D325" s="271">
        <f>E325+F325+G325+H325+I325+J325+L325+M325+N325+O325+P325+Q325+R325+S325+T325+U325+V325+W325+X325+Y325+Z325+AA325</f>
        <v>46128</v>
      </c>
      <c r="E325" s="277">
        <v>0</v>
      </c>
      <c r="F325" s="277">
        <v>0</v>
      </c>
      <c r="G325" s="277">
        <v>46128</v>
      </c>
      <c r="H325" s="277">
        <v>0</v>
      </c>
      <c r="I325" s="277">
        <v>0</v>
      </c>
      <c r="J325" s="277">
        <v>0</v>
      </c>
      <c r="K325" s="278">
        <v>0</v>
      </c>
      <c r="L325" s="277">
        <v>0</v>
      </c>
      <c r="M325" s="277">
        <v>0</v>
      </c>
      <c r="N325" s="277">
        <v>0</v>
      </c>
      <c r="O325" s="277">
        <v>0</v>
      </c>
      <c r="P325" s="277">
        <v>0</v>
      </c>
      <c r="Q325" s="277">
        <v>0</v>
      </c>
      <c r="R325" s="277">
        <v>0</v>
      </c>
      <c r="S325" s="277">
        <v>0</v>
      </c>
      <c r="T325" s="277">
        <v>0</v>
      </c>
      <c r="U325" s="277">
        <v>0</v>
      </c>
      <c r="V325" s="277">
        <v>0</v>
      </c>
      <c r="W325" s="277">
        <v>0</v>
      </c>
      <c r="X325" s="277">
        <v>0</v>
      </c>
      <c r="Y325" s="277">
        <v>0</v>
      </c>
      <c r="Z325" s="277">
        <v>0</v>
      </c>
      <c r="AA325" s="277">
        <v>0</v>
      </c>
      <c r="AB325" s="276">
        <v>2020</v>
      </c>
    </row>
    <row r="326" spans="1:28" s="6" customFormat="1" ht="35.25" x14ac:dyDescent="0.5">
      <c r="A326" s="6">
        <v>1</v>
      </c>
      <c r="B326" s="135">
        <f>SUBTOTAL(103,$A$7:A326)</f>
        <v>315</v>
      </c>
      <c r="C326" s="270" t="s">
        <v>2190</v>
      </c>
      <c r="D326" s="271">
        <f>E326+F326+G326+H326+I326+J326+L326+M326+N326+O326+P326+Q326+R326+S326+T326+U326+V326+W326+X326+Y326+Z326+AA326</f>
        <v>46128</v>
      </c>
      <c r="E326" s="277">
        <v>0</v>
      </c>
      <c r="F326" s="277">
        <v>0</v>
      </c>
      <c r="G326" s="277">
        <v>46128</v>
      </c>
      <c r="H326" s="277">
        <v>0</v>
      </c>
      <c r="I326" s="277">
        <v>0</v>
      </c>
      <c r="J326" s="277">
        <v>0</v>
      </c>
      <c r="K326" s="278">
        <v>0</v>
      </c>
      <c r="L326" s="277">
        <v>0</v>
      </c>
      <c r="M326" s="277">
        <v>0</v>
      </c>
      <c r="N326" s="277">
        <v>0</v>
      </c>
      <c r="O326" s="277">
        <v>0</v>
      </c>
      <c r="P326" s="277">
        <v>0</v>
      </c>
      <c r="Q326" s="277">
        <v>0</v>
      </c>
      <c r="R326" s="277">
        <v>0</v>
      </c>
      <c r="S326" s="277">
        <v>0</v>
      </c>
      <c r="T326" s="277">
        <v>0</v>
      </c>
      <c r="U326" s="277">
        <v>0</v>
      </c>
      <c r="V326" s="277">
        <v>0</v>
      </c>
      <c r="W326" s="277">
        <v>0</v>
      </c>
      <c r="X326" s="277">
        <v>0</v>
      </c>
      <c r="Y326" s="277">
        <v>0</v>
      </c>
      <c r="Z326" s="277">
        <v>0</v>
      </c>
      <c r="AA326" s="277">
        <v>0</v>
      </c>
      <c r="AB326" s="276">
        <v>2020</v>
      </c>
    </row>
    <row r="327" spans="1:28" s="6" customFormat="1" ht="35.25" x14ac:dyDescent="0.5">
      <c r="A327" s="6">
        <v>1</v>
      </c>
      <c r="B327" s="135">
        <f>SUBTOTAL(103,$A$7:A327)</f>
        <v>316</v>
      </c>
      <c r="C327" s="270" t="s">
        <v>2191</v>
      </c>
      <c r="D327" s="271">
        <f>E327+F327+G327+H327+I327+J327+L327+M327+N327+O327+P327+Q327+R327+S327+T327+U327+V327+W327+X327+Y327+Z327+AA327</f>
        <v>1122000</v>
      </c>
      <c r="E327" s="277">
        <v>0</v>
      </c>
      <c r="F327" s="277">
        <v>0</v>
      </c>
      <c r="G327" s="277">
        <v>0</v>
      </c>
      <c r="H327" s="277">
        <v>0</v>
      </c>
      <c r="I327" s="277">
        <v>0</v>
      </c>
      <c r="J327" s="277">
        <v>0</v>
      </c>
      <c r="K327" s="278">
        <v>2</v>
      </c>
      <c r="L327" s="277">
        <v>1122000</v>
      </c>
      <c r="M327" s="277">
        <v>0</v>
      </c>
      <c r="N327" s="277">
        <v>0</v>
      </c>
      <c r="O327" s="277">
        <v>0</v>
      </c>
      <c r="P327" s="277">
        <v>0</v>
      </c>
      <c r="Q327" s="277">
        <v>0</v>
      </c>
      <c r="R327" s="277">
        <v>0</v>
      </c>
      <c r="S327" s="277">
        <v>0</v>
      </c>
      <c r="T327" s="277">
        <v>0</v>
      </c>
      <c r="U327" s="277">
        <v>0</v>
      </c>
      <c r="V327" s="277">
        <v>0</v>
      </c>
      <c r="W327" s="277">
        <v>0</v>
      </c>
      <c r="X327" s="277">
        <v>0</v>
      </c>
      <c r="Y327" s="277">
        <v>0</v>
      </c>
      <c r="Z327" s="277">
        <v>0</v>
      </c>
      <c r="AA327" s="277">
        <v>0</v>
      </c>
      <c r="AB327" s="276">
        <v>2020</v>
      </c>
    </row>
    <row r="328" spans="1:28" s="6" customFormat="1" ht="35.25" x14ac:dyDescent="0.5">
      <c r="A328" s="6">
        <v>1</v>
      </c>
      <c r="B328" s="135">
        <f>SUBTOTAL(103,$A$7:A328)</f>
        <v>317</v>
      </c>
      <c r="C328" s="270" t="s">
        <v>2192</v>
      </c>
      <c r="D328" s="271">
        <v>1146813</v>
      </c>
      <c r="E328" s="277">
        <v>0</v>
      </c>
      <c r="F328" s="277">
        <v>0</v>
      </c>
      <c r="G328" s="277">
        <v>0</v>
      </c>
      <c r="H328" s="277">
        <v>0</v>
      </c>
      <c r="I328" s="277">
        <v>0</v>
      </c>
      <c r="J328" s="277">
        <v>0</v>
      </c>
      <c r="K328" s="278">
        <v>0</v>
      </c>
      <c r="L328" s="277">
        <v>0</v>
      </c>
      <c r="M328" s="277">
        <v>1146813</v>
      </c>
      <c r="N328" s="277">
        <v>0</v>
      </c>
      <c r="O328" s="277">
        <v>0</v>
      </c>
      <c r="P328" s="277">
        <v>0</v>
      </c>
      <c r="Q328" s="277">
        <v>0</v>
      </c>
      <c r="R328" s="277">
        <v>0</v>
      </c>
      <c r="S328" s="277">
        <v>0</v>
      </c>
      <c r="T328" s="277">
        <v>0</v>
      </c>
      <c r="U328" s="277">
        <v>0</v>
      </c>
      <c r="V328" s="277">
        <v>0</v>
      </c>
      <c r="W328" s="277">
        <v>0</v>
      </c>
      <c r="X328" s="277">
        <v>0</v>
      </c>
      <c r="Y328" s="277">
        <v>0</v>
      </c>
      <c r="Z328" s="277">
        <v>0</v>
      </c>
      <c r="AA328" s="277">
        <v>0</v>
      </c>
      <c r="AB328" s="276">
        <v>2020</v>
      </c>
    </row>
    <row r="329" spans="1:28" s="6" customFormat="1" ht="35.25" x14ac:dyDescent="0.5">
      <c r="A329" s="6">
        <v>1</v>
      </c>
      <c r="B329" s="135">
        <f>SUBTOTAL(103,$A$7:A329)</f>
        <v>318</v>
      </c>
      <c r="C329" s="270" t="s">
        <v>2193</v>
      </c>
      <c r="D329" s="271">
        <f>E329+F329+G329+H329+I329+J329+L329+M329+N329+O329+P329+Q329+R329+S329+T329+U329+V329+W329+X329+Y329+Z329+AA329</f>
        <v>1198042.8500000001</v>
      </c>
      <c r="E329" s="277">
        <v>0</v>
      </c>
      <c r="F329" s="277">
        <v>0</v>
      </c>
      <c r="G329" s="277">
        <v>0</v>
      </c>
      <c r="H329" s="277">
        <v>0</v>
      </c>
      <c r="I329" s="277">
        <v>0</v>
      </c>
      <c r="J329" s="277">
        <v>0</v>
      </c>
      <c r="K329" s="278">
        <v>0</v>
      </c>
      <c r="L329" s="277">
        <v>0</v>
      </c>
      <c r="M329" s="277">
        <v>0</v>
      </c>
      <c r="N329" s="277">
        <v>0</v>
      </c>
      <c r="O329" s="277">
        <v>1198042.8500000001</v>
      </c>
      <c r="P329" s="277">
        <v>0</v>
      </c>
      <c r="Q329" s="277">
        <v>0</v>
      </c>
      <c r="R329" s="277">
        <v>0</v>
      </c>
      <c r="S329" s="277">
        <v>0</v>
      </c>
      <c r="T329" s="277">
        <v>0</v>
      </c>
      <c r="U329" s="277">
        <v>0</v>
      </c>
      <c r="V329" s="277">
        <v>0</v>
      </c>
      <c r="W329" s="277">
        <v>0</v>
      </c>
      <c r="X329" s="277">
        <v>0</v>
      </c>
      <c r="Y329" s="277">
        <v>0</v>
      </c>
      <c r="Z329" s="277">
        <v>0</v>
      </c>
      <c r="AA329" s="277">
        <v>0</v>
      </c>
      <c r="AB329" s="276">
        <v>2020</v>
      </c>
    </row>
    <row r="330" spans="1:28" s="6" customFormat="1" ht="35.25" customHeight="1" x14ac:dyDescent="0.5">
      <c r="B330" s="270" t="s">
        <v>1845</v>
      </c>
      <c r="C330" s="270"/>
      <c r="D330" s="271">
        <f t="shared" ref="D330:AA330" si="13">SUM(D331:D334)</f>
        <v>1368433</v>
      </c>
      <c r="E330" s="271">
        <f t="shared" si="13"/>
        <v>0</v>
      </c>
      <c r="F330" s="271">
        <f t="shared" si="13"/>
        <v>0</v>
      </c>
      <c r="G330" s="271">
        <f t="shared" si="13"/>
        <v>0</v>
      </c>
      <c r="H330" s="271">
        <f t="shared" si="13"/>
        <v>0</v>
      </c>
      <c r="I330" s="271">
        <f t="shared" si="13"/>
        <v>914164</v>
      </c>
      <c r="J330" s="271">
        <f t="shared" si="13"/>
        <v>0</v>
      </c>
      <c r="K330" s="272">
        <f t="shared" si="13"/>
        <v>0</v>
      </c>
      <c r="L330" s="271">
        <f t="shared" si="13"/>
        <v>0</v>
      </c>
      <c r="M330" s="271">
        <f t="shared" si="13"/>
        <v>0</v>
      </c>
      <c r="N330" s="271">
        <f t="shared" si="13"/>
        <v>0</v>
      </c>
      <c r="O330" s="271">
        <f t="shared" si="13"/>
        <v>454269</v>
      </c>
      <c r="P330" s="271">
        <f t="shared" si="13"/>
        <v>0</v>
      </c>
      <c r="Q330" s="271">
        <f t="shared" si="13"/>
        <v>0</v>
      </c>
      <c r="R330" s="271">
        <f t="shared" si="13"/>
        <v>0</v>
      </c>
      <c r="S330" s="271">
        <f t="shared" si="13"/>
        <v>0</v>
      </c>
      <c r="T330" s="271">
        <f t="shared" si="13"/>
        <v>0</v>
      </c>
      <c r="U330" s="271">
        <f t="shared" si="13"/>
        <v>0</v>
      </c>
      <c r="V330" s="271">
        <f t="shared" si="13"/>
        <v>0</v>
      </c>
      <c r="W330" s="271">
        <f t="shared" si="13"/>
        <v>0</v>
      </c>
      <c r="X330" s="271">
        <f t="shared" si="13"/>
        <v>0</v>
      </c>
      <c r="Y330" s="271">
        <f t="shared" si="13"/>
        <v>0</v>
      </c>
      <c r="Z330" s="271">
        <f t="shared" si="13"/>
        <v>0</v>
      </c>
      <c r="AA330" s="271">
        <f t="shared" si="13"/>
        <v>0</v>
      </c>
      <c r="AB330" s="273" t="s">
        <v>896</v>
      </c>
    </row>
    <row r="331" spans="1:28" s="6" customFormat="1" ht="35.25" customHeight="1" x14ac:dyDescent="0.5">
      <c r="A331" s="6">
        <v>1</v>
      </c>
      <c r="B331" s="135">
        <f>SUBTOTAL(103,$A$7:A331)</f>
        <v>319</v>
      </c>
      <c r="C331" s="270" t="s">
        <v>1846</v>
      </c>
      <c r="D331" s="271">
        <f>E331+F331+G331+H331+I331+J331+L331+M331+N331+O331+P331+Q331+R331+S331+T331+U331+V331+W331+X331+Y331+Z331+AA331</f>
        <v>228541</v>
      </c>
      <c r="E331" s="274">
        <v>0</v>
      </c>
      <c r="F331" s="274">
        <v>0</v>
      </c>
      <c r="G331" s="274">
        <v>0</v>
      </c>
      <c r="H331" s="274">
        <v>0</v>
      </c>
      <c r="I331" s="274">
        <v>228541</v>
      </c>
      <c r="J331" s="274">
        <v>0</v>
      </c>
      <c r="K331" s="275">
        <v>0</v>
      </c>
      <c r="L331" s="274">
        <v>0</v>
      </c>
      <c r="M331" s="274">
        <v>0</v>
      </c>
      <c r="N331" s="274">
        <v>0</v>
      </c>
      <c r="O331" s="274">
        <v>0</v>
      </c>
      <c r="P331" s="274">
        <v>0</v>
      </c>
      <c r="Q331" s="274">
        <v>0</v>
      </c>
      <c r="R331" s="274">
        <v>0</v>
      </c>
      <c r="S331" s="274">
        <v>0</v>
      </c>
      <c r="T331" s="274">
        <v>0</v>
      </c>
      <c r="U331" s="274">
        <v>0</v>
      </c>
      <c r="V331" s="274">
        <v>0</v>
      </c>
      <c r="W331" s="274">
        <v>0</v>
      </c>
      <c r="X331" s="274">
        <v>0</v>
      </c>
      <c r="Y331" s="274">
        <v>0</v>
      </c>
      <c r="Z331" s="274">
        <v>0</v>
      </c>
      <c r="AA331" s="274">
        <v>0</v>
      </c>
      <c r="AB331" s="276">
        <v>2020</v>
      </c>
    </row>
    <row r="332" spans="1:28" s="6" customFormat="1" ht="35.25" customHeight="1" x14ac:dyDescent="0.5">
      <c r="A332" s="6">
        <v>1</v>
      </c>
      <c r="B332" s="135">
        <f>SUBTOTAL(103,$A$7:A332)</f>
        <v>320</v>
      </c>
      <c r="C332" s="270" t="s">
        <v>1847</v>
      </c>
      <c r="D332" s="271">
        <f>E332+F332+G332+H332+I332+J332+L332+M332+N332+O332+P332+Q332+R332+S332+T332+U332+V332+W332+X332+Y332+Z332+AA332</f>
        <v>228541</v>
      </c>
      <c r="E332" s="274">
        <v>0</v>
      </c>
      <c r="F332" s="274">
        <v>0</v>
      </c>
      <c r="G332" s="274">
        <v>0</v>
      </c>
      <c r="H332" s="274">
        <v>0</v>
      </c>
      <c r="I332" s="274">
        <v>228541</v>
      </c>
      <c r="J332" s="274">
        <v>0</v>
      </c>
      <c r="K332" s="275">
        <v>0</v>
      </c>
      <c r="L332" s="274">
        <v>0</v>
      </c>
      <c r="M332" s="274">
        <v>0</v>
      </c>
      <c r="N332" s="274">
        <v>0</v>
      </c>
      <c r="O332" s="274">
        <v>0</v>
      </c>
      <c r="P332" s="274">
        <v>0</v>
      </c>
      <c r="Q332" s="274">
        <v>0</v>
      </c>
      <c r="R332" s="274">
        <v>0</v>
      </c>
      <c r="S332" s="274">
        <v>0</v>
      </c>
      <c r="T332" s="274">
        <v>0</v>
      </c>
      <c r="U332" s="274">
        <v>0</v>
      </c>
      <c r="V332" s="274">
        <v>0</v>
      </c>
      <c r="W332" s="274">
        <v>0</v>
      </c>
      <c r="X332" s="274">
        <v>0</v>
      </c>
      <c r="Y332" s="274">
        <v>0</v>
      </c>
      <c r="Z332" s="274">
        <v>0</v>
      </c>
      <c r="AA332" s="274">
        <v>0</v>
      </c>
      <c r="AB332" s="276">
        <v>2020</v>
      </c>
    </row>
    <row r="333" spans="1:28" s="6" customFormat="1" ht="35.25" customHeight="1" x14ac:dyDescent="0.5">
      <c r="A333" s="6">
        <v>1</v>
      </c>
      <c r="B333" s="135">
        <f>SUBTOTAL(103,$A$7:A333)</f>
        <v>321</v>
      </c>
      <c r="C333" s="270" t="s">
        <v>1848</v>
      </c>
      <c r="D333" s="271">
        <f>E333+F333+G333+H333+I333+J333+L333+M333+N333+O333+P333+Q333+R333+S333+T333+U333+V333+W333+X333+Y333+Z333+AA333</f>
        <v>274766</v>
      </c>
      <c r="E333" s="274">
        <v>0</v>
      </c>
      <c r="F333" s="274">
        <v>0</v>
      </c>
      <c r="G333" s="274">
        <v>0</v>
      </c>
      <c r="H333" s="274">
        <v>0</v>
      </c>
      <c r="I333" s="274">
        <v>228541</v>
      </c>
      <c r="J333" s="274">
        <v>0</v>
      </c>
      <c r="K333" s="275">
        <v>0</v>
      </c>
      <c r="L333" s="274">
        <v>0</v>
      </c>
      <c r="M333" s="274">
        <v>0</v>
      </c>
      <c r="N333" s="274">
        <v>0</v>
      </c>
      <c r="O333" s="274">
        <v>46225</v>
      </c>
      <c r="P333" s="274">
        <v>0</v>
      </c>
      <c r="Q333" s="274">
        <v>0</v>
      </c>
      <c r="R333" s="274">
        <v>0</v>
      </c>
      <c r="S333" s="274">
        <v>0</v>
      </c>
      <c r="T333" s="274">
        <v>0</v>
      </c>
      <c r="U333" s="274">
        <v>0</v>
      </c>
      <c r="V333" s="274">
        <v>0</v>
      </c>
      <c r="W333" s="274">
        <v>0</v>
      </c>
      <c r="X333" s="274">
        <v>0</v>
      </c>
      <c r="Y333" s="274">
        <v>0</v>
      </c>
      <c r="Z333" s="274">
        <v>0</v>
      </c>
      <c r="AA333" s="274">
        <v>0</v>
      </c>
      <c r="AB333" s="276">
        <v>2020</v>
      </c>
    </row>
    <row r="334" spans="1:28" s="6" customFormat="1" ht="35.25" x14ac:dyDescent="0.5">
      <c r="A334" s="6">
        <v>1</v>
      </c>
      <c r="B334" s="135">
        <f>SUBTOTAL(103,$A$7:A334)</f>
        <v>322</v>
      </c>
      <c r="C334" s="270" t="s">
        <v>1849</v>
      </c>
      <c r="D334" s="271">
        <f>E334+F334+G334+H334+I334+J334+L334+M334+N334+O334+P334+Q334+R334+S334+T334+U334+V334+W334+X334+Y334+Z334+AA334</f>
        <v>636585</v>
      </c>
      <c r="E334" s="274">
        <v>0</v>
      </c>
      <c r="F334" s="274">
        <v>0</v>
      </c>
      <c r="G334" s="274">
        <v>0</v>
      </c>
      <c r="H334" s="274">
        <v>0</v>
      </c>
      <c r="I334" s="274">
        <v>228541</v>
      </c>
      <c r="J334" s="274">
        <v>0</v>
      </c>
      <c r="K334" s="275">
        <v>0</v>
      </c>
      <c r="L334" s="274">
        <v>0</v>
      </c>
      <c r="M334" s="274">
        <v>0</v>
      </c>
      <c r="N334" s="274">
        <v>0</v>
      </c>
      <c r="O334" s="274">
        <v>408044</v>
      </c>
      <c r="P334" s="274">
        <v>0</v>
      </c>
      <c r="Q334" s="274">
        <v>0</v>
      </c>
      <c r="R334" s="274">
        <v>0</v>
      </c>
      <c r="S334" s="274">
        <v>0</v>
      </c>
      <c r="T334" s="274">
        <v>0</v>
      </c>
      <c r="U334" s="274">
        <v>0</v>
      </c>
      <c r="V334" s="274">
        <v>0</v>
      </c>
      <c r="W334" s="274">
        <v>0</v>
      </c>
      <c r="X334" s="274">
        <v>0</v>
      </c>
      <c r="Y334" s="274">
        <v>0</v>
      </c>
      <c r="Z334" s="274">
        <v>0</v>
      </c>
      <c r="AA334" s="274">
        <v>0</v>
      </c>
      <c r="AB334" s="276">
        <v>2020</v>
      </c>
    </row>
    <row r="335" spans="1:28" s="6" customFormat="1" ht="35.25" customHeight="1" x14ac:dyDescent="0.5">
      <c r="B335" s="270" t="s">
        <v>891</v>
      </c>
      <c r="C335" s="270"/>
      <c r="D335" s="271">
        <f>D336</f>
        <v>797497</v>
      </c>
      <c r="E335" s="271">
        <f t="shared" ref="E335:AA335" si="14">E336</f>
        <v>0</v>
      </c>
      <c r="F335" s="271">
        <f t="shared" si="14"/>
        <v>0</v>
      </c>
      <c r="G335" s="271">
        <f t="shared" si="14"/>
        <v>0</v>
      </c>
      <c r="H335" s="271">
        <f t="shared" si="14"/>
        <v>0</v>
      </c>
      <c r="I335" s="271">
        <f t="shared" si="14"/>
        <v>0</v>
      </c>
      <c r="J335" s="271">
        <f t="shared" si="14"/>
        <v>0</v>
      </c>
      <c r="K335" s="275">
        <f t="shared" si="14"/>
        <v>0</v>
      </c>
      <c r="L335" s="271">
        <f t="shared" si="14"/>
        <v>0</v>
      </c>
      <c r="M335" s="271">
        <f t="shared" si="14"/>
        <v>797497</v>
      </c>
      <c r="N335" s="271">
        <f t="shared" si="14"/>
        <v>0</v>
      </c>
      <c r="O335" s="271">
        <f t="shared" si="14"/>
        <v>0</v>
      </c>
      <c r="P335" s="271">
        <f t="shared" si="14"/>
        <v>0</v>
      </c>
      <c r="Q335" s="271">
        <f t="shared" si="14"/>
        <v>0</v>
      </c>
      <c r="R335" s="271">
        <f t="shared" si="14"/>
        <v>0</v>
      </c>
      <c r="S335" s="271">
        <f t="shared" si="14"/>
        <v>0</v>
      </c>
      <c r="T335" s="271">
        <f t="shared" si="14"/>
        <v>0</v>
      </c>
      <c r="U335" s="271">
        <f t="shared" si="14"/>
        <v>0</v>
      </c>
      <c r="V335" s="271">
        <f t="shared" si="14"/>
        <v>0</v>
      </c>
      <c r="W335" s="271">
        <f t="shared" si="14"/>
        <v>0</v>
      </c>
      <c r="X335" s="271">
        <f t="shared" si="14"/>
        <v>0</v>
      </c>
      <c r="Y335" s="271">
        <f t="shared" si="14"/>
        <v>0</v>
      </c>
      <c r="Z335" s="271">
        <f t="shared" si="14"/>
        <v>0</v>
      </c>
      <c r="AA335" s="271">
        <f t="shared" si="14"/>
        <v>0</v>
      </c>
      <c r="AB335" s="273" t="s">
        <v>896</v>
      </c>
    </row>
    <row r="336" spans="1:28" s="6" customFormat="1" ht="35.25" x14ac:dyDescent="0.5">
      <c r="A336" s="6">
        <v>1</v>
      </c>
      <c r="B336" s="135">
        <f>SUBTOTAL(103,$A$7:A336)</f>
        <v>323</v>
      </c>
      <c r="C336" s="270" t="s">
        <v>2194</v>
      </c>
      <c r="D336" s="271">
        <f>E336+F336+G336+H336+I336+J336+L336+M336+N336+O336+P336+Q336+R336+S336+T336+U336+V336+W336+X336+Y336+Z336+AA336</f>
        <v>797497</v>
      </c>
      <c r="E336" s="271">
        <v>0</v>
      </c>
      <c r="F336" s="271">
        <v>0</v>
      </c>
      <c r="G336" s="271">
        <v>0</v>
      </c>
      <c r="H336" s="271">
        <v>0</v>
      </c>
      <c r="I336" s="271">
        <v>0</v>
      </c>
      <c r="J336" s="271">
        <v>0</v>
      </c>
      <c r="K336" s="275">
        <v>0</v>
      </c>
      <c r="L336" s="271">
        <v>0</v>
      </c>
      <c r="M336" s="274">
        <v>797497</v>
      </c>
      <c r="N336" s="274">
        <v>0</v>
      </c>
      <c r="O336" s="274">
        <v>0</v>
      </c>
      <c r="P336" s="274">
        <v>0</v>
      </c>
      <c r="Q336" s="274">
        <v>0</v>
      </c>
      <c r="R336" s="274">
        <v>0</v>
      </c>
      <c r="S336" s="274">
        <v>0</v>
      </c>
      <c r="T336" s="274">
        <v>0</v>
      </c>
      <c r="U336" s="274">
        <v>0</v>
      </c>
      <c r="V336" s="274">
        <v>0</v>
      </c>
      <c r="W336" s="274">
        <v>0</v>
      </c>
      <c r="X336" s="274">
        <v>0</v>
      </c>
      <c r="Y336" s="274">
        <v>0</v>
      </c>
      <c r="Z336" s="274">
        <v>0</v>
      </c>
      <c r="AA336" s="274">
        <v>0</v>
      </c>
      <c r="AB336" s="276">
        <v>2020</v>
      </c>
    </row>
    <row r="337" spans="1:28" s="6" customFormat="1" ht="35.25" customHeight="1" x14ac:dyDescent="0.5">
      <c r="B337" s="270" t="s">
        <v>835</v>
      </c>
      <c r="C337" s="270"/>
      <c r="D337" s="271">
        <f>SUM(D338)</f>
        <v>967981.25</v>
      </c>
      <c r="E337" s="271">
        <f t="shared" ref="E337:AA337" si="15">SUM(E338)</f>
        <v>0</v>
      </c>
      <c r="F337" s="271">
        <f t="shared" si="15"/>
        <v>0</v>
      </c>
      <c r="G337" s="271">
        <f t="shared" si="15"/>
        <v>0</v>
      </c>
      <c r="H337" s="271">
        <f t="shared" si="15"/>
        <v>0</v>
      </c>
      <c r="I337" s="271">
        <f t="shared" si="15"/>
        <v>0</v>
      </c>
      <c r="J337" s="271">
        <f t="shared" si="15"/>
        <v>0</v>
      </c>
      <c r="K337" s="275">
        <f t="shared" si="15"/>
        <v>0</v>
      </c>
      <c r="L337" s="271">
        <f t="shared" si="15"/>
        <v>0</v>
      </c>
      <c r="M337" s="271">
        <f t="shared" si="15"/>
        <v>967981.25</v>
      </c>
      <c r="N337" s="271">
        <f t="shared" si="15"/>
        <v>0</v>
      </c>
      <c r="O337" s="271">
        <f t="shared" si="15"/>
        <v>0</v>
      </c>
      <c r="P337" s="271">
        <f t="shared" si="15"/>
        <v>0</v>
      </c>
      <c r="Q337" s="271">
        <f t="shared" si="15"/>
        <v>0</v>
      </c>
      <c r="R337" s="271">
        <f t="shared" si="15"/>
        <v>0</v>
      </c>
      <c r="S337" s="271">
        <f t="shared" si="15"/>
        <v>0</v>
      </c>
      <c r="T337" s="271">
        <f t="shared" si="15"/>
        <v>0</v>
      </c>
      <c r="U337" s="271">
        <f t="shared" si="15"/>
        <v>0</v>
      </c>
      <c r="V337" s="271">
        <f t="shared" si="15"/>
        <v>0</v>
      </c>
      <c r="W337" s="271">
        <f t="shared" si="15"/>
        <v>0</v>
      </c>
      <c r="X337" s="271">
        <f t="shared" si="15"/>
        <v>0</v>
      </c>
      <c r="Y337" s="271">
        <f t="shared" si="15"/>
        <v>0</v>
      </c>
      <c r="Z337" s="271">
        <f t="shared" si="15"/>
        <v>0</v>
      </c>
      <c r="AA337" s="271">
        <f t="shared" si="15"/>
        <v>0</v>
      </c>
      <c r="AB337" s="273" t="s">
        <v>896</v>
      </c>
    </row>
    <row r="338" spans="1:28" s="6" customFormat="1" ht="35.25" x14ac:dyDescent="0.5">
      <c r="A338" s="6">
        <v>1</v>
      </c>
      <c r="B338" s="135">
        <f>SUBTOTAL(103,$A$7:A338)</f>
        <v>324</v>
      </c>
      <c r="C338" s="270" t="s">
        <v>1850</v>
      </c>
      <c r="D338" s="271">
        <f>E338+F338+G338+H338+I338+J338+L338+M338+N338+O338+P338+Q338+R338+S338+T338+U338+V338+W338+X338+Y338+Z338+AA338</f>
        <v>967981.25</v>
      </c>
      <c r="E338" s="274">
        <v>0</v>
      </c>
      <c r="F338" s="274">
        <v>0</v>
      </c>
      <c r="G338" s="274">
        <v>0</v>
      </c>
      <c r="H338" s="274">
        <v>0</v>
      </c>
      <c r="I338" s="274">
        <v>0</v>
      </c>
      <c r="J338" s="274">
        <v>0</v>
      </c>
      <c r="K338" s="275">
        <v>0</v>
      </c>
      <c r="L338" s="274">
        <v>0</v>
      </c>
      <c r="M338" s="274">
        <v>967981.25</v>
      </c>
      <c r="N338" s="274">
        <v>0</v>
      </c>
      <c r="O338" s="274">
        <v>0</v>
      </c>
      <c r="P338" s="274">
        <v>0</v>
      </c>
      <c r="Q338" s="274">
        <v>0</v>
      </c>
      <c r="R338" s="274">
        <v>0</v>
      </c>
      <c r="S338" s="274">
        <v>0</v>
      </c>
      <c r="T338" s="274">
        <v>0</v>
      </c>
      <c r="U338" s="274">
        <v>0</v>
      </c>
      <c r="V338" s="274">
        <v>0</v>
      </c>
      <c r="W338" s="274">
        <v>0</v>
      </c>
      <c r="X338" s="274">
        <v>0</v>
      </c>
      <c r="Y338" s="274">
        <v>0</v>
      </c>
      <c r="Z338" s="274">
        <v>0</v>
      </c>
      <c r="AA338" s="274">
        <v>0</v>
      </c>
      <c r="AB338" s="276">
        <v>2020</v>
      </c>
    </row>
    <row r="339" spans="1:28" s="6" customFormat="1" ht="35.25" customHeight="1" x14ac:dyDescent="0.5">
      <c r="B339" s="270" t="s">
        <v>844</v>
      </c>
      <c r="C339" s="270"/>
      <c r="D339" s="271">
        <f t="shared" ref="D339:AA339" si="16">SUM(D340:D371)</f>
        <v>29859905.41</v>
      </c>
      <c r="E339" s="271">
        <f t="shared" si="16"/>
        <v>303425.40000000002</v>
      </c>
      <c r="F339" s="271">
        <f t="shared" si="16"/>
        <v>673156.75</v>
      </c>
      <c r="G339" s="271">
        <f t="shared" si="16"/>
        <v>868590.84</v>
      </c>
      <c r="H339" s="271">
        <f t="shared" si="16"/>
        <v>212593.9</v>
      </c>
      <c r="I339" s="271">
        <f t="shared" si="16"/>
        <v>1549375.81</v>
      </c>
      <c r="J339" s="271">
        <f t="shared" si="16"/>
        <v>88420.66</v>
      </c>
      <c r="K339" s="272">
        <f t="shared" si="16"/>
        <v>11</v>
      </c>
      <c r="L339" s="271">
        <f t="shared" si="16"/>
        <v>19120829</v>
      </c>
      <c r="M339" s="271">
        <f t="shared" si="16"/>
        <v>3877975.5900000003</v>
      </c>
      <c r="N339" s="271">
        <f t="shared" si="16"/>
        <v>260392.57</v>
      </c>
      <c r="O339" s="271">
        <f t="shared" si="16"/>
        <v>2905144.89</v>
      </c>
      <c r="P339" s="271">
        <f t="shared" si="16"/>
        <v>0</v>
      </c>
      <c r="Q339" s="271">
        <f t="shared" si="16"/>
        <v>0</v>
      </c>
      <c r="R339" s="271">
        <f t="shared" si="16"/>
        <v>0</v>
      </c>
      <c r="S339" s="271">
        <f t="shared" si="16"/>
        <v>0</v>
      </c>
      <c r="T339" s="271">
        <f t="shared" si="16"/>
        <v>0</v>
      </c>
      <c r="U339" s="271">
        <f t="shared" si="16"/>
        <v>0</v>
      </c>
      <c r="V339" s="271">
        <f t="shared" si="16"/>
        <v>0</v>
      </c>
      <c r="W339" s="271">
        <f t="shared" si="16"/>
        <v>0</v>
      </c>
      <c r="X339" s="271">
        <f t="shared" si="16"/>
        <v>0</v>
      </c>
      <c r="Y339" s="271">
        <f t="shared" si="16"/>
        <v>0</v>
      </c>
      <c r="Z339" s="271">
        <f t="shared" si="16"/>
        <v>0</v>
      </c>
      <c r="AA339" s="271">
        <f t="shared" si="16"/>
        <v>0</v>
      </c>
      <c r="AB339" s="273" t="s">
        <v>896</v>
      </c>
    </row>
    <row r="340" spans="1:28" s="6" customFormat="1" ht="35.25" customHeight="1" x14ac:dyDescent="0.5">
      <c r="A340" s="6">
        <v>1</v>
      </c>
      <c r="B340" s="135">
        <f>SUBTOTAL(103,$A$7:A340)</f>
        <v>325</v>
      </c>
      <c r="C340" s="270" t="s">
        <v>1851</v>
      </c>
      <c r="D340" s="271">
        <f>E340+F340+G340+H340+I340+J340+L340+M340+N340+O340+P340+Q340+R340+S340+T340+U340+V340+W340+X340+Y340+Z340+AA340</f>
        <v>78900</v>
      </c>
      <c r="E340" s="274">
        <v>0</v>
      </c>
      <c r="F340" s="274">
        <v>0</v>
      </c>
      <c r="G340" s="274">
        <v>0</v>
      </c>
      <c r="H340" s="274">
        <v>0</v>
      </c>
      <c r="I340" s="274">
        <v>0</v>
      </c>
      <c r="J340" s="274">
        <v>0</v>
      </c>
      <c r="K340" s="275">
        <v>0</v>
      </c>
      <c r="L340" s="274">
        <v>0</v>
      </c>
      <c r="M340" s="274">
        <v>0</v>
      </c>
      <c r="N340" s="274">
        <v>0</v>
      </c>
      <c r="O340" s="274">
        <v>78900</v>
      </c>
      <c r="P340" s="274">
        <v>0</v>
      </c>
      <c r="Q340" s="274">
        <v>0</v>
      </c>
      <c r="R340" s="274">
        <v>0</v>
      </c>
      <c r="S340" s="274">
        <v>0</v>
      </c>
      <c r="T340" s="274">
        <v>0</v>
      </c>
      <c r="U340" s="274">
        <v>0</v>
      </c>
      <c r="V340" s="274">
        <v>0</v>
      </c>
      <c r="W340" s="274">
        <v>0</v>
      </c>
      <c r="X340" s="274">
        <v>0</v>
      </c>
      <c r="Y340" s="274">
        <v>0</v>
      </c>
      <c r="Z340" s="274">
        <v>0</v>
      </c>
      <c r="AA340" s="274">
        <v>0</v>
      </c>
      <c r="AB340" s="276">
        <v>2020</v>
      </c>
    </row>
    <row r="341" spans="1:28" s="6" customFormat="1" ht="35.25" customHeight="1" x14ac:dyDescent="0.5">
      <c r="A341" s="6">
        <v>1</v>
      </c>
      <c r="B341" s="135">
        <f>SUBTOTAL(103,$A$7:A341)</f>
        <v>326</v>
      </c>
      <c r="C341" s="270" t="s">
        <v>1853</v>
      </c>
      <c r="D341" s="271">
        <f t="shared" ref="D341:D357" si="17">E341+F341+G341+H341+I341+J341+L341+M341+N341+O341+P341+Q341+R341+S341+T341+U341+V341+W341+X341+Y341+Z341+AA341</f>
        <v>1538017.81</v>
      </c>
      <c r="E341" s="274">
        <v>0</v>
      </c>
      <c r="F341" s="274">
        <v>0</v>
      </c>
      <c r="G341" s="274">
        <v>0</v>
      </c>
      <c r="H341" s="274">
        <v>0</v>
      </c>
      <c r="I341" s="274">
        <f>1200009.16+338008.65</f>
        <v>1538017.81</v>
      </c>
      <c r="J341" s="274">
        <v>0</v>
      </c>
      <c r="K341" s="275">
        <v>0</v>
      </c>
      <c r="L341" s="274">
        <v>0</v>
      </c>
      <c r="M341" s="274">
        <v>0</v>
      </c>
      <c r="N341" s="274">
        <v>0</v>
      </c>
      <c r="O341" s="274">
        <v>0</v>
      </c>
      <c r="P341" s="274">
        <v>0</v>
      </c>
      <c r="Q341" s="274">
        <v>0</v>
      </c>
      <c r="R341" s="274">
        <v>0</v>
      </c>
      <c r="S341" s="274">
        <v>0</v>
      </c>
      <c r="T341" s="274">
        <v>0</v>
      </c>
      <c r="U341" s="274">
        <v>0</v>
      </c>
      <c r="V341" s="274">
        <v>0</v>
      </c>
      <c r="W341" s="274">
        <v>0</v>
      </c>
      <c r="X341" s="274">
        <v>0</v>
      </c>
      <c r="Y341" s="274">
        <v>0</v>
      </c>
      <c r="Z341" s="274">
        <v>0</v>
      </c>
      <c r="AA341" s="274">
        <v>0</v>
      </c>
      <c r="AB341" s="276">
        <v>2020</v>
      </c>
    </row>
    <row r="342" spans="1:28" s="6" customFormat="1" ht="35.25" customHeight="1" x14ac:dyDescent="0.5">
      <c r="A342" s="6">
        <v>1</v>
      </c>
      <c r="B342" s="135">
        <f>SUBTOTAL(103,$A$7:A342)</f>
        <v>327</v>
      </c>
      <c r="C342" s="270" t="s">
        <v>1854</v>
      </c>
      <c r="D342" s="271">
        <f t="shared" si="17"/>
        <v>132446</v>
      </c>
      <c r="E342" s="274">
        <v>0</v>
      </c>
      <c r="F342" s="274">
        <v>0</v>
      </c>
      <c r="G342" s="274">
        <v>0</v>
      </c>
      <c r="H342" s="274">
        <v>0</v>
      </c>
      <c r="I342" s="274">
        <v>0</v>
      </c>
      <c r="J342" s="274">
        <v>0</v>
      </c>
      <c r="K342" s="275">
        <v>0</v>
      </c>
      <c r="L342" s="274">
        <v>0</v>
      </c>
      <c r="M342" s="274">
        <v>0</v>
      </c>
      <c r="N342" s="274">
        <v>0</v>
      </c>
      <c r="O342" s="274">
        <v>132446</v>
      </c>
      <c r="P342" s="274">
        <v>0</v>
      </c>
      <c r="Q342" s="274">
        <v>0</v>
      </c>
      <c r="R342" s="274">
        <v>0</v>
      </c>
      <c r="S342" s="274">
        <v>0</v>
      </c>
      <c r="T342" s="274">
        <v>0</v>
      </c>
      <c r="U342" s="274">
        <v>0</v>
      </c>
      <c r="V342" s="274">
        <v>0</v>
      </c>
      <c r="W342" s="274">
        <v>0</v>
      </c>
      <c r="X342" s="274">
        <v>0</v>
      </c>
      <c r="Y342" s="274">
        <v>0</v>
      </c>
      <c r="Z342" s="274">
        <v>0</v>
      </c>
      <c r="AA342" s="274">
        <v>0</v>
      </c>
      <c r="AB342" s="276">
        <v>2020</v>
      </c>
    </row>
    <row r="343" spans="1:28" s="6" customFormat="1" ht="35.25" customHeight="1" x14ac:dyDescent="0.5">
      <c r="A343" s="6">
        <v>1</v>
      </c>
      <c r="B343" s="135">
        <f>SUBTOTAL(103,$A$7:A343)</f>
        <v>328</v>
      </c>
      <c r="C343" s="270" t="s">
        <v>1855</v>
      </c>
      <c r="D343" s="271">
        <f t="shared" si="17"/>
        <v>1103428.53</v>
      </c>
      <c r="E343" s="274">
        <v>0</v>
      </c>
      <c r="F343" s="274">
        <v>0</v>
      </c>
      <c r="G343" s="274">
        <v>0</v>
      </c>
      <c r="H343" s="274">
        <v>0</v>
      </c>
      <c r="I343" s="274">
        <v>0</v>
      </c>
      <c r="J343" s="274">
        <v>0</v>
      </c>
      <c r="K343" s="275">
        <v>0</v>
      </c>
      <c r="L343" s="274">
        <v>0</v>
      </c>
      <c r="M343" s="274">
        <v>1103428.53</v>
      </c>
      <c r="N343" s="274">
        <v>0</v>
      </c>
      <c r="O343" s="274">
        <v>0</v>
      </c>
      <c r="P343" s="274">
        <v>0</v>
      </c>
      <c r="Q343" s="274">
        <v>0</v>
      </c>
      <c r="R343" s="274">
        <v>0</v>
      </c>
      <c r="S343" s="274">
        <v>0</v>
      </c>
      <c r="T343" s="274">
        <v>0</v>
      </c>
      <c r="U343" s="274">
        <v>0</v>
      </c>
      <c r="V343" s="274">
        <v>0</v>
      </c>
      <c r="W343" s="274">
        <v>0</v>
      </c>
      <c r="X343" s="274">
        <v>0</v>
      </c>
      <c r="Y343" s="274">
        <v>0</v>
      </c>
      <c r="Z343" s="274">
        <v>0</v>
      </c>
      <c r="AA343" s="274">
        <v>0</v>
      </c>
      <c r="AB343" s="276">
        <v>2020</v>
      </c>
    </row>
    <row r="344" spans="1:28" s="6" customFormat="1" ht="35.25" customHeight="1" x14ac:dyDescent="0.5">
      <c r="A344" s="6">
        <v>1</v>
      </c>
      <c r="B344" s="135">
        <f>SUBTOTAL(103,$A$7:A344)</f>
        <v>329</v>
      </c>
      <c r="C344" s="270" t="s">
        <v>1856</v>
      </c>
      <c r="D344" s="271">
        <f t="shared" si="17"/>
        <v>270448.74</v>
      </c>
      <c r="E344" s="274">
        <v>0</v>
      </c>
      <c r="F344" s="274">
        <v>0</v>
      </c>
      <c r="G344" s="274">
        <v>0</v>
      </c>
      <c r="H344" s="274">
        <v>0</v>
      </c>
      <c r="I344" s="274">
        <v>0</v>
      </c>
      <c r="J344" s="274">
        <v>0</v>
      </c>
      <c r="K344" s="275">
        <v>0</v>
      </c>
      <c r="L344" s="274">
        <v>0</v>
      </c>
      <c r="M344" s="274">
        <v>0</v>
      </c>
      <c r="N344" s="274">
        <v>0</v>
      </c>
      <c r="O344" s="274">
        <v>270448.74</v>
      </c>
      <c r="P344" s="274">
        <v>0</v>
      </c>
      <c r="Q344" s="274">
        <v>0</v>
      </c>
      <c r="R344" s="274">
        <v>0</v>
      </c>
      <c r="S344" s="274">
        <v>0</v>
      </c>
      <c r="T344" s="274">
        <v>0</v>
      </c>
      <c r="U344" s="274">
        <v>0</v>
      </c>
      <c r="V344" s="274">
        <v>0</v>
      </c>
      <c r="W344" s="274">
        <v>0</v>
      </c>
      <c r="X344" s="274">
        <v>0</v>
      </c>
      <c r="Y344" s="274">
        <v>0</v>
      </c>
      <c r="Z344" s="274">
        <v>0</v>
      </c>
      <c r="AA344" s="274">
        <v>0</v>
      </c>
      <c r="AB344" s="276">
        <v>2020</v>
      </c>
    </row>
    <row r="345" spans="1:28" s="6" customFormat="1" ht="35.25" customHeight="1" x14ac:dyDescent="0.5">
      <c r="A345" s="6">
        <v>1</v>
      </c>
      <c r="B345" s="135">
        <f>SUBTOTAL(103,$A$7:A345)</f>
        <v>330</v>
      </c>
      <c r="C345" s="270" t="s">
        <v>1857</v>
      </c>
      <c r="D345" s="271">
        <f t="shared" si="17"/>
        <v>375408</v>
      </c>
      <c r="E345" s="274">
        <v>0</v>
      </c>
      <c r="F345" s="274">
        <v>0</v>
      </c>
      <c r="G345" s="274">
        <v>0</v>
      </c>
      <c r="H345" s="274">
        <v>0</v>
      </c>
      <c r="I345" s="274">
        <v>0</v>
      </c>
      <c r="J345" s="274">
        <v>0</v>
      </c>
      <c r="K345" s="275">
        <v>0</v>
      </c>
      <c r="L345" s="274">
        <v>0</v>
      </c>
      <c r="M345" s="274">
        <v>0</v>
      </c>
      <c r="N345" s="274">
        <v>0</v>
      </c>
      <c r="O345" s="274">
        <v>375408</v>
      </c>
      <c r="P345" s="274">
        <v>0</v>
      </c>
      <c r="Q345" s="274">
        <v>0</v>
      </c>
      <c r="R345" s="274">
        <v>0</v>
      </c>
      <c r="S345" s="274">
        <v>0</v>
      </c>
      <c r="T345" s="274">
        <v>0</v>
      </c>
      <c r="U345" s="274">
        <v>0</v>
      </c>
      <c r="V345" s="274">
        <v>0</v>
      </c>
      <c r="W345" s="274">
        <v>0</v>
      </c>
      <c r="X345" s="274">
        <v>0</v>
      </c>
      <c r="Y345" s="274">
        <v>0</v>
      </c>
      <c r="Z345" s="274">
        <v>0</v>
      </c>
      <c r="AA345" s="274">
        <v>0</v>
      </c>
      <c r="AB345" s="276">
        <v>2020</v>
      </c>
    </row>
    <row r="346" spans="1:28" s="6" customFormat="1" ht="35.25" customHeight="1" x14ac:dyDescent="0.5">
      <c r="A346" s="6">
        <v>1</v>
      </c>
      <c r="B346" s="135">
        <f>SUBTOTAL(103,$A$7:A346)</f>
        <v>331</v>
      </c>
      <c r="C346" s="270" t="s">
        <v>1742</v>
      </c>
      <c r="D346" s="271">
        <v>173538</v>
      </c>
      <c r="E346" s="274">
        <v>0</v>
      </c>
      <c r="F346" s="274">
        <v>0</v>
      </c>
      <c r="G346" s="274">
        <v>173538</v>
      </c>
      <c r="H346" s="274">
        <v>0</v>
      </c>
      <c r="I346" s="274">
        <v>0</v>
      </c>
      <c r="J346" s="274">
        <v>0</v>
      </c>
      <c r="K346" s="275">
        <v>0</v>
      </c>
      <c r="L346" s="274">
        <v>0</v>
      </c>
      <c r="M346" s="274">
        <v>0</v>
      </c>
      <c r="N346" s="274">
        <v>0</v>
      </c>
      <c r="O346" s="274">
        <v>0</v>
      </c>
      <c r="P346" s="274">
        <v>0</v>
      </c>
      <c r="Q346" s="274">
        <v>0</v>
      </c>
      <c r="R346" s="274">
        <v>0</v>
      </c>
      <c r="S346" s="274">
        <v>0</v>
      </c>
      <c r="T346" s="274">
        <v>0</v>
      </c>
      <c r="U346" s="274">
        <v>0</v>
      </c>
      <c r="V346" s="274">
        <v>0</v>
      </c>
      <c r="W346" s="274">
        <v>0</v>
      </c>
      <c r="X346" s="274">
        <v>0</v>
      </c>
      <c r="Y346" s="274">
        <v>0</v>
      </c>
      <c r="Z346" s="274">
        <v>0</v>
      </c>
      <c r="AA346" s="274">
        <v>0</v>
      </c>
      <c r="AB346" s="276">
        <v>2020</v>
      </c>
    </row>
    <row r="347" spans="1:28" s="6" customFormat="1" ht="35.25" customHeight="1" x14ac:dyDescent="0.5">
      <c r="A347" s="6">
        <v>1</v>
      </c>
      <c r="B347" s="135">
        <f>SUBTOTAL(103,$A$7:A347)</f>
        <v>332</v>
      </c>
      <c r="C347" s="270" t="s">
        <v>1858</v>
      </c>
      <c r="D347" s="271">
        <f t="shared" si="17"/>
        <v>2021829</v>
      </c>
      <c r="E347" s="274">
        <v>0</v>
      </c>
      <c r="F347" s="274">
        <v>0</v>
      </c>
      <c r="G347" s="274">
        <v>0</v>
      </c>
      <c r="H347" s="274">
        <v>0</v>
      </c>
      <c r="I347" s="274">
        <v>0</v>
      </c>
      <c r="J347" s="274">
        <v>0</v>
      </c>
      <c r="K347" s="275">
        <v>1</v>
      </c>
      <c r="L347" s="274">
        <v>2021829</v>
      </c>
      <c r="M347" s="274">
        <v>0</v>
      </c>
      <c r="N347" s="274">
        <v>0</v>
      </c>
      <c r="O347" s="274">
        <v>0</v>
      </c>
      <c r="P347" s="274">
        <v>0</v>
      </c>
      <c r="Q347" s="274">
        <v>0</v>
      </c>
      <c r="R347" s="274">
        <v>0</v>
      </c>
      <c r="S347" s="274">
        <v>0</v>
      </c>
      <c r="T347" s="274">
        <v>0</v>
      </c>
      <c r="U347" s="274">
        <v>0</v>
      </c>
      <c r="V347" s="274">
        <v>0</v>
      </c>
      <c r="W347" s="274">
        <v>0</v>
      </c>
      <c r="X347" s="274">
        <v>0</v>
      </c>
      <c r="Y347" s="274">
        <v>0</v>
      </c>
      <c r="Z347" s="274">
        <v>0</v>
      </c>
      <c r="AA347" s="274">
        <v>0</v>
      </c>
      <c r="AB347" s="276">
        <v>2020</v>
      </c>
    </row>
    <row r="348" spans="1:28" s="6" customFormat="1" ht="35.25" customHeight="1" x14ac:dyDescent="0.5">
      <c r="A348" s="6">
        <v>1</v>
      </c>
      <c r="B348" s="135">
        <f>SUBTOTAL(103,$A$7:A348)</f>
        <v>333</v>
      </c>
      <c r="C348" s="270" t="s">
        <v>1859</v>
      </c>
      <c r="D348" s="271">
        <f t="shared" si="17"/>
        <v>1870000</v>
      </c>
      <c r="E348" s="274">
        <v>0</v>
      </c>
      <c r="F348" s="274">
        <v>0</v>
      </c>
      <c r="G348" s="274">
        <v>0</v>
      </c>
      <c r="H348" s="274">
        <v>0</v>
      </c>
      <c r="I348" s="274">
        <v>0</v>
      </c>
      <c r="J348" s="274">
        <v>0</v>
      </c>
      <c r="K348" s="275">
        <v>1</v>
      </c>
      <c r="L348" s="274">
        <v>1870000</v>
      </c>
      <c r="M348" s="274">
        <v>0</v>
      </c>
      <c r="N348" s="274">
        <v>0</v>
      </c>
      <c r="O348" s="274">
        <v>0</v>
      </c>
      <c r="P348" s="274">
        <v>0</v>
      </c>
      <c r="Q348" s="274">
        <v>0</v>
      </c>
      <c r="R348" s="274">
        <v>0</v>
      </c>
      <c r="S348" s="274">
        <v>0</v>
      </c>
      <c r="T348" s="274">
        <v>0</v>
      </c>
      <c r="U348" s="274">
        <v>0</v>
      </c>
      <c r="V348" s="274">
        <v>0</v>
      </c>
      <c r="W348" s="274">
        <v>0</v>
      </c>
      <c r="X348" s="274">
        <v>0</v>
      </c>
      <c r="Y348" s="274">
        <v>0</v>
      </c>
      <c r="Z348" s="274">
        <v>0</v>
      </c>
      <c r="AA348" s="274">
        <v>0</v>
      </c>
      <c r="AB348" s="276">
        <v>2020</v>
      </c>
    </row>
    <row r="349" spans="1:28" s="6" customFormat="1" ht="35.25" customHeight="1" x14ac:dyDescent="0.5">
      <c r="A349" s="6">
        <v>1</v>
      </c>
      <c r="B349" s="135">
        <f>SUBTOTAL(103,$A$7:A349)</f>
        <v>334</v>
      </c>
      <c r="C349" s="270" t="s">
        <v>1860</v>
      </c>
      <c r="D349" s="271">
        <f t="shared" si="17"/>
        <v>1850000</v>
      </c>
      <c r="E349" s="274">
        <v>0</v>
      </c>
      <c r="F349" s="274">
        <v>0</v>
      </c>
      <c r="G349" s="274">
        <v>0</v>
      </c>
      <c r="H349" s="274">
        <v>0</v>
      </c>
      <c r="I349" s="274">
        <v>0</v>
      </c>
      <c r="J349" s="274">
        <v>0</v>
      </c>
      <c r="K349" s="275">
        <v>1</v>
      </c>
      <c r="L349" s="274">
        <v>1850000</v>
      </c>
      <c r="M349" s="274">
        <v>0</v>
      </c>
      <c r="N349" s="274">
        <v>0</v>
      </c>
      <c r="O349" s="274">
        <v>0</v>
      </c>
      <c r="P349" s="274">
        <v>0</v>
      </c>
      <c r="Q349" s="274">
        <v>0</v>
      </c>
      <c r="R349" s="274">
        <v>0</v>
      </c>
      <c r="S349" s="274">
        <v>0</v>
      </c>
      <c r="T349" s="274">
        <v>0</v>
      </c>
      <c r="U349" s="274">
        <v>0</v>
      </c>
      <c r="V349" s="274">
        <v>0</v>
      </c>
      <c r="W349" s="274">
        <v>0</v>
      </c>
      <c r="X349" s="274">
        <v>0</v>
      </c>
      <c r="Y349" s="274">
        <v>0</v>
      </c>
      <c r="Z349" s="274">
        <v>0</v>
      </c>
      <c r="AA349" s="274">
        <v>0</v>
      </c>
      <c r="AB349" s="276">
        <v>2020</v>
      </c>
    </row>
    <row r="350" spans="1:28" s="6" customFormat="1" ht="35.25" customHeight="1" x14ac:dyDescent="0.5">
      <c r="A350" s="6">
        <v>1</v>
      </c>
      <c r="B350" s="135">
        <f>SUBTOTAL(103,$A$7:A350)</f>
        <v>335</v>
      </c>
      <c r="C350" s="270" t="s">
        <v>1861</v>
      </c>
      <c r="D350" s="271">
        <f t="shared" si="17"/>
        <v>1870000</v>
      </c>
      <c r="E350" s="274">
        <v>0</v>
      </c>
      <c r="F350" s="274">
        <v>0</v>
      </c>
      <c r="G350" s="274">
        <v>0</v>
      </c>
      <c r="H350" s="274">
        <v>0</v>
      </c>
      <c r="I350" s="274">
        <v>0</v>
      </c>
      <c r="J350" s="274">
        <v>0</v>
      </c>
      <c r="K350" s="275">
        <v>1</v>
      </c>
      <c r="L350" s="274">
        <v>1870000</v>
      </c>
      <c r="M350" s="274">
        <v>0</v>
      </c>
      <c r="N350" s="274">
        <v>0</v>
      </c>
      <c r="O350" s="274">
        <v>0</v>
      </c>
      <c r="P350" s="274">
        <v>0</v>
      </c>
      <c r="Q350" s="274">
        <v>0</v>
      </c>
      <c r="R350" s="274">
        <v>0</v>
      </c>
      <c r="S350" s="274">
        <v>0</v>
      </c>
      <c r="T350" s="274">
        <v>0</v>
      </c>
      <c r="U350" s="274">
        <v>0</v>
      </c>
      <c r="V350" s="274">
        <v>0</v>
      </c>
      <c r="W350" s="274">
        <v>0</v>
      </c>
      <c r="X350" s="274">
        <v>0</v>
      </c>
      <c r="Y350" s="274">
        <v>0</v>
      </c>
      <c r="Z350" s="274">
        <v>0</v>
      </c>
      <c r="AA350" s="274">
        <v>0</v>
      </c>
      <c r="AB350" s="276">
        <v>2020</v>
      </c>
    </row>
    <row r="351" spans="1:28" s="6" customFormat="1" ht="35.25" customHeight="1" x14ac:dyDescent="0.5">
      <c r="A351" s="6">
        <v>1</v>
      </c>
      <c r="B351" s="135">
        <f>SUBTOTAL(103,$A$7:A351)</f>
        <v>336</v>
      </c>
      <c r="C351" s="270" t="s">
        <v>1862</v>
      </c>
      <c r="D351" s="271">
        <f t="shared" si="17"/>
        <v>1870000</v>
      </c>
      <c r="E351" s="274">
        <v>0</v>
      </c>
      <c r="F351" s="274">
        <v>0</v>
      </c>
      <c r="G351" s="274">
        <v>0</v>
      </c>
      <c r="H351" s="274">
        <v>0</v>
      </c>
      <c r="I351" s="274">
        <v>0</v>
      </c>
      <c r="J351" s="274">
        <v>0</v>
      </c>
      <c r="K351" s="275">
        <v>1</v>
      </c>
      <c r="L351" s="274">
        <v>1870000</v>
      </c>
      <c r="M351" s="274">
        <v>0</v>
      </c>
      <c r="N351" s="274">
        <v>0</v>
      </c>
      <c r="O351" s="274">
        <v>0</v>
      </c>
      <c r="P351" s="274">
        <v>0</v>
      </c>
      <c r="Q351" s="274">
        <v>0</v>
      </c>
      <c r="R351" s="274">
        <v>0</v>
      </c>
      <c r="S351" s="274">
        <v>0</v>
      </c>
      <c r="T351" s="274">
        <v>0</v>
      </c>
      <c r="U351" s="274">
        <v>0</v>
      </c>
      <c r="V351" s="274">
        <v>0</v>
      </c>
      <c r="W351" s="274">
        <v>0</v>
      </c>
      <c r="X351" s="274">
        <v>0</v>
      </c>
      <c r="Y351" s="274">
        <v>0</v>
      </c>
      <c r="Z351" s="274">
        <v>0</v>
      </c>
      <c r="AA351" s="274">
        <v>0</v>
      </c>
      <c r="AB351" s="276">
        <v>2020</v>
      </c>
    </row>
    <row r="352" spans="1:28" s="6" customFormat="1" ht="35.25" customHeight="1" x14ac:dyDescent="0.5">
      <c r="A352" s="6">
        <v>1</v>
      </c>
      <c r="B352" s="135">
        <f>SUBTOTAL(103,$A$7:A352)</f>
        <v>337</v>
      </c>
      <c r="C352" s="270" t="s">
        <v>1863</v>
      </c>
      <c r="D352" s="271">
        <f t="shared" si="17"/>
        <v>5250000</v>
      </c>
      <c r="E352" s="274">
        <v>0</v>
      </c>
      <c r="F352" s="274">
        <v>0</v>
      </c>
      <c r="G352" s="274">
        <v>0</v>
      </c>
      <c r="H352" s="274">
        <v>0</v>
      </c>
      <c r="I352" s="274">
        <v>0</v>
      </c>
      <c r="J352" s="274">
        <v>0</v>
      </c>
      <c r="K352" s="275">
        <v>3</v>
      </c>
      <c r="L352" s="274">
        <v>5250000</v>
      </c>
      <c r="M352" s="274">
        <v>0</v>
      </c>
      <c r="N352" s="274">
        <v>0</v>
      </c>
      <c r="O352" s="274">
        <v>0</v>
      </c>
      <c r="P352" s="274">
        <v>0</v>
      </c>
      <c r="Q352" s="274">
        <v>0</v>
      </c>
      <c r="R352" s="274">
        <v>0</v>
      </c>
      <c r="S352" s="274">
        <v>0</v>
      </c>
      <c r="T352" s="274">
        <v>0</v>
      </c>
      <c r="U352" s="274">
        <v>0</v>
      </c>
      <c r="V352" s="274">
        <v>0</v>
      </c>
      <c r="W352" s="274">
        <v>0</v>
      </c>
      <c r="X352" s="274">
        <v>0</v>
      </c>
      <c r="Y352" s="274">
        <v>0</v>
      </c>
      <c r="Z352" s="274">
        <v>0</v>
      </c>
      <c r="AA352" s="274">
        <v>0</v>
      </c>
      <c r="AB352" s="276">
        <v>2020</v>
      </c>
    </row>
    <row r="353" spans="1:28" s="6" customFormat="1" ht="35.25" customHeight="1" x14ac:dyDescent="0.5">
      <c r="A353" s="6">
        <v>1</v>
      </c>
      <c r="B353" s="135">
        <f>SUBTOTAL(103,$A$7:A353)</f>
        <v>338</v>
      </c>
      <c r="C353" s="270" t="s">
        <v>1864</v>
      </c>
      <c r="D353" s="271">
        <f t="shared" si="17"/>
        <v>3840000</v>
      </c>
      <c r="E353" s="274">
        <v>0</v>
      </c>
      <c r="F353" s="274">
        <v>0</v>
      </c>
      <c r="G353" s="274">
        <v>0</v>
      </c>
      <c r="H353" s="274">
        <v>0</v>
      </c>
      <c r="I353" s="274">
        <v>0</v>
      </c>
      <c r="J353" s="274">
        <v>0</v>
      </c>
      <c r="K353" s="275">
        <v>2</v>
      </c>
      <c r="L353" s="274">
        <v>3840000</v>
      </c>
      <c r="M353" s="274">
        <v>0</v>
      </c>
      <c r="N353" s="274">
        <v>0</v>
      </c>
      <c r="O353" s="274">
        <v>0</v>
      </c>
      <c r="P353" s="274">
        <v>0</v>
      </c>
      <c r="Q353" s="274">
        <v>0</v>
      </c>
      <c r="R353" s="274">
        <v>0</v>
      </c>
      <c r="S353" s="274">
        <v>0</v>
      </c>
      <c r="T353" s="274">
        <v>0</v>
      </c>
      <c r="U353" s="274">
        <v>0</v>
      </c>
      <c r="V353" s="274">
        <v>0</v>
      </c>
      <c r="W353" s="274">
        <v>0</v>
      </c>
      <c r="X353" s="274">
        <v>0</v>
      </c>
      <c r="Y353" s="274">
        <v>0</v>
      </c>
      <c r="Z353" s="274">
        <v>0</v>
      </c>
      <c r="AA353" s="274">
        <v>0</v>
      </c>
      <c r="AB353" s="276">
        <v>2020</v>
      </c>
    </row>
    <row r="354" spans="1:28" s="6" customFormat="1" ht="35.25" x14ac:dyDescent="0.5">
      <c r="A354" s="6">
        <v>1</v>
      </c>
      <c r="B354" s="135">
        <f>SUBTOTAL(103,$A$7:A354)</f>
        <v>339</v>
      </c>
      <c r="C354" s="270" t="s">
        <v>2195</v>
      </c>
      <c r="D354" s="271">
        <f t="shared" si="17"/>
        <v>243223.66</v>
      </c>
      <c r="E354" s="274">
        <v>0</v>
      </c>
      <c r="F354" s="274">
        <v>154803</v>
      </c>
      <c r="G354" s="274">
        <v>0</v>
      </c>
      <c r="H354" s="274">
        <v>0</v>
      </c>
      <c r="I354" s="274">
        <v>0</v>
      </c>
      <c r="J354" s="274">
        <v>88420.66</v>
      </c>
      <c r="K354" s="275">
        <v>0</v>
      </c>
      <c r="L354" s="274">
        <v>0</v>
      </c>
      <c r="M354" s="274">
        <v>0</v>
      </c>
      <c r="N354" s="274">
        <v>0</v>
      </c>
      <c r="O354" s="274">
        <v>0</v>
      </c>
      <c r="P354" s="274">
        <v>0</v>
      </c>
      <c r="Q354" s="274">
        <v>0</v>
      </c>
      <c r="R354" s="274">
        <v>0</v>
      </c>
      <c r="S354" s="274">
        <v>0</v>
      </c>
      <c r="T354" s="274">
        <v>0</v>
      </c>
      <c r="U354" s="274">
        <v>0</v>
      </c>
      <c r="V354" s="274">
        <v>0</v>
      </c>
      <c r="W354" s="274">
        <v>0</v>
      </c>
      <c r="X354" s="274">
        <v>0</v>
      </c>
      <c r="Y354" s="274">
        <v>0</v>
      </c>
      <c r="Z354" s="274">
        <v>0</v>
      </c>
      <c r="AA354" s="274">
        <v>0</v>
      </c>
      <c r="AB354" s="276">
        <v>2020</v>
      </c>
    </row>
    <row r="355" spans="1:28" s="6" customFormat="1" ht="35.25" x14ac:dyDescent="0.5">
      <c r="A355" s="6">
        <v>1</v>
      </c>
      <c r="B355" s="135">
        <f>SUBTOTAL(103,$A$7:A355)</f>
        <v>340</v>
      </c>
      <c r="C355" s="270" t="s">
        <v>1852</v>
      </c>
      <c r="D355" s="271">
        <f t="shared" si="17"/>
        <v>228600</v>
      </c>
      <c r="E355" s="274">
        <v>0</v>
      </c>
      <c r="F355" s="274">
        <v>0</v>
      </c>
      <c r="G355" s="274">
        <v>0</v>
      </c>
      <c r="H355" s="274">
        <v>0</v>
      </c>
      <c r="I355" s="274">
        <v>0</v>
      </c>
      <c r="J355" s="274">
        <v>0</v>
      </c>
      <c r="K355" s="275">
        <v>0</v>
      </c>
      <c r="L355" s="274">
        <v>0</v>
      </c>
      <c r="M355" s="274">
        <v>0</v>
      </c>
      <c r="N355" s="274">
        <v>0</v>
      </c>
      <c r="O355" s="274">
        <v>228600</v>
      </c>
      <c r="P355" s="274">
        <v>0</v>
      </c>
      <c r="Q355" s="274">
        <v>0</v>
      </c>
      <c r="R355" s="274">
        <v>0</v>
      </c>
      <c r="S355" s="274">
        <v>0</v>
      </c>
      <c r="T355" s="274">
        <v>0</v>
      </c>
      <c r="U355" s="274">
        <v>0</v>
      </c>
      <c r="V355" s="274">
        <v>0</v>
      </c>
      <c r="W355" s="274">
        <v>0</v>
      </c>
      <c r="X355" s="274">
        <v>0</v>
      </c>
      <c r="Y355" s="274">
        <v>0</v>
      </c>
      <c r="Z355" s="274">
        <v>0</v>
      </c>
      <c r="AA355" s="274">
        <v>0</v>
      </c>
      <c r="AB355" s="276">
        <v>2020</v>
      </c>
    </row>
    <row r="356" spans="1:28" s="6" customFormat="1" ht="35.25" x14ac:dyDescent="0.5">
      <c r="A356" s="6">
        <v>1</v>
      </c>
      <c r="B356" s="135">
        <f>SUBTOTAL(103,$A$7:A356)</f>
        <v>341</v>
      </c>
      <c r="C356" s="270" t="s">
        <v>2196</v>
      </c>
      <c r="D356" s="271">
        <f t="shared" si="17"/>
        <v>590355.86</v>
      </c>
      <c r="E356" s="274">
        <v>0</v>
      </c>
      <c r="F356" s="274">
        <v>0</v>
      </c>
      <c r="G356" s="274">
        <v>0</v>
      </c>
      <c r="H356" s="274">
        <v>0</v>
      </c>
      <c r="I356" s="274">
        <v>0</v>
      </c>
      <c r="J356" s="274">
        <v>0</v>
      </c>
      <c r="K356" s="275">
        <v>0</v>
      </c>
      <c r="L356" s="274">
        <v>0</v>
      </c>
      <c r="M356" s="274">
        <v>0</v>
      </c>
      <c r="N356" s="274">
        <v>0</v>
      </c>
      <c r="O356" s="274">
        <v>590355.86</v>
      </c>
      <c r="P356" s="274">
        <v>0</v>
      </c>
      <c r="Q356" s="274">
        <v>0</v>
      </c>
      <c r="R356" s="274">
        <v>0</v>
      </c>
      <c r="S356" s="274">
        <v>0</v>
      </c>
      <c r="T356" s="274">
        <v>0</v>
      </c>
      <c r="U356" s="274">
        <v>0</v>
      </c>
      <c r="V356" s="274">
        <v>0</v>
      </c>
      <c r="W356" s="274">
        <v>0</v>
      </c>
      <c r="X356" s="274">
        <v>0</v>
      </c>
      <c r="Y356" s="274">
        <v>0</v>
      </c>
      <c r="Z356" s="274">
        <v>0</v>
      </c>
      <c r="AA356" s="274">
        <v>0</v>
      </c>
      <c r="AB356" s="276">
        <v>2020</v>
      </c>
    </row>
    <row r="357" spans="1:28" s="6" customFormat="1" ht="35.25" x14ac:dyDescent="0.5">
      <c r="A357" s="6">
        <v>1</v>
      </c>
      <c r="B357" s="135">
        <f>SUBTOTAL(103,$A$7:A357)</f>
        <v>342</v>
      </c>
      <c r="C357" s="270" t="s">
        <v>2197</v>
      </c>
      <c r="D357" s="271">
        <f t="shared" si="17"/>
        <v>245204</v>
      </c>
      <c r="E357" s="274">
        <v>0</v>
      </c>
      <c r="F357" s="274">
        <v>0</v>
      </c>
      <c r="G357" s="274">
        <v>0</v>
      </c>
      <c r="H357" s="274">
        <v>0</v>
      </c>
      <c r="I357" s="274">
        <v>0</v>
      </c>
      <c r="J357" s="274">
        <v>0</v>
      </c>
      <c r="K357" s="275">
        <v>0</v>
      </c>
      <c r="L357" s="274">
        <v>0</v>
      </c>
      <c r="M357" s="274">
        <v>245204</v>
      </c>
      <c r="N357" s="274">
        <v>0</v>
      </c>
      <c r="O357" s="274">
        <v>0</v>
      </c>
      <c r="P357" s="274">
        <v>0</v>
      </c>
      <c r="Q357" s="274">
        <v>0</v>
      </c>
      <c r="R357" s="274">
        <v>0</v>
      </c>
      <c r="S357" s="274">
        <v>0</v>
      </c>
      <c r="T357" s="274">
        <v>0</v>
      </c>
      <c r="U357" s="274">
        <v>0</v>
      </c>
      <c r="V357" s="274">
        <v>0</v>
      </c>
      <c r="W357" s="274">
        <v>0</v>
      </c>
      <c r="X357" s="274">
        <v>0</v>
      </c>
      <c r="Y357" s="274">
        <v>0</v>
      </c>
      <c r="Z357" s="274">
        <v>0</v>
      </c>
      <c r="AA357" s="274">
        <v>0</v>
      </c>
      <c r="AB357" s="276">
        <v>2020</v>
      </c>
    </row>
    <row r="358" spans="1:28" s="6" customFormat="1" ht="35.25" x14ac:dyDescent="0.5">
      <c r="A358" s="6">
        <v>1</v>
      </c>
      <c r="B358" s="135">
        <f>SUBTOTAL(103,$A$7:A358)</f>
        <v>343</v>
      </c>
      <c r="C358" s="270" t="s">
        <v>2198</v>
      </c>
      <c r="D358" s="271">
        <f>E358+F358+G358+H358+I358+J358+L358+M358+N358+O358+P358+Q358+R358+S358+T358+U358+V358+W358+X358+Y358+Z358+AA358</f>
        <v>320012</v>
      </c>
      <c r="E358" s="274">
        <v>0</v>
      </c>
      <c r="F358" s="274">
        <v>0</v>
      </c>
      <c r="G358" s="274">
        <v>0</v>
      </c>
      <c r="H358" s="274">
        <v>0</v>
      </c>
      <c r="I358" s="274">
        <v>0</v>
      </c>
      <c r="J358" s="274">
        <v>0</v>
      </c>
      <c r="K358" s="275">
        <v>0</v>
      </c>
      <c r="L358" s="274">
        <v>0</v>
      </c>
      <c r="M358" s="274">
        <v>0</v>
      </c>
      <c r="N358" s="274">
        <v>0</v>
      </c>
      <c r="O358" s="274">
        <v>320012</v>
      </c>
      <c r="P358" s="274">
        <v>0</v>
      </c>
      <c r="Q358" s="274">
        <v>0</v>
      </c>
      <c r="R358" s="274">
        <v>0</v>
      </c>
      <c r="S358" s="274">
        <v>0</v>
      </c>
      <c r="T358" s="274">
        <v>0</v>
      </c>
      <c r="U358" s="274">
        <v>0</v>
      </c>
      <c r="V358" s="274">
        <v>0</v>
      </c>
      <c r="W358" s="274">
        <v>0</v>
      </c>
      <c r="X358" s="274">
        <v>0</v>
      </c>
      <c r="Y358" s="274">
        <v>0</v>
      </c>
      <c r="Z358" s="274">
        <v>0</v>
      </c>
      <c r="AA358" s="274">
        <v>0</v>
      </c>
      <c r="AB358" s="276">
        <v>2020</v>
      </c>
    </row>
    <row r="359" spans="1:28" s="6" customFormat="1" ht="35.25" x14ac:dyDescent="0.5">
      <c r="A359" s="6">
        <v>1</v>
      </c>
      <c r="B359" s="135">
        <f>SUBTOTAL(103,$A$7:A359)</f>
        <v>344</v>
      </c>
      <c r="C359" s="270" t="s">
        <v>2199</v>
      </c>
      <c r="D359" s="271">
        <f>E359+F359+G359+H359+I359+J359+L359+M359+N359+O359+P359+Q359+R359+S359+T359+U359+V359+W359+X359+Y359+Z359+AA359</f>
        <v>810000</v>
      </c>
      <c r="E359" s="274">
        <v>0</v>
      </c>
      <c r="F359" s="274">
        <v>0</v>
      </c>
      <c r="G359" s="274">
        <v>0</v>
      </c>
      <c r="H359" s="274">
        <v>0</v>
      </c>
      <c r="I359" s="274">
        <v>0</v>
      </c>
      <c r="J359" s="274">
        <v>0</v>
      </c>
      <c r="K359" s="275">
        <v>0</v>
      </c>
      <c r="L359" s="274">
        <v>0</v>
      </c>
      <c r="M359" s="274">
        <v>810000</v>
      </c>
      <c r="N359" s="274">
        <v>0</v>
      </c>
      <c r="O359" s="274">
        <v>0</v>
      </c>
      <c r="P359" s="274">
        <v>0</v>
      </c>
      <c r="Q359" s="274">
        <v>0</v>
      </c>
      <c r="R359" s="274">
        <v>0</v>
      </c>
      <c r="S359" s="274">
        <v>0</v>
      </c>
      <c r="T359" s="274">
        <v>0</v>
      </c>
      <c r="U359" s="274">
        <v>0</v>
      </c>
      <c r="V359" s="274">
        <v>0</v>
      </c>
      <c r="W359" s="274">
        <v>0</v>
      </c>
      <c r="X359" s="274">
        <v>0</v>
      </c>
      <c r="Y359" s="274">
        <v>0</v>
      </c>
      <c r="Z359" s="274">
        <v>0</v>
      </c>
      <c r="AA359" s="274">
        <v>0</v>
      </c>
      <c r="AB359" s="276">
        <v>2020</v>
      </c>
    </row>
    <row r="360" spans="1:28" s="6" customFormat="1" ht="35.25" x14ac:dyDescent="0.5">
      <c r="A360" s="6">
        <v>1</v>
      </c>
      <c r="B360" s="135">
        <f>SUBTOTAL(103,$A$7:A360)</f>
        <v>345</v>
      </c>
      <c r="C360" s="270" t="s">
        <v>2200</v>
      </c>
      <c r="D360" s="271">
        <f>E360+F360+G360+H360+I360+J360+L360+M360+N360+O360+P360+Q360+R360+S360+T360+U360+V360+W360+X360+Y360+Z360+AA360</f>
        <v>516711.62</v>
      </c>
      <c r="E360" s="274">
        <v>0</v>
      </c>
      <c r="F360" s="274">
        <v>161097.25</v>
      </c>
      <c r="G360" s="274">
        <v>0</v>
      </c>
      <c r="H360" s="274">
        <v>84774.9</v>
      </c>
      <c r="I360" s="274">
        <v>0</v>
      </c>
      <c r="J360" s="274">
        <v>0</v>
      </c>
      <c r="K360" s="275">
        <v>0</v>
      </c>
      <c r="L360" s="274">
        <v>0</v>
      </c>
      <c r="M360" s="274">
        <v>0</v>
      </c>
      <c r="N360" s="274">
        <v>0</v>
      </c>
      <c r="O360" s="274">
        <v>270839.46999999997</v>
      </c>
      <c r="P360" s="274">
        <v>0</v>
      </c>
      <c r="Q360" s="274">
        <v>0</v>
      </c>
      <c r="R360" s="274">
        <v>0</v>
      </c>
      <c r="S360" s="274">
        <v>0</v>
      </c>
      <c r="T360" s="274">
        <v>0</v>
      </c>
      <c r="U360" s="274">
        <v>0</v>
      </c>
      <c r="V360" s="274">
        <v>0</v>
      </c>
      <c r="W360" s="274">
        <v>0</v>
      </c>
      <c r="X360" s="274">
        <v>0</v>
      </c>
      <c r="Y360" s="274">
        <v>0</v>
      </c>
      <c r="Z360" s="274">
        <v>0</v>
      </c>
      <c r="AA360" s="274">
        <v>0</v>
      </c>
      <c r="AB360" s="276">
        <v>2020</v>
      </c>
    </row>
    <row r="361" spans="1:28" s="6" customFormat="1" ht="35.25" x14ac:dyDescent="0.5">
      <c r="A361" s="6">
        <v>1</v>
      </c>
      <c r="B361" s="135">
        <f>SUBTOTAL(103,$A$7:A361)</f>
        <v>346</v>
      </c>
      <c r="C361" s="270" t="s">
        <v>2201</v>
      </c>
      <c r="D361" s="271">
        <f t="shared" ref="D361:D368" si="18">E361+F361+G361+H361+I361+J361+L361+M361+N361+O361+P361+Q361+R361+S361+T361+U361+V361+W361+X361+Y361+Z361+AA361</f>
        <v>616011.84</v>
      </c>
      <c r="E361" s="274">
        <v>0</v>
      </c>
      <c r="F361" s="274">
        <v>0</v>
      </c>
      <c r="G361" s="274">
        <v>616011.84</v>
      </c>
      <c r="H361" s="274">
        <v>0</v>
      </c>
      <c r="I361" s="274">
        <v>0</v>
      </c>
      <c r="J361" s="274">
        <v>0</v>
      </c>
      <c r="K361" s="275">
        <v>0</v>
      </c>
      <c r="L361" s="274">
        <v>0</v>
      </c>
      <c r="M361" s="274">
        <v>0</v>
      </c>
      <c r="N361" s="274">
        <v>0</v>
      </c>
      <c r="O361" s="274">
        <v>0</v>
      </c>
      <c r="P361" s="274">
        <v>0</v>
      </c>
      <c r="Q361" s="274">
        <v>0</v>
      </c>
      <c r="R361" s="274">
        <v>0</v>
      </c>
      <c r="S361" s="274">
        <v>0</v>
      </c>
      <c r="T361" s="274">
        <v>0</v>
      </c>
      <c r="U361" s="274">
        <v>0</v>
      </c>
      <c r="V361" s="274">
        <v>0</v>
      </c>
      <c r="W361" s="274">
        <v>0</v>
      </c>
      <c r="X361" s="274">
        <v>0</v>
      </c>
      <c r="Y361" s="274">
        <v>0</v>
      </c>
      <c r="Z361" s="274">
        <v>0</v>
      </c>
      <c r="AA361" s="274">
        <v>0</v>
      </c>
      <c r="AB361" s="276">
        <v>2020</v>
      </c>
    </row>
    <row r="362" spans="1:28" s="6" customFormat="1" ht="35.25" x14ac:dyDescent="0.5">
      <c r="A362" s="6">
        <v>1</v>
      </c>
      <c r="B362" s="135">
        <f>SUBTOTAL(103,$A$7:A362)</f>
        <v>347</v>
      </c>
      <c r="C362" s="270" t="s">
        <v>2202</v>
      </c>
      <c r="D362" s="271">
        <f t="shared" si="18"/>
        <v>190271</v>
      </c>
      <c r="E362" s="274">
        <v>0</v>
      </c>
      <c r="F362" s="274">
        <v>0</v>
      </c>
      <c r="G362" s="274">
        <v>0</v>
      </c>
      <c r="H362" s="274">
        <v>0</v>
      </c>
      <c r="I362" s="274">
        <v>11358</v>
      </c>
      <c r="J362" s="274">
        <v>0</v>
      </c>
      <c r="K362" s="275">
        <v>0</v>
      </c>
      <c r="L362" s="274">
        <v>0</v>
      </c>
      <c r="M362" s="274">
        <v>0</v>
      </c>
      <c r="N362" s="274">
        <v>0</v>
      </c>
      <c r="O362" s="274">
        <v>178913</v>
      </c>
      <c r="P362" s="274">
        <v>0</v>
      </c>
      <c r="Q362" s="274">
        <v>0</v>
      </c>
      <c r="R362" s="274">
        <v>0</v>
      </c>
      <c r="S362" s="274">
        <v>0</v>
      </c>
      <c r="T362" s="274">
        <v>0</v>
      </c>
      <c r="U362" s="274">
        <v>0</v>
      </c>
      <c r="V362" s="274">
        <v>0</v>
      </c>
      <c r="W362" s="274">
        <v>0</v>
      </c>
      <c r="X362" s="274">
        <v>0</v>
      </c>
      <c r="Y362" s="274">
        <v>0</v>
      </c>
      <c r="Z362" s="274">
        <v>0</v>
      </c>
      <c r="AA362" s="274">
        <v>0</v>
      </c>
      <c r="AB362" s="276">
        <v>2020</v>
      </c>
    </row>
    <row r="363" spans="1:28" s="6" customFormat="1" ht="35.25" x14ac:dyDescent="0.5">
      <c r="A363" s="6">
        <v>1</v>
      </c>
      <c r="B363" s="135">
        <f>SUBTOTAL(103,$A$7:A363)</f>
        <v>348</v>
      </c>
      <c r="C363" s="270" t="s">
        <v>2203</v>
      </c>
      <c r="D363" s="271">
        <f t="shared" si="18"/>
        <v>1310000</v>
      </c>
      <c r="E363" s="274">
        <v>0</v>
      </c>
      <c r="F363" s="274">
        <v>0</v>
      </c>
      <c r="G363" s="274">
        <v>0</v>
      </c>
      <c r="H363" s="274">
        <v>0</v>
      </c>
      <c r="I363" s="274">
        <v>0</v>
      </c>
      <c r="J363" s="274">
        <v>0</v>
      </c>
      <c r="K363" s="275">
        <v>0</v>
      </c>
      <c r="L363" s="274">
        <v>0</v>
      </c>
      <c r="M363" s="274">
        <v>1310000</v>
      </c>
      <c r="N363" s="274">
        <v>0</v>
      </c>
      <c r="O363" s="274">
        <v>0</v>
      </c>
      <c r="P363" s="274">
        <v>0</v>
      </c>
      <c r="Q363" s="274">
        <v>0</v>
      </c>
      <c r="R363" s="274">
        <v>0</v>
      </c>
      <c r="S363" s="274">
        <v>0</v>
      </c>
      <c r="T363" s="274">
        <v>0</v>
      </c>
      <c r="U363" s="274">
        <v>0</v>
      </c>
      <c r="V363" s="274">
        <v>0</v>
      </c>
      <c r="W363" s="274">
        <v>0</v>
      </c>
      <c r="X363" s="274">
        <v>0</v>
      </c>
      <c r="Y363" s="274">
        <v>0</v>
      </c>
      <c r="Z363" s="274">
        <v>0</v>
      </c>
      <c r="AA363" s="274">
        <v>0</v>
      </c>
      <c r="AB363" s="276">
        <v>2020</v>
      </c>
    </row>
    <row r="364" spans="1:28" s="6" customFormat="1" ht="35.25" x14ac:dyDescent="0.5">
      <c r="A364" s="6">
        <v>1</v>
      </c>
      <c r="B364" s="135">
        <f>SUBTOTAL(103,$A$7:A364)</f>
        <v>349</v>
      </c>
      <c r="C364" s="270" t="s">
        <v>2204</v>
      </c>
      <c r="D364" s="271">
        <f t="shared" si="18"/>
        <v>157762.79999999999</v>
      </c>
      <c r="E364" s="274">
        <v>31116.9</v>
      </c>
      <c r="F364" s="274">
        <v>0</v>
      </c>
      <c r="G364" s="274">
        <v>0</v>
      </c>
      <c r="H364" s="274">
        <v>0</v>
      </c>
      <c r="I364" s="274">
        <v>0</v>
      </c>
      <c r="J364" s="274">
        <v>0</v>
      </c>
      <c r="K364" s="275">
        <v>0</v>
      </c>
      <c r="L364" s="274">
        <v>0</v>
      </c>
      <c r="M364" s="274">
        <v>126645.9</v>
      </c>
      <c r="N364" s="274">
        <v>0</v>
      </c>
      <c r="O364" s="274">
        <v>0</v>
      </c>
      <c r="P364" s="274">
        <v>0</v>
      </c>
      <c r="Q364" s="274">
        <v>0</v>
      </c>
      <c r="R364" s="274">
        <v>0</v>
      </c>
      <c r="S364" s="274">
        <v>0</v>
      </c>
      <c r="T364" s="274">
        <v>0</v>
      </c>
      <c r="U364" s="274">
        <v>0</v>
      </c>
      <c r="V364" s="274">
        <v>0</v>
      </c>
      <c r="W364" s="274">
        <v>0</v>
      </c>
      <c r="X364" s="274">
        <v>0</v>
      </c>
      <c r="Y364" s="274">
        <v>0</v>
      </c>
      <c r="Z364" s="274">
        <v>0</v>
      </c>
      <c r="AA364" s="274">
        <v>0</v>
      </c>
      <c r="AB364" s="276">
        <v>2020</v>
      </c>
    </row>
    <row r="365" spans="1:28" s="6" customFormat="1" ht="35.25" x14ac:dyDescent="0.5">
      <c r="A365" s="6">
        <v>1</v>
      </c>
      <c r="B365" s="135">
        <f>SUBTOTAL(103,$A$7:A365)</f>
        <v>350</v>
      </c>
      <c r="C365" s="270" t="s">
        <v>2205</v>
      </c>
      <c r="D365" s="271">
        <f t="shared" si="18"/>
        <v>227500</v>
      </c>
      <c r="E365" s="274">
        <v>0</v>
      </c>
      <c r="F365" s="274">
        <v>0</v>
      </c>
      <c r="G365" s="274">
        <v>0</v>
      </c>
      <c r="H365" s="274">
        <v>0</v>
      </c>
      <c r="I365" s="274">
        <v>0</v>
      </c>
      <c r="J365" s="274">
        <v>0</v>
      </c>
      <c r="K365" s="275">
        <v>0</v>
      </c>
      <c r="L365" s="274">
        <v>0</v>
      </c>
      <c r="M365" s="274">
        <v>227500</v>
      </c>
      <c r="N365" s="274">
        <v>0</v>
      </c>
      <c r="O365" s="274">
        <v>0</v>
      </c>
      <c r="P365" s="274">
        <v>0</v>
      </c>
      <c r="Q365" s="274">
        <v>0</v>
      </c>
      <c r="R365" s="274">
        <v>0</v>
      </c>
      <c r="S365" s="274">
        <v>0</v>
      </c>
      <c r="T365" s="274">
        <v>0</v>
      </c>
      <c r="U365" s="274">
        <v>0</v>
      </c>
      <c r="V365" s="274">
        <v>0</v>
      </c>
      <c r="W365" s="274">
        <v>0</v>
      </c>
      <c r="X365" s="274">
        <v>0</v>
      </c>
      <c r="Y365" s="274">
        <v>0</v>
      </c>
      <c r="Z365" s="274">
        <v>0</v>
      </c>
      <c r="AA365" s="274">
        <v>0</v>
      </c>
      <c r="AB365" s="276">
        <v>2020</v>
      </c>
    </row>
    <row r="366" spans="1:28" s="6" customFormat="1" ht="35.25" x14ac:dyDescent="0.5">
      <c r="A366" s="6">
        <v>1</v>
      </c>
      <c r="B366" s="135">
        <f>SUBTOTAL(103,$A$7:A366)</f>
        <v>351</v>
      </c>
      <c r="C366" s="270" t="s">
        <v>2206</v>
      </c>
      <c r="D366" s="271">
        <f t="shared" si="18"/>
        <v>809392.57000000007</v>
      </c>
      <c r="E366" s="274">
        <v>0</v>
      </c>
      <c r="F366" s="274">
        <v>0</v>
      </c>
      <c r="G366" s="274">
        <v>0</v>
      </c>
      <c r="H366" s="274">
        <v>0</v>
      </c>
      <c r="I366" s="274">
        <v>0</v>
      </c>
      <c r="J366" s="274">
        <v>0</v>
      </c>
      <c r="K366" s="275">
        <v>1</v>
      </c>
      <c r="L366" s="274">
        <v>549000</v>
      </c>
      <c r="M366" s="274">
        <v>0</v>
      </c>
      <c r="N366" s="274">
        <v>260392.57</v>
      </c>
      <c r="O366" s="274">
        <v>0</v>
      </c>
      <c r="P366" s="274">
        <v>0</v>
      </c>
      <c r="Q366" s="274">
        <v>0</v>
      </c>
      <c r="R366" s="274">
        <v>0</v>
      </c>
      <c r="S366" s="274">
        <v>0</v>
      </c>
      <c r="T366" s="274">
        <v>0</v>
      </c>
      <c r="U366" s="274">
        <v>0</v>
      </c>
      <c r="V366" s="274">
        <v>0</v>
      </c>
      <c r="W366" s="274">
        <v>0</v>
      </c>
      <c r="X366" s="274">
        <v>0</v>
      </c>
      <c r="Y366" s="274">
        <v>0</v>
      </c>
      <c r="Z366" s="274">
        <v>0</v>
      </c>
      <c r="AA366" s="274">
        <v>0</v>
      </c>
      <c r="AB366" s="276">
        <v>2020</v>
      </c>
    </row>
    <row r="367" spans="1:28" s="6" customFormat="1" ht="35.25" x14ac:dyDescent="0.5">
      <c r="A367" s="6">
        <v>1</v>
      </c>
      <c r="B367" s="135">
        <f>SUBTOTAL(103,$A$7:A367)</f>
        <v>352</v>
      </c>
      <c r="C367" s="270" t="s">
        <v>2207</v>
      </c>
      <c r="D367" s="271">
        <f t="shared" si="18"/>
        <v>140197.16</v>
      </c>
      <c r="E367" s="274">
        <v>85000</v>
      </c>
      <c r="F367" s="274">
        <v>0</v>
      </c>
      <c r="G367" s="274">
        <v>0</v>
      </c>
      <c r="H367" s="274">
        <v>0</v>
      </c>
      <c r="I367" s="274">
        <v>0</v>
      </c>
      <c r="J367" s="274">
        <v>0</v>
      </c>
      <c r="K367" s="275">
        <v>0</v>
      </c>
      <c r="L367" s="274">
        <v>0</v>
      </c>
      <c r="M367" s="274">
        <v>55197.16</v>
      </c>
      <c r="N367" s="274">
        <v>0</v>
      </c>
      <c r="O367" s="274">
        <v>0</v>
      </c>
      <c r="P367" s="274">
        <v>0</v>
      </c>
      <c r="Q367" s="274">
        <v>0</v>
      </c>
      <c r="R367" s="274">
        <v>0</v>
      </c>
      <c r="S367" s="274">
        <v>0</v>
      </c>
      <c r="T367" s="274">
        <v>0</v>
      </c>
      <c r="U367" s="274">
        <v>0</v>
      </c>
      <c r="V367" s="274">
        <v>0</v>
      </c>
      <c r="W367" s="274">
        <v>0</v>
      </c>
      <c r="X367" s="274">
        <v>0</v>
      </c>
      <c r="Y367" s="274">
        <v>0</v>
      </c>
      <c r="Z367" s="274">
        <v>0</v>
      </c>
      <c r="AA367" s="274">
        <v>0</v>
      </c>
      <c r="AB367" s="276">
        <v>2020</v>
      </c>
    </row>
    <row r="368" spans="1:28" s="6" customFormat="1" ht="35.25" x14ac:dyDescent="0.5">
      <c r="A368" s="6">
        <v>1</v>
      </c>
      <c r="B368" s="135">
        <f>SUBTOTAL(103,$A$7:A368)</f>
        <v>353</v>
      </c>
      <c r="C368" s="270" t="s">
        <v>2208</v>
      </c>
      <c r="D368" s="271">
        <f t="shared" si="18"/>
        <v>374617</v>
      </c>
      <c r="E368" s="274">
        <v>187308.5</v>
      </c>
      <c r="F368" s="274">
        <v>187308.5</v>
      </c>
      <c r="G368" s="274">
        <v>0</v>
      </c>
      <c r="H368" s="274">
        <v>0</v>
      </c>
      <c r="I368" s="274">
        <v>0</v>
      </c>
      <c r="J368" s="274">
        <v>0</v>
      </c>
      <c r="K368" s="275">
        <v>0</v>
      </c>
      <c r="L368" s="274">
        <v>0</v>
      </c>
      <c r="M368" s="274">
        <v>0</v>
      </c>
      <c r="N368" s="274">
        <v>0</v>
      </c>
      <c r="O368" s="274">
        <v>0</v>
      </c>
      <c r="P368" s="274">
        <v>0</v>
      </c>
      <c r="Q368" s="274">
        <v>0</v>
      </c>
      <c r="R368" s="274">
        <v>0</v>
      </c>
      <c r="S368" s="274">
        <v>0</v>
      </c>
      <c r="T368" s="274">
        <v>0</v>
      </c>
      <c r="U368" s="274">
        <v>0</v>
      </c>
      <c r="V368" s="274">
        <v>0</v>
      </c>
      <c r="W368" s="274">
        <v>0</v>
      </c>
      <c r="X368" s="274">
        <v>0</v>
      </c>
      <c r="Y368" s="274">
        <v>0</v>
      </c>
      <c r="Z368" s="274">
        <v>0</v>
      </c>
      <c r="AA368" s="274">
        <v>0</v>
      </c>
      <c r="AB368" s="276">
        <v>2020</v>
      </c>
    </row>
    <row r="369" spans="1:28" s="6" customFormat="1" ht="35.25" x14ac:dyDescent="0.5">
      <c r="A369" s="6">
        <v>1</v>
      </c>
      <c r="B369" s="135">
        <f>SUBTOTAL(103,$A$7:A369)</f>
        <v>354</v>
      </c>
      <c r="C369" s="270" t="s">
        <v>2209</v>
      </c>
      <c r="D369" s="271">
        <f>E369+F369+G369+H369+I369+J369+L369+M369+N369+O369+P369+Q369+R369+S369+T369+U369+V369+W369+X369+Y369+Z369+AA369</f>
        <v>79041</v>
      </c>
      <c r="E369" s="274">
        <v>0</v>
      </c>
      <c r="F369" s="274">
        <v>0</v>
      </c>
      <c r="G369" s="274">
        <v>79041</v>
      </c>
      <c r="H369" s="274">
        <v>0</v>
      </c>
      <c r="I369" s="274">
        <v>0</v>
      </c>
      <c r="J369" s="274">
        <v>0</v>
      </c>
      <c r="K369" s="275">
        <v>0</v>
      </c>
      <c r="L369" s="274">
        <v>0</v>
      </c>
      <c r="M369" s="274">
        <v>0</v>
      </c>
      <c r="N369" s="274">
        <v>0</v>
      </c>
      <c r="O369" s="274">
        <v>0</v>
      </c>
      <c r="P369" s="274">
        <v>0</v>
      </c>
      <c r="Q369" s="274">
        <v>0</v>
      </c>
      <c r="R369" s="274">
        <v>0</v>
      </c>
      <c r="S369" s="274">
        <v>0</v>
      </c>
      <c r="T369" s="274">
        <v>0</v>
      </c>
      <c r="U369" s="274">
        <v>0</v>
      </c>
      <c r="V369" s="274">
        <v>0</v>
      </c>
      <c r="W369" s="274">
        <v>0</v>
      </c>
      <c r="X369" s="274">
        <v>0</v>
      </c>
      <c r="Y369" s="274">
        <v>0</v>
      </c>
      <c r="Z369" s="274">
        <v>0</v>
      </c>
      <c r="AA369" s="274">
        <v>0</v>
      </c>
      <c r="AB369" s="276">
        <v>2020</v>
      </c>
    </row>
    <row r="370" spans="1:28" s="6" customFormat="1" ht="35.25" x14ac:dyDescent="0.5">
      <c r="A370" s="6">
        <v>1</v>
      </c>
      <c r="B370" s="135">
        <f>SUBTOTAL(103,$A$7:A370)</f>
        <v>355</v>
      </c>
      <c r="C370" s="270" t="s">
        <v>2210</v>
      </c>
      <c r="D370" s="271">
        <f>E370+F370+G370+H370+I370+J370+L370+M370+N370+O370+P370+Q370+R370+S370+T370+U370+V370+W370+X370+Y370+Z370+AA370</f>
        <v>459221.82</v>
      </c>
      <c r="E370" s="274">
        <v>0</v>
      </c>
      <c r="F370" s="274">
        <v>0</v>
      </c>
      <c r="G370" s="274">
        <v>0</v>
      </c>
      <c r="H370" s="274">
        <v>0</v>
      </c>
      <c r="I370" s="274">
        <v>0</v>
      </c>
      <c r="J370" s="274">
        <v>0</v>
      </c>
      <c r="K370" s="275">
        <v>0</v>
      </c>
      <c r="L370" s="274">
        <v>0</v>
      </c>
      <c r="M370" s="274">
        <v>0</v>
      </c>
      <c r="N370" s="274">
        <v>0</v>
      </c>
      <c r="O370" s="274">
        <v>459221.82</v>
      </c>
      <c r="P370" s="274">
        <v>0</v>
      </c>
      <c r="Q370" s="274">
        <v>0</v>
      </c>
      <c r="R370" s="274">
        <v>0</v>
      </c>
      <c r="S370" s="274">
        <v>0</v>
      </c>
      <c r="T370" s="274">
        <v>0</v>
      </c>
      <c r="U370" s="274">
        <v>0</v>
      </c>
      <c r="V370" s="274">
        <v>0</v>
      </c>
      <c r="W370" s="274">
        <v>0</v>
      </c>
      <c r="X370" s="274">
        <v>0</v>
      </c>
      <c r="Y370" s="274">
        <v>0</v>
      </c>
      <c r="Z370" s="274">
        <v>0</v>
      </c>
      <c r="AA370" s="274">
        <v>0</v>
      </c>
      <c r="AB370" s="276">
        <v>2020</v>
      </c>
    </row>
    <row r="371" spans="1:28" s="6" customFormat="1" ht="35.25" x14ac:dyDescent="0.5">
      <c r="A371" s="6">
        <v>1</v>
      </c>
      <c r="B371" s="135">
        <f>SUBTOTAL(103,$A$7:A371)</f>
        <v>356</v>
      </c>
      <c r="C371" s="270" t="s">
        <v>2211</v>
      </c>
      <c r="D371" s="271">
        <v>297767</v>
      </c>
      <c r="E371" s="274">
        <v>0</v>
      </c>
      <c r="F371" s="274">
        <v>169948</v>
      </c>
      <c r="G371" s="274">
        <v>0</v>
      </c>
      <c r="H371" s="274">
        <v>127819</v>
      </c>
      <c r="I371" s="274">
        <v>0</v>
      </c>
      <c r="J371" s="274">
        <v>0</v>
      </c>
      <c r="K371" s="275">
        <v>0</v>
      </c>
      <c r="L371" s="274">
        <v>0</v>
      </c>
      <c r="M371" s="274">
        <v>0</v>
      </c>
      <c r="N371" s="274">
        <v>0</v>
      </c>
      <c r="O371" s="274">
        <v>0</v>
      </c>
      <c r="P371" s="274">
        <v>0</v>
      </c>
      <c r="Q371" s="274">
        <v>0</v>
      </c>
      <c r="R371" s="274">
        <v>0</v>
      </c>
      <c r="S371" s="274">
        <v>0</v>
      </c>
      <c r="T371" s="274">
        <v>0</v>
      </c>
      <c r="U371" s="274">
        <v>0</v>
      </c>
      <c r="V371" s="274">
        <v>0</v>
      </c>
      <c r="W371" s="274">
        <v>0</v>
      </c>
      <c r="X371" s="274">
        <v>0</v>
      </c>
      <c r="Y371" s="274">
        <v>0</v>
      </c>
      <c r="Z371" s="274">
        <v>0</v>
      </c>
      <c r="AA371" s="274">
        <v>0</v>
      </c>
      <c r="AB371" s="276">
        <v>2020</v>
      </c>
    </row>
    <row r="372" spans="1:28" s="6" customFormat="1" ht="35.25" customHeight="1" x14ac:dyDescent="0.5">
      <c r="B372" s="270" t="s">
        <v>1053</v>
      </c>
      <c r="C372" s="270"/>
      <c r="D372" s="271">
        <f>SUM(D373:D417)</f>
        <v>31138798.239999998</v>
      </c>
      <c r="E372" s="271">
        <f t="shared" ref="E372:AA372" si="19">SUM(E373:E417)</f>
        <v>117495</v>
      </c>
      <c r="F372" s="271">
        <f t="shared" si="19"/>
        <v>1074867.2</v>
      </c>
      <c r="G372" s="271">
        <f t="shared" si="19"/>
        <v>7681119.2599999988</v>
      </c>
      <c r="H372" s="271">
        <f t="shared" si="19"/>
        <v>155581.73000000001</v>
      </c>
      <c r="I372" s="271">
        <f t="shared" si="19"/>
        <v>839366</v>
      </c>
      <c r="J372" s="271">
        <f t="shared" si="19"/>
        <v>0</v>
      </c>
      <c r="K372" s="275">
        <f t="shared" si="19"/>
        <v>8</v>
      </c>
      <c r="L372" s="271">
        <f t="shared" si="19"/>
        <v>7447978</v>
      </c>
      <c r="M372" s="271">
        <f t="shared" si="19"/>
        <v>9343208.8900000006</v>
      </c>
      <c r="N372" s="271">
        <f t="shared" si="19"/>
        <v>1396192.1</v>
      </c>
      <c r="O372" s="271">
        <f t="shared" si="19"/>
        <v>2840112.46</v>
      </c>
      <c r="P372" s="271">
        <f t="shared" si="19"/>
        <v>242877.6</v>
      </c>
      <c r="Q372" s="271">
        <f t="shared" si="19"/>
        <v>0</v>
      </c>
      <c r="R372" s="271">
        <f t="shared" si="19"/>
        <v>0</v>
      </c>
      <c r="S372" s="271">
        <f t="shared" si="19"/>
        <v>0</v>
      </c>
      <c r="T372" s="271">
        <f t="shared" si="19"/>
        <v>0</v>
      </c>
      <c r="U372" s="271">
        <f t="shared" si="19"/>
        <v>0</v>
      </c>
      <c r="V372" s="271">
        <f t="shared" si="19"/>
        <v>0</v>
      </c>
      <c r="W372" s="271">
        <f t="shared" si="19"/>
        <v>0</v>
      </c>
      <c r="X372" s="271">
        <f t="shared" si="19"/>
        <v>0</v>
      </c>
      <c r="Y372" s="271">
        <f t="shared" si="19"/>
        <v>0</v>
      </c>
      <c r="Z372" s="271">
        <f t="shared" si="19"/>
        <v>0</v>
      </c>
      <c r="AA372" s="271">
        <f t="shared" si="19"/>
        <v>0</v>
      </c>
      <c r="AB372" s="273" t="s">
        <v>896</v>
      </c>
    </row>
    <row r="373" spans="1:28" s="6" customFormat="1" ht="35.25" customHeight="1" x14ac:dyDescent="0.5">
      <c r="A373" s="6">
        <v>1</v>
      </c>
      <c r="B373" s="135">
        <f>SUBTOTAL(103,$A$7:A373)</f>
        <v>357</v>
      </c>
      <c r="C373" s="270" t="s">
        <v>1865</v>
      </c>
      <c r="D373" s="271">
        <f t="shared" ref="D373:D390" si="20">E373+F373+G373+H373+I373+J373+L373+M373+N373+O373+P373+Q373+R373+S373+T373+U373+V373+W373+X373+Y373+Z373+AA373</f>
        <v>446839.2</v>
      </c>
      <c r="E373" s="274">
        <v>0</v>
      </c>
      <c r="F373" s="274">
        <v>446839.2</v>
      </c>
      <c r="G373" s="274">
        <v>0</v>
      </c>
      <c r="H373" s="274">
        <v>0</v>
      </c>
      <c r="I373" s="274">
        <v>0</v>
      </c>
      <c r="J373" s="274">
        <v>0</v>
      </c>
      <c r="K373" s="275">
        <v>0</v>
      </c>
      <c r="L373" s="274">
        <v>0</v>
      </c>
      <c r="M373" s="274">
        <v>0</v>
      </c>
      <c r="N373" s="274">
        <v>0</v>
      </c>
      <c r="O373" s="274">
        <v>0</v>
      </c>
      <c r="P373" s="274">
        <v>0</v>
      </c>
      <c r="Q373" s="274">
        <v>0</v>
      </c>
      <c r="R373" s="274">
        <v>0</v>
      </c>
      <c r="S373" s="274">
        <v>0</v>
      </c>
      <c r="T373" s="274">
        <v>0</v>
      </c>
      <c r="U373" s="274">
        <v>0</v>
      </c>
      <c r="V373" s="274">
        <v>0</v>
      </c>
      <c r="W373" s="274">
        <v>0</v>
      </c>
      <c r="X373" s="274">
        <v>0</v>
      </c>
      <c r="Y373" s="274">
        <v>0</v>
      </c>
      <c r="Z373" s="274">
        <v>0</v>
      </c>
      <c r="AA373" s="274">
        <v>0</v>
      </c>
      <c r="AB373" s="276">
        <v>2020</v>
      </c>
    </row>
    <row r="374" spans="1:28" s="6" customFormat="1" ht="35.25" x14ac:dyDescent="0.5">
      <c r="A374" s="6">
        <v>1</v>
      </c>
      <c r="B374" s="135">
        <f>SUBTOTAL(103,$A$7:A374)</f>
        <v>358</v>
      </c>
      <c r="C374" s="270" t="s">
        <v>1866</v>
      </c>
      <c r="D374" s="271">
        <f t="shared" si="20"/>
        <v>759667.19</v>
      </c>
      <c r="E374" s="274">
        <v>0</v>
      </c>
      <c r="F374" s="274">
        <v>0</v>
      </c>
      <c r="G374" s="274">
        <v>0</v>
      </c>
      <c r="H374" s="274">
        <v>0</v>
      </c>
      <c r="I374" s="274">
        <v>0</v>
      </c>
      <c r="J374" s="274">
        <v>0</v>
      </c>
      <c r="K374" s="275">
        <v>0</v>
      </c>
      <c r="L374" s="274">
        <v>0</v>
      </c>
      <c r="M374" s="274">
        <v>759667.19</v>
      </c>
      <c r="N374" s="274">
        <v>0</v>
      </c>
      <c r="O374" s="274">
        <v>0</v>
      </c>
      <c r="P374" s="274">
        <v>0</v>
      </c>
      <c r="Q374" s="274">
        <v>0</v>
      </c>
      <c r="R374" s="274">
        <v>0</v>
      </c>
      <c r="S374" s="274">
        <v>0</v>
      </c>
      <c r="T374" s="274">
        <v>0</v>
      </c>
      <c r="U374" s="274">
        <v>0</v>
      </c>
      <c r="V374" s="274">
        <v>0</v>
      </c>
      <c r="W374" s="274">
        <v>0</v>
      </c>
      <c r="X374" s="274">
        <v>0</v>
      </c>
      <c r="Y374" s="274">
        <v>0</v>
      </c>
      <c r="Z374" s="274">
        <v>0</v>
      </c>
      <c r="AA374" s="274">
        <v>0</v>
      </c>
      <c r="AB374" s="276">
        <v>2020</v>
      </c>
    </row>
    <row r="375" spans="1:28" s="6" customFormat="1" ht="35.25" x14ac:dyDescent="0.5">
      <c r="A375" s="6">
        <v>1</v>
      </c>
      <c r="B375" s="135">
        <f>SUBTOTAL(103,$A$7:A375)</f>
        <v>359</v>
      </c>
      <c r="C375" s="270" t="s">
        <v>1867</v>
      </c>
      <c r="D375" s="271">
        <f t="shared" si="20"/>
        <v>555588.6</v>
      </c>
      <c r="E375" s="274">
        <v>0</v>
      </c>
      <c r="F375" s="274">
        <v>0</v>
      </c>
      <c r="G375" s="274">
        <v>312711</v>
      </c>
      <c r="H375" s="274">
        <v>0</v>
      </c>
      <c r="I375" s="274">
        <v>0</v>
      </c>
      <c r="J375" s="274">
        <v>0</v>
      </c>
      <c r="K375" s="275">
        <v>0</v>
      </c>
      <c r="L375" s="274">
        <v>0</v>
      </c>
      <c r="M375" s="274">
        <v>0</v>
      </c>
      <c r="N375" s="274">
        <v>0</v>
      </c>
      <c r="O375" s="274">
        <v>0</v>
      </c>
      <c r="P375" s="274">
        <v>242877.6</v>
      </c>
      <c r="Q375" s="274">
        <v>0</v>
      </c>
      <c r="R375" s="274">
        <v>0</v>
      </c>
      <c r="S375" s="274">
        <v>0</v>
      </c>
      <c r="T375" s="274">
        <v>0</v>
      </c>
      <c r="U375" s="274">
        <v>0</v>
      </c>
      <c r="V375" s="274">
        <v>0</v>
      </c>
      <c r="W375" s="274">
        <v>0</v>
      </c>
      <c r="X375" s="274">
        <v>0</v>
      </c>
      <c r="Y375" s="274">
        <v>0</v>
      </c>
      <c r="Z375" s="274">
        <v>0</v>
      </c>
      <c r="AA375" s="274">
        <v>0</v>
      </c>
      <c r="AB375" s="276">
        <v>2020</v>
      </c>
    </row>
    <row r="376" spans="1:28" s="6" customFormat="1" ht="35.25" customHeight="1" x14ac:dyDescent="0.5">
      <c r="A376" s="6">
        <v>1</v>
      </c>
      <c r="B376" s="135">
        <f>SUBTOTAL(103,$A$7:A376)</f>
        <v>360</v>
      </c>
      <c r="C376" s="270" t="s">
        <v>1868</v>
      </c>
      <c r="D376" s="271">
        <f t="shared" si="20"/>
        <v>1750000</v>
      </c>
      <c r="E376" s="274">
        <v>0</v>
      </c>
      <c r="F376" s="274">
        <v>0</v>
      </c>
      <c r="G376" s="274">
        <v>0</v>
      </c>
      <c r="H376" s="274">
        <v>0</v>
      </c>
      <c r="I376" s="274">
        <v>0</v>
      </c>
      <c r="J376" s="274">
        <v>0</v>
      </c>
      <c r="K376" s="275">
        <v>1</v>
      </c>
      <c r="L376" s="274">
        <v>1750000</v>
      </c>
      <c r="M376" s="274">
        <v>0</v>
      </c>
      <c r="N376" s="274">
        <v>0</v>
      </c>
      <c r="O376" s="274">
        <v>0</v>
      </c>
      <c r="P376" s="274">
        <v>0</v>
      </c>
      <c r="Q376" s="274">
        <v>0</v>
      </c>
      <c r="R376" s="274">
        <v>0</v>
      </c>
      <c r="S376" s="274">
        <v>0</v>
      </c>
      <c r="T376" s="274">
        <v>0</v>
      </c>
      <c r="U376" s="274">
        <v>0</v>
      </c>
      <c r="V376" s="274">
        <v>0</v>
      </c>
      <c r="W376" s="274">
        <v>0</v>
      </c>
      <c r="X376" s="274">
        <v>0</v>
      </c>
      <c r="Y376" s="274">
        <v>0</v>
      </c>
      <c r="Z376" s="274">
        <v>0</v>
      </c>
      <c r="AA376" s="274">
        <v>0</v>
      </c>
      <c r="AB376" s="276">
        <v>2020</v>
      </c>
    </row>
    <row r="377" spans="1:28" s="6" customFormat="1" ht="35.25" x14ac:dyDescent="0.5">
      <c r="A377" s="6">
        <v>1</v>
      </c>
      <c r="B377" s="135">
        <f>SUBTOTAL(103,$A$7:A377)</f>
        <v>361</v>
      </c>
      <c r="C377" s="270" t="s">
        <v>1869</v>
      </c>
      <c r="D377" s="271">
        <f t="shared" si="20"/>
        <v>1237634</v>
      </c>
      <c r="E377" s="274">
        <v>0</v>
      </c>
      <c r="F377" s="274">
        <v>0</v>
      </c>
      <c r="G377" s="274">
        <v>0</v>
      </c>
      <c r="H377" s="274">
        <v>0</v>
      </c>
      <c r="I377" s="274">
        <v>0</v>
      </c>
      <c r="J377" s="274">
        <v>0</v>
      </c>
      <c r="K377" s="275">
        <v>1</v>
      </c>
      <c r="L377" s="274">
        <v>1237634</v>
      </c>
      <c r="M377" s="274">
        <v>0</v>
      </c>
      <c r="N377" s="274">
        <v>0</v>
      </c>
      <c r="O377" s="274">
        <v>0</v>
      </c>
      <c r="P377" s="274">
        <v>0</v>
      </c>
      <c r="Q377" s="274">
        <v>0</v>
      </c>
      <c r="R377" s="274">
        <v>0</v>
      </c>
      <c r="S377" s="274">
        <v>0</v>
      </c>
      <c r="T377" s="274">
        <v>0</v>
      </c>
      <c r="U377" s="274">
        <v>0</v>
      </c>
      <c r="V377" s="274">
        <v>0</v>
      </c>
      <c r="W377" s="274">
        <v>0</v>
      </c>
      <c r="X377" s="274">
        <v>0</v>
      </c>
      <c r="Y377" s="274">
        <v>0</v>
      </c>
      <c r="Z377" s="274">
        <v>0</v>
      </c>
      <c r="AA377" s="274">
        <v>0</v>
      </c>
      <c r="AB377" s="276">
        <v>2020</v>
      </c>
    </row>
    <row r="378" spans="1:28" s="6" customFormat="1" ht="35.25" customHeight="1" x14ac:dyDescent="0.5">
      <c r="A378" s="6">
        <v>1</v>
      </c>
      <c r="B378" s="135">
        <f>SUBTOTAL(103,$A$7:A378)</f>
        <v>362</v>
      </c>
      <c r="C378" s="270" t="s">
        <v>1870</v>
      </c>
      <c r="D378" s="271">
        <f t="shared" si="20"/>
        <v>310860</v>
      </c>
      <c r="E378" s="274">
        <v>0</v>
      </c>
      <c r="F378" s="274">
        <v>0</v>
      </c>
      <c r="G378" s="274">
        <v>0</v>
      </c>
      <c r="H378" s="274">
        <v>0</v>
      </c>
      <c r="I378" s="274">
        <v>0</v>
      </c>
      <c r="J378" s="274">
        <v>0</v>
      </c>
      <c r="K378" s="275">
        <v>0</v>
      </c>
      <c r="L378" s="274">
        <v>0</v>
      </c>
      <c r="M378" s="274">
        <v>0</v>
      </c>
      <c r="N378" s="274">
        <v>0</v>
      </c>
      <c r="O378" s="274">
        <v>310860</v>
      </c>
      <c r="P378" s="274">
        <v>0</v>
      </c>
      <c r="Q378" s="274">
        <v>0</v>
      </c>
      <c r="R378" s="274">
        <v>0</v>
      </c>
      <c r="S378" s="274">
        <v>0</v>
      </c>
      <c r="T378" s="274">
        <v>0</v>
      </c>
      <c r="U378" s="274">
        <v>0</v>
      </c>
      <c r="V378" s="274">
        <v>0</v>
      </c>
      <c r="W378" s="274">
        <v>0</v>
      </c>
      <c r="X378" s="274">
        <v>0</v>
      </c>
      <c r="Y378" s="274">
        <v>0</v>
      </c>
      <c r="Z378" s="274">
        <v>0</v>
      </c>
      <c r="AA378" s="274">
        <v>0</v>
      </c>
      <c r="AB378" s="276">
        <v>2020</v>
      </c>
    </row>
    <row r="379" spans="1:28" s="6" customFormat="1" ht="35.25" x14ac:dyDescent="0.5">
      <c r="A379" s="6">
        <v>1</v>
      </c>
      <c r="B379" s="135">
        <f>SUBTOTAL(103,$A$7:A379)</f>
        <v>363</v>
      </c>
      <c r="C379" s="270" t="s">
        <v>1871</v>
      </c>
      <c r="D379" s="271">
        <f t="shared" si="20"/>
        <v>209441.4</v>
      </c>
      <c r="E379" s="274">
        <v>0</v>
      </c>
      <c r="F379" s="274">
        <v>0</v>
      </c>
      <c r="G379" s="274">
        <v>209441.4</v>
      </c>
      <c r="H379" s="274">
        <v>0</v>
      </c>
      <c r="I379" s="274">
        <v>0</v>
      </c>
      <c r="J379" s="274">
        <v>0</v>
      </c>
      <c r="K379" s="275">
        <v>0</v>
      </c>
      <c r="L379" s="274">
        <v>0</v>
      </c>
      <c r="M379" s="274">
        <v>0</v>
      </c>
      <c r="N379" s="274">
        <v>0</v>
      </c>
      <c r="O379" s="274">
        <v>0</v>
      </c>
      <c r="P379" s="274">
        <v>0</v>
      </c>
      <c r="Q379" s="274">
        <v>0</v>
      </c>
      <c r="R379" s="274">
        <v>0</v>
      </c>
      <c r="S379" s="274">
        <v>0</v>
      </c>
      <c r="T379" s="274">
        <v>0</v>
      </c>
      <c r="U379" s="274">
        <v>0</v>
      </c>
      <c r="V379" s="274">
        <v>0</v>
      </c>
      <c r="W379" s="274">
        <v>0</v>
      </c>
      <c r="X379" s="274">
        <v>0</v>
      </c>
      <c r="Y379" s="274">
        <v>0</v>
      </c>
      <c r="Z379" s="274">
        <v>0</v>
      </c>
      <c r="AA379" s="274">
        <v>0</v>
      </c>
      <c r="AB379" s="276">
        <v>2020</v>
      </c>
    </row>
    <row r="380" spans="1:28" s="6" customFormat="1" ht="35.25" x14ac:dyDescent="0.5">
      <c r="A380" s="6">
        <v>1</v>
      </c>
      <c r="B380" s="135">
        <f>SUBTOTAL(103,$A$7:A380)</f>
        <v>364</v>
      </c>
      <c r="C380" s="270" t="s">
        <v>1872</v>
      </c>
      <c r="D380" s="271">
        <f t="shared" si="20"/>
        <v>905050</v>
      </c>
      <c r="E380" s="274">
        <v>0</v>
      </c>
      <c r="F380" s="274">
        <v>0</v>
      </c>
      <c r="G380" s="274">
        <v>47050</v>
      </c>
      <c r="H380" s="274">
        <v>0</v>
      </c>
      <c r="I380" s="274">
        <v>0</v>
      </c>
      <c r="J380" s="274">
        <v>0</v>
      </c>
      <c r="K380" s="275">
        <v>0</v>
      </c>
      <c r="L380" s="274">
        <v>0</v>
      </c>
      <c r="M380" s="274">
        <v>858000</v>
      </c>
      <c r="N380" s="274">
        <v>0</v>
      </c>
      <c r="O380" s="274">
        <v>0</v>
      </c>
      <c r="P380" s="274">
        <v>0</v>
      </c>
      <c r="Q380" s="274">
        <v>0</v>
      </c>
      <c r="R380" s="274">
        <v>0</v>
      </c>
      <c r="S380" s="274">
        <v>0</v>
      </c>
      <c r="T380" s="274">
        <v>0</v>
      </c>
      <c r="U380" s="274">
        <v>0</v>
      </c>
      <c r="V380" s="274">
        <v>0</v>
      </c>
      <c r="W380" s="274">
        <v>0</v>
      </c>
      <c r="X380" s="274">
        <v>0</v>
      </c>
      <c r="Y380" s="274">
        <v>0</v>
      </c>
      <c r="Z380" s="274">
        <v>0</v>
      </c>
      <c r="AA380" s="274">
        <v>0</v>
      </c>
      <c r="AB380" s="276">
        <v>2020</v>
      </c>
    </row>
    <row r="381" spans="1:28" s="6" customFormat="1" ht="35.25" customHeight="1" x14ac:dyDescent="0.5">
      <c r="A381" s="6">
        <v>1</v>
      </c>
      <c r="B381" s="135">
        <f>SUBTOTAL(103,$A$7:A381)</f>
        <v>365</v>
      </c>
      <c r="C381" s="270" t="s">
        <v>1873</v>
      </c>
      <c r="D381" s="271">
        <f t="shared" si="20"/>
        <v>258344.1</v>
      </c>
      <c r="E381" s="274">
        <v>0</v>
      </c>
      <c r="F381" s="274">
        <v>0</v>
      </c>
      <c r="G381" s="274">
        <v>0</v>
      </c>
      <c r="H381" s="274">
        <v>0</v>
      </c>
      <c r="I381" s="274">
        <v>0</v>
      </c>
      <c r="J381" s="274">
        <v>0</v>
      </c>
      <c r="K381" s="275">
        <v>0</v>
      </c>
      <c r="L381" s="274">
        <v>0</v>
      </c>
      <c r="M381" s="274">
        <v>0</v>
      </c>
      <c r="N381" s="274">
        <v>258344.1</v>
      </c>
      <c r="O381" s="274">
        <v>0</v>
      </c>
      <c r="P381" s="274">
        <v>0</v>
      </c>
      <c r="Q381" s="274">
        <v>0</v>
      </c>
      <c r="R381" s="274">
        <v>0</v>
      </c>
      <c r="S381" s="274">
        <v>0</v>
      </c>
      <c r="T381" s="274">
        <v>0</v>
      </c>
      <c r="U381" s="274">
        <v>0</v>
      </c>
      <c r="V381" s="274">
        <v>0</v>
      </c>
      <c r="W381" s="274">
        <v>0</v>
      </c>
      <c r="X381" s="274">
        <v>0</v>
      </c>
      <c r="Y381" s="274">
        <v>0</v>
      </c>
      <c r="Z381" s="274">
        <v>0</v>
      </c>
      <c r="AA381" s="274">
        <v>0</v>
      </c>
      <c r="AB381" s="276">
        <v>2020</v>
      </c>
    </row>
    <row r="382" spans="1:28" s="6" customFormat="1" ht="35.25" customHeight="1" x14ac:dyDescent="0.5">
      <c r="A382" s="6">
        <v>1</v>
      </c>
      <c r="B382" s="135">
        <f>SUBTOTAL(103,$A$7:A382)</f>
        <v>366</v>
      </c>
      <c r="C382" s="270" t="s">
        <v>1874</v>
      </c>
      <c r="D382" s="271">
        <f t="shared" si="20"/>
        <v>543814</v>
      </c>
      <c r="E382" s="274">
        <v>0</v>
      </c>
      <c r="F382" s="274">
        <v>0</v>
      </c>
      <c r="G382" s="274">
        <v>0</v>
      </c>
      <c r="H382" s="274">
        <v>0</v>
      </c>
      <c r="I382" s="274">
        <v>0</v>
      </c>
      <c r="J382" s="274">
        <v>0</v>
      </c>
      <c r="K382" s="275">
        <v>0</v>
      </c>
      <c r="L382" s="274">
        <v>0</v>
      </c>
      <c r="M382" s="274">
        <v>543814</v>
      </c>
      <c r="N382" s="274">
        <v>0</v>
      </c>
      <c r="O382" s="274">
        <v>0</v>
      </c>
      <c r="P382" s="274">
        <v>0</v>
      </c>
      <c r="Q382" s="274">
        <v>0</v>
      </c>
      <c r="R382" s="274">
        <v>0</v>
      </c>
      <c r="S382" s="274">
        <v>0</v>
      </c>
      <c r="T382" s="274">
        <v>0</v>
      </c>
      <c r="U382" s="274">
        <v>0</v>
      </c>
      <c r="V382" s="274">
        <v>0</v>
      </c>
      <c r="W382" s="274">
        <v>0</v>
      </c>
      <c r="X382" s="274">
        <v>0</v>
      </c>
      <c r="Y382" s="274">
        <v>0</v>
      </c>
      <c r="Z382" s="274">
        <v>0</v>
      </c>
      <c r="AA382" s="274">
        <v>0</v>
      </c>
      <c r="AB382" s="276">
        <v>2020</v>
      </c>
    </row>
    <row r="383" spans="1:28" s="6" customFormat="1" ht="35.25" x14ac:dyDescent="0.5">
      <c r="A383" s="6">
        <v>1</v>
      </c>
      <c r="B383" s="135">
        <f>SUBTOTAL(103,$A$7:A383)</f>
        <v>367</v>
      </c>
      <c r="C383" s="270" t="s">
        <v>1875</v>
      </c>
      <c r="D383" s="271">
        <f t="shared" si="20"/>
        <v>1390097</v>
      </c>
      <c r="E383" s="274">
        <v>0</v>
      </c>
      <c r="F383" s="274">
        <v>0</v>
      </c>
      <c r="G383" s="274">
        <v>0</v>
      </c>
      <c r="H383" s="274">
        <v>0</v>
      </c>
      <c r="I383" s="274">
        <v>0</v>
      </c>
      <c r="J383" s="274">
        <v>0</v>
      </c>
      <c r="K383" s="275">
        <v>0</v>
      </c>
      <c r="L383" s="274">
        <v>0</v>
      </c>
      <c r="M383" s="274">
        <v>1390097</v>
      </c>
      <c r="N383" s="274">
        <v>0</v>
      </c>
      <c r="O383" s="274">
        <v>0</v>
      </c>
      <c r="P383" s="274">
        <v>0</v>
      </c>
      <c r="Q383" s="274">
        <v>0</v>
      </c>
      <c r="R383" s="274">
        <v>0</v>
      </c>
      <c r="S383" s="274">
        <v>0</v>
      </c>
      <c r="T383" s="274">
        <v>0</v>
      </c>
      <c r="U383" s="274">
        <v>0</v>
      </c>
      <c r="V383" s="274">
        <v>0</v>
      </c>
      <c r="W383" s="274">
        <v>0</v>
      </c>
      <c r="X383" s="274">
        <v>0</v>
      </c>
      <c r="Y383" s="274">
        <v>0</v>
      </c>
      <c r="Z383" s="274">
        <v>0</v>
      </c>
      <c r="AA383" s="274">
        <v>0</v>
      </c>
      <c r="AB383" s="276">
        <v>2020</v>
      </c>
    </row>
    <row r="384" spans="1:28" s="6" customFormat="1" ht="35.25" x14ac:dyDescent="0.5">
      <c r="A384" s="6">
        <v>1</v>
      </c>
      <c r="B384" s="135">
        <f>SUBTOTAL(103,$A$7:A384)</f>
        <v>368</v>
      </c>
      <c r="C384" s="270" t="s">
        <v>1876</v>
      </c>
      <c r="D384" s="271">
        <f t="shared" si="20"/>
        <v>863796</v>
      </c>
      <c r="E384" s="274">
        <v>0</v>
      </c>
      <c r="F384" s="274">
        <v>0</v>
      </c>
      <c r="G384" s="274">
        <v>0</v>
      </c>
      <c r="H384" s="274">
        <v>0</v>
      </c>
      <c r="I384" s="274">
        <v>0</v>
      </c>
      <c r="J384" s="274">
        <v>0</v>
      </c>
      <c r="K384" s="275">
        <v>1</v>
      </c>
      <c r="L384" s="274">
        <v>82796</v>
      </c>
      <c r="M384" s="274">
        <v>781000</v>
      </c>
      <c r="N384" s="274">
        <v>0</v>
      </c>
      <c r="O384" s="274">
        <v>0</v>
      </c>
      <c r="P384" s="274">
        <v>0</v>
      </c>
      <c r="Q384" s="274">
        <v>0</v>
      </c>
      <c r="R384" s="274">
        <v>0</v>
      </c>
      <c r="S384" s="274">
        <v>0</v>
      </c>
      <c r="T384" s="274">
        <v>0</v>
      </c>
      <c r="U384" s="274">
        <v>0</v>
      </c>
      <c r="V384" s="274">
        <v>0</v>
      </c>
      <c r="W384" s="274">
        <v>0</v>
      </c>
      <c r="X384" s="274">
        <v>0</v>
      </c>
      <c r="Y384" s="274">
        <v>0</v>
      </c>
      <c r="Z384" s="274">
        <v>0</v>
      </c>
      <c r="AA384" s="274">
        <v>0</v>
      </c>
      <c r="AB384" s="276">
        <v>2020</v>
      </c>
    </row>
    <row r="385" spans="1:28" s="6" customFormat="1" ht="35.25" customHeight="1" x14ac:dyDescent="0.5">
      <c r="A385" s="6">
        <v>1</v>
      </c>
      <c r="B385" s="135">
        <f>SUBTOTAL(103,$A$7:A385)</f>
        <v>369</v>
      </c>
      <c r="C385" s="270" t="s">
        <v>1877</v>
      </c>
      <c r="D385" s="271">
        <f t="shared" si="20"/>
        <v>330086</v>
      </c>
      <c r="E385" s="274">
        <v>0</v>
      </c>
      <c r="F385" s="274">
        <v>0</v>
      </c>
      <c r="G385" s="274">
        <v>330086</v>
      </c>
      <c r="H385" s="274">
        <v>0</v>
      </c>
      <c r="I385" s="274">
        <v>0</v>
      </c>
      <c r="J385" s="274">
        <v>0</v>
      </c>
      <c r="K385" s="275">
        <v>0</v>
      </c>
      <c r="L385" s="274">
        <v>0</v>
      </c>
      <c r="M385" s="274">
        <v>0</v>
      </c>
      <c r="N385" s="274">
        <v>0</v>
      </c>
      <c r="O385" s="274">
        <v>0</v>
      </c>
      <c r="P385" s="274">
        <v>0</v>
      </c>
      <c r="Q385" s="274">
        <v>0</v>
      </c>
      <c r="R385" s="274">
        <v>0</v>
      </c>
      <c r="S385" s="274">
        <v>0</v>
      </c>
      <c r="T385" s="274">
        <v>0</v>
      </c>
      <c r="U385" s="274">
        <v>0</v>
      </c>
      <c r="V385" s="274">
        <v>0</v>
      </c>
      <c r="W385" s="274">
        <v>0</v>
      </c>
      <c r="X385" s="274">
        <v>0</v>
      </c>
      <c r="Y385" s="274">
        <v>0</v>
      </c>
      <c r="Z385" s="274">
        <v>0</v>
      </c>
      <c r="AA385" s="274">
        <v>0</v>
      </c>
      <c r="AB385" s="276">
        <v>2020</v>
      </c>
    </row>
    <row r="386" spans="1:28" s="6" customFormat="1" ht="35.25" customHeight="1" x14ac:dyDescent="0.5">
      <c r="A386" s="6">
        <v>1</v>
      </c>
      <c r="B386" s="135">
        <f>SUBTOTAL(103,$A$7:A386)</f>
        <v>370</v>
      </c>
      <c r="C386" s="270" t="s">
        <v>1878</v>
      </c>
      <c r="D386" s="271">
        <f t="shared" si="20"/>
        <v>693526</v>
      </c>
      <c r="E386" s="274">
        <v>0</v>
      </c>
      <c r="F386" s="274">
        <v>0</v>
      </c>
      <c r="G386" s="274">
        <v>0</v>
      </c>
      <c r="H386" s="274">
        <v>0</v>
      </c>
      <c r="I386" s="274">
        <v>0</v>
      </c>
      <c r="J386" s="274">
        <v>0</v>
      </c>
      <c r="K386" s="275">
        <v>0</v>
      </c>
      <c r="L386" s="274">
        <v>0</v>
      </c>
      <c r="M386" s="274">
        <v>693526</v>
      </c>
      <c r="N386" s="274">
        <v>0</v>
      </c>
      <c r="O386" s="274">
        <v>0</v>
      </c>
      <c r="P386" s="274">
        <v>0</v>
      </c>
      <c r="Q386" s="274">
        <v>0</v>
      </c>
      <c r="R386" s="274">
        <v>0</v>
      </c>
      <c r="S386" s="274">
        <v>0</v>
      </c>
      <c r="T386" s="274">
        <v>0</v>
      </c>
      <c r="U386" s="274">
        <v>0</v>
      </c>
      <c r="V386" s="274">
        <v>0</v>
      </c>
      <c r="W386" s="274">
        <v>0</v>
      </c>
      <c r="X386" s="274">
        <v>0</v>
      </c>
      <c r="Y386" s="274">
        <v>0</v>
      </c>
      <c r="Z386" s="274">
        <v>0</v>
      </c>
      <c r="AA386" s="274">
        <v>0</v>
      </c>
      <c r="AB386" s="276">
        <v>2020</v>
      </c>
    </row>
    <row r="387" spans="1:28" s="6" customFormat="1" ht="35.25" customHeight="1" x14ac:dyDescent="0.5">
      <c r="A387" s="6">
        <v>1</v>
      </c>
      <c r="B387" s="135">
        <f>SUBTOTAL(103,$A$7:A387)</f>
        <v>371</v>
      </c>
      <c r="C387" s="270" t="s">
        <v>1879</v>
      </c>
      <c r="D387" s="271">
        <f t="shared" si="20"/>
        <v>347354</v>
      </c>
      <c r="E387" s="274">
        <v>0</v>
      </c>
      <c r="F387" s="274">
        <v>0</v>
      </c>
      <c r="G387" s="274">
        <v>0</v>
      </c>
      <c r="H387" s="274">
        <v>0</v>
      </c>
      <c r="I387" s="274">
        <v>347354</v>
      </c>
      <c r="J387" s="274">
        <v>0</v>
      </c>
      <c r="K387" s="275">
        <v>0</v>
      </c>
      <c r="L387" s="274">
        <v>0</v>
      </c>
      <c r="M387" s="274">
        <v>0</v>
      </c>
      <c r="N387" s="274">
        <v>0</v>
      </c>
      <c r="O387" s="274">
        <v>0</v>
      </c>
      <c r="P387" s="274">
        <v>0</v>
      </c>
      <c r="Q387" s="274">
        <v>0</v>
      </c>
      <c r="R387" s="274">
        <v>0</v>
      </c>
      <c r="S387" s="274">
        <v>0</v>
      </c>
      <c r="T387" s="274">
        <v>0</v>
      </c>
      <c r="U387" s="274">
        <v>0</v>
      </c>
      <c r="V387" s="274">
        <v>0</v>
      </c>
      <c r="W387" s="274">
        <v>0</v>
      </c>
      <c r="X387" s="274">
        <v>0</v>
      </c>
      <c r="Y387" s="274">
        <v>0</v>
      </c>
      <c r="Z387" s="274">
        <v>0</v>
      </c>
      <c r="AA387" s="274">
        <v>0</v>
      </c>
      <c r="AB387" s="276">
        <v>2020</v>
      </c>
    </row>
    <row r="388" spans="1:28" s="6" customFormat="1" ht="35.25" customHeight="1" x14ac:dyDescent="0.5">
      <c r="A388" s="6">
        <v>1</v>
      </c>
      <c r="B388" s="135">
        <f>SUBTOTAL(103,$A$7:A388)</f>
        <v>372</v>
      </c>
      <c r="C388" s="270" t="s">
        <v>1880</v>
      </c>
      <c r="D388" s="271">
        <f t="shared" si="20"/>
        <v>1832116</v>
      </c>
      <c r="E388" s="274">
        <v>0</v>
      </c>
      <c r="F388" s="274">
        <v>0</v>
      </c>
      <c r="G388" s="274">
        <v>0</v>
      </c>
      <c r="H388" s="274">
        <v>0</v>
      </c>
      <c r="I388" s="274">
        <v>0</v>
      </c>
      <c r="J388" s="274">
        <v>0</v>
      </c>
      <c r="K388" s="275">
        <v>1</v>
      </c>
      <c r="L388" s="274">
        <v>1832116</v>
      </c>
      <c r="M388" s="274">
        <v>0</v>
      </c>
      <c r="N388" s="274">
        <v>0</v>
      </c>
      <c r="O388" s="274">
        <v>0</v>
      </c>
      <c r="P388" s="274">
        <v>0</v>
      </c>
      <c r="Q388" s="274">
        <v>0</v>
      </c>
      <c r="R388" s="274">
        <v>0</v>
      </c>
      <c r="S388" s="274">
        <v>0</v>
      </c>
      <c r="T388" s="274">
        <v>0</v>
      </c>
      <c r="U388" s="274">
        <v>0</v>
      </c>
      <c r="V388" s="274">
        <v>0</v>
      </c>
      <c r="W388" s="274">
        <v>0</v>
      </c>
      <c r="X388" s="274">
        <v>0</v>
      </c>
      <c r="Y388" s="274">
        <v>0</v>
      </c>
      <c r="Z388" s="274">
        <v>0</v>
      </c>
      <c r="AA388" s="274">
        <v>0</v>
      </c>
      <c r="AB388" s="276">
        <v>2020</v>
      </c>
    </row>
    <row r="389" spans="1:28" s="6" customFormat="1" ht="35.25" customHeight="1" x14ac:dyDescent="0.5">
      <c r="A389" s="6">
        <v>1</v>
      </c>
      <c r="B389" s="135">
        <f>SUBTOTAL(103,$A$7:A389)</f>
        <v>373</v>
      </c>
      <c r="C389" s="270" t="s">
        <v>1881</v>
      </c>
      <c r="D389" s="271">
        <f t="shared" si="20"/>
        <v>240211</v>
      </c>
      <c r="E389" s="274">
        <v>0</v>
      </c>
      <c r="F389" s="274">
        <v>0</v>
      </c>
      <c r="G389" s="274">
        <v>0</v>
      </c>
      <c r="H389" s="274">
        <v>0</v>
      </c>
      <c r="I389" s="274">
        <v>0</v>
      </c>
      <c r="J389" s="274">
        <v>0</v>
      </c>
      <c r="K389" s="275">
        <v>0</v>
      </c>
      <c r="L389" s="274">
        <v>0</v>
      </c>
      <c r="M389" s="274">
        <v>0</v>
      </c>
      <c r="N389" s="274">
        <v>0</v>
      </c>
      <c r="O389" s="274">
        <v>240211</v>
      </c>
      <c r="P389" s="274">
        <v>0</v>
      </c>
      <c r="Q389" s="274">
        <v>0</v>
      </c>
      <c r="R389" s="274">
        <v>0</v>
      </c>
      <c r="S389" s="274">
        <v>0</v>
      </c>
      <c r="T389" s="274">
        <v>0</v>
      </c>
      <c r="U389" s="274">
        <v>0</v>
      </c>
      <c r="V389" s="274">
        <v>0</v>
      </c>
      <c r="W389" s="274">
        <v>0</v>
      </c>
      <c r="X389" s="274">
        <v>0</v>
      </c>
      <c r="Y389" s="274">
        <v>0</v>
      </c>
      <c r="Z389" s="274">
        <v>0</v>
      </c>
      <c r="AA389" s="274">
        <v>0</v>
      </c>
      <c r="AB389" s="276">
        <v>2020</v>
      </c>
    </row>
    <row r="390" spans="1:28" s="6" customFormat="1" ht="35.25" customHeight="1" x14ac:dyDescent="0.5">
      <c r="A390" s="6">
        <v>1</v>
      </c>
      <c r="B390" s="135">
        <f>SUBTOTAL(103,$A$7:A390)</f>
        <v>374</v>
      </c>
      <c r="C390" s="270" t="s">
        <v>1882</v>
      </c>
      <c r="D390" s="271">
        <f t="shared" si="20"/>
        <v>155581.73000000001</v>
      </c>
      <c r="E390" s="274">
        <v>0</v>
      </c>
      <c r="F390" s="274">
        <v>0</v>
      </c>
      <c r="G390" s="274">
        <v>0</v>
      </c>
      <c r="H390" s="274">
        <v>155581.73000000001</v>
      </c>
      <c r="I390" s="274">
        <v>0</v>
      </c>
      <c r="J390" s="274">
        <v>0</v>
      </c>
      <c r="K390" s="275">
        <v>0</v>
      </c>
      <c r="L390" s="274">
        <v>0</v>
      </c>
      <c r="M390" s="274">
        <v>0</v>
      </c>
      <c r="N390" s="274">
        <v>0</v>
      </c>
      <c r="O390" s="274">
        <v>0</v>
      </c>
      <c r="P390" s="274">
        <v>0</v>
      </c>
      <c r="Q390" s="274">
        <v>0</v>
      </c>
      <c r="R390" s="274">
        <v>0</v>
      </c>
      <c r="S390" s="274">
        <v>0</v>
      </c>
      <c r="T390" s="274">
        <v>0</v>
      </c>
      <c r="U390" s="274">
        <v>0</v>
      </c>
      <c r="V390" s="274">
        <v>0</v>
      </c>
      <c r="W390" s="274">
        <v>0</v>
      </c>
      <c r="X390" s="274">
        <v>0</v>
      </c>
      <c r="Y390" s="274">
        <v>0</v>
      </c>
      <c r="Z390" s="274">
        <v>0</v>
      </c>
      <c r="AA390" s="274">
        <v>0</v>
      </c>
      <c r="AB390" s="276">
        <v>2020</v>
      </c>
    </row>
    <row r="391" spans="1:28" s="6" customFormat="1" ht="35.25" x14ac:dyDescent="0.5">
      <c r="A391" s="6">
        <v>1</v>
      </c>
      <c r="B391" s="135">
        <f>SUBTOTAL(103,$A$7:A391)</f>
        <v>375</v>
      </c>
      <c r="C391" s="270" t="s">
        <v>2212</v>
      </c>
      <c r="D391" s="271">
        <v>1467871.96</v>
      </c>
      <c r="E391" s="274">
        <v>0</v>
      </c>
      <c r="F391" s="274">
        <v>0</v>
      </c>
      <c r="G391" s="274">
        <v>1467871.96</v>
      </c>
      <c r="H391" s="274">
        <v>0</v>
      </c>
      <c r="I391" s="274">
        <v>0</v>
      </c>
      <c r="J391" s="274">
        <v>0</v>
      </c>
      <c r="K391" s="275">
        <v>0</v>
      </c>
      <c r="L391" s="274">
        <v>0</v>
      </c>
      <c r="M391" s="274">
        <v>0</v>
      </c>
      <c r="N391" s="274">
        <v>0</v>
      </c>
      <c r="O391" s="274">
        <v>0</v>
      </c>
      <c r="P391" s="274">
        <v>0</v>
      </c>
      <c r="Q391" s="274">
        <v>0</v>
      </c>
      <c r="R391" s="274">
        <v>0</v>
      </c>
      <c r="S391" s="274">
        <v>0</v>
      </c>
      <c r="T391" s="274">
        <v>0</v>
      </c>
      <c r="U391" s="274">
        <v>0</v>
      </c>
      <c r="V391" s="274">
        <v>0</v>
      </c>
      <c r="W391" s="274">
        <v>0</v>
      </c>
      <c r="X391" s="274">
        <v>0</v>
      </c>
      <c r="Y391" s="274">
        <v>0</v>
      </c>
      <c r="Z391" s="274">
        <v>0</v>
      </c>
      <c r="AA391" s="274">
        <v>0</v>
      </c>
      <c r="AB391" s="276">
        <v>2020</v>
      </c>
    </row>
    <row r="392" spans="1:28" s="6" customFormat="1" ht="35.25" x14ac:dyDescent="0.5">
      <c r="A392" s="6">
        <v>1</v>
      </c>
      <c r="B392" s="135">
        <f>SUBTOTAL(103,$A$7:A392)</f>
        <v>376</v>
      </c>
      <c r="C392" s="270" t="s">
        <v>2213</v>
      </c>
      <c r="D392" s="271">
        <v>3131855.51</v>
      </c>
      <c r="E392" s="274">
        <v>0</v>
      </c>
      <c r="F392" s="274">
        <v>0</v>
      </c>
      <c r="G392" s="274">
        <v>3131855.51</v>
      </c>
      <c r="H392" s="274">
        <v>0</v>
      </c>
      <c r="I392" s="274">
        <v>0</v>
      </c>
      <c r="J392" s="274">
        <v>0</v>
      </c>
      <c r="K392" s="275">
        <v>0</v>
      </c>
      <c r="L392" s="274">
        <v>0</v>
      </c>
      <c r="M392" s="274">
        <v>0</v>
      </c>
      <c r="N392" s="274">
        <v>0</v>
      </c>
      <c r="O392" s="274">
        <v>0</v>
      </c>
      <c r="P392" s="274">
        <v>0</v>
      </c>
      <c r="Q392" s="274">
        <v>0</v>
      </c>
      <c r="R392" s="274">
        <v>0</v>
      </c>
      <c r="S392" s="274">
        <v>0</v>
      </c>
      <c r="T392" s="274">
        <v>0</v>
      </c>
      <c r="U392" s="274">
        <v>0</v>
      </c>
      <c r="V392" s="274">
        <v>0</v>
      </c>
      <c r="W392" s="274">
        <v>0</v>
      </c>
      <c r="X392" s="274">
        <v>0</v>
      </c>
      <c r="Y392" s="274">
        <v>0</v>
      </c>
      <c r="Z392" s="274">
        <v>0</v>
      </c>
      <c r="AA392" s="274">
        <v>0</v>
      </c>
      <c r="AB392" s="276">
        <v>2020</v>
      </c>
    </row>
    <row r="393" spans="1:28" s="6" customFormat="1" ht="35.25" x14ac:dyDescent="0.5">
      <c r="A393" s="6">
        <v>1</v>
      </c>
      <c r="B393" s="135">
        <f>SUBTOTAL(103,$A$7:A393)</f>
        <v>377</v>
      </c>
      <c r="C393" s="270" t="s">
        <v>2214</v>
      </c>
      <c r="D393" s="271">
        <v>419031</v>
      </c>
      <c r="E393" s="274">
        <v>117495</v>
      </c>
      <c r="F393" s="274">
        <v>301536</v>
      </c>
      <c r="G393" s="274">
        <v>0</v>
      </c>
      <c r="H393" s="274">
        <v>0</v>
      </c>
      <c r="I393" s="274">
        <v>0</v>
      </c>
      <c r="J393" s="274">
        <v>0</v>
      </c>
      <c r="K393" s="275">
        <v>0</v>
      </c>
      <c r="L393" s="274">
        <v>0</v>
      </c>
      <c r="M393" s="274">
        <v>0</v>
      </c>
      <c r="N393" s="274">
        <v>0</v>
      </c>
      <c r="O393" s="274">
        <v>0</v>
      </c>
      <c r="P393" s="274">
        <v>0</v>
      </c>
      <c r="Q393" s="274">
        <v>0</v>
      </c>
      <c r="R393" s="274">
        <v>0</v>
      </c>
      <c r="S393" s="274">
        <v>0</v>
      </c>
      <c r="T393" s="274">
        <v>0</v>
      </c>
      <c r="U393" s="274">
        <v>0</v>
      </c>
      <c r="V393" s="274">
        <v>0</v>
      </c>
      <c r="W393" s="274">
        <v>0</v>
      </c>
      <c r="X393" s="274">
        <v>0</v>
      </c>
      <c r="Y393" s="274">
        <v>0</v>
      </c>
      <c r="Z393" s="274">
        <v>0</v>
      </c>
      <c r="AA393" s="274">
        <v>0</v>
      </c>
      <c r="AB393" s="276">
        <v>2020</v>
      </c>
    </row>
    <row r="394" spans="1:28" s="6" customFormat="1" ht="35.25" x14ac:dyDescent="0.5">
      <c r="A394" s="6">
        <v>1</v>
      </c>
      <c r="B394" s="135">
        <f>SUBTOTAL(103,$A$7:A394)</f>
        <v>378</v>
      </c>
      <c r="C394" s="270" t="s">
        <v>2215</v>
      </c>
      <c r="D394" s="271">
        <f t="shared" ref="D394:D411" si="21">E394+F394+G394+H394+I394+J394+L394+M394+N394+O394+P394+Q394+R394+S394+T394+U394+V394+W394+X394+Y394+Z394+AA394</f>
        <v>670514.39</v>
      </c>
      <c r="E394" s="274">
        <v>0</v>
      </c>
      <c r="F394" s="274">
        <v>0</v>
      </c>
      <c r="G394" s="274">
        <v>670514.39</v>
      </c>
      <c r="H394" s="274">
        <v>0</v>
      </c>
      <c r="I394" s="274">
        <v>0</v>
      </c>
      <c r="J394" s="274">
        <v>0</v>
      </c>
      <c r="K394" s="275">
        <v>0</v>
      </c>
      <c r="L394" s="274">
        <v>0</v>
      </c>
      <c r="M394" s="274">
        <v>0</v>
      </c>
      <c r="N394" s="274">
        <v>0</v>
      </c>
      <c r="O394" s="274">
        <v>0</v>
      </c>
      <c r="P394" s="274">
        <v>0</v>
      </c>
      <c r="Q394" s="274">
        <v>0</v>
      </c>
      <c r="R394" s="274">
        <v>0</v>
      </c>
      <c r="S394" s="274">
        <v>0</v>
      </c>
      <c r="T394" s="274">
        <v>0</v>
      </c>
      <c r="U394" s="274">
        <v>0</v>
      </c>
      <c r="V394" s="274">
        <v>0</v>
      </c>
      <c r="W394" s="274">
        <v>0</v>
      </c>
      <c r="X394" s="274">
        <v>0</v>
      </c>
      <c r="Y394" s="274">
        <v>0</v>
      </c>
      <c r="Z394" s="274">
        <v>0</v>
      </c>
      <c r="AA394" s="274">
        <v>0</v>
      </c>
      <c r="AB394" s="276">
        <v>2020</v>
      </c>
    </row>
    <row r="395" spans="1:28" s="6" customFormat="1" ht="35.25" x14ac:dyDescent="0.5">
      <c r="A395" s="6">
        <v>1</v>
      </c>
      <c r="B395" s="135">
        <f>SUBTOTAL(103,$A$7:A395)</f>
        <v>379</v>
      </c>
      <c r="C395" s="270" t="s">
        <v>2216</v>
      </c>
      <c r="D395" s="271">
        <f t="shared" si="21"/>
        <v>263492</v>
      </c>
      <c r="E395" s="274">
        <v>0</v>
      </c>
      <c r="F395" s="274">
        <v>263492</v>
      </c>
      <c r="G395" s="274">
        <v>0</v>
      </c>
      <c r="H395" s="274">
        <v>0</v>
      </c>
      <c r="I395" s="274">
        <v>0</v>
      </c>
      <c r="J395" s="274">
        <v>0</v>
      </c>
      <c r="K395" s="275">
        <v>0</v>
      </c>
      <c r="L395" s="274">
        <v>0</v>
      </c>
      <c r="M395" s="274">
        <v>0</v>
      </c>
      <c r="N395" s="274">
        <v>0</v>
      </c>
      <c r="O395" s="274">
        <v>0</v>
      </c>
      <c r="P395" s="274">
        <v>0</v>
      </c>
      <c r="Q395" s="274">
        <v>0</v>
      </c>
      <c r="R395" s="274">
        <v>0</v>
      </c>
      <c r="S395" s="274">
        <v>0</v>
      </c>
      <c r="T395" s="274">
        <v>0</v>
      </c>
      <c r="U395" s="274">
        <v>0</v>
      </c>
      <c r="V395" s="274">
        <v>0</v>
      </c>
      <c r="W395" s="274">
        <v>0</v>
      </c>
      <c r="X395" s="274">
        <v>0</v>
      </c>
      <c r="Y395" s="274">
        <v>0</v>
      </c>
      <c r="Z395" s="274">
        <v>0</v>
      </c>
      <c r="AA395" s="274">
        <v>0</v>
      </c>
      <c r="AB395" s="276">
        <v>2020</v>
      </c>
    </row>
    <row r="396" spans="1:28" s="6" customFormat="1" ht="35.25" x14ac:dyDescent="0.5">
      <c r="A396" s="6">
        <v>1</v>
      </c>
      <c r="B396" s="135">
        <f>SUBTOTAL(103,$A$7:A396)</f>
        <v>380</v>
      </c>
      <c r="C396" s="270" t="s">
        <v>2217</v>
      </c>
      <c r="D396" s="271">
        <f t="shared" si="21"/>
        <v>549634</v>
      </c>
      <c r="E396" s="274">
        <v>0</v>
      </c>
      <c r="F396" s="274">
        <v>0</v>
      </c>
      <c r="G396" s="274">
        <v>0</v>
      </c>
      <c r="H396" s="274">
        <v>0</v>
      </c>
      <c r="I396" s="274">
        <v>0</v>
      </c>
      <c r="J396" s="274">
        <v>0</v>
      </c>
      <c r="K396" s="275">
        <v>1</v>
      </c>
      <c r="L396" s="274">
        <v>549634</v>
      </c>
      <c r="M396" s="274">
        <v>0</v>
      </c>
      <c r="N396" s="274">
        <v>0</v>
      </c>
      <c r="O396" s="274">
        <v>0</v>
      </c>
      <c r="P396" s="274">
        <v>0</v>
      </c>
      <c r="Q396" s="274">
        <v>0</v>
      </c>
      <c r="R396" s="274">
        <v>0</v>
      </c>
      <c r="S396" s="274">
        <v>0</v>
      </c>
      <c r="T396" s="274">
        <v>0</v>
      </c>
      <c r="U396" s="274">
        <v>0</v>
      </c>
      <c r="V396" s="274">
        <v>0</v>
      </c>
      <c r="W396" s="274">
        <v>0</v>
      </c>
      <c r="X396" s="274">
        <v>0</v>
      </c>
      <c r="Y396" s="274">
        <v>0</v>
      </c>
      <c r="Z396" s="274">
        <v>0</v>
      </c>
      <c r="AA396" s="274">
        <v>0</v>
      </c>
      <c r="AB396" s="276">
        <v>2020</v>
      </c>
    </row>
    <row r="397" spans="1:28" s="6" customFormat="1" ht="35.25" x14ac:dyDescent="0.5">
      <c r="A397" s="6">
        <v>1</v>
      </c>
      <c r="B397" s="135">
        <f>SUBTOTAL(103,$A$7:A397)</f>
        <v>381</v>
      </c>
      <c r="C397" s="270" t="s">
        <v>2218</v>
      </c>
      <c r="D397" s="271">
        <f t="shared" si="21"/>
        <v>643086</v>
      </c>
      <c r="E397" s="274">
        <v>0</v>
      </c>
      <c r="F397" s="274">
        <v>0</v>
      </c>
      <c r="G397" s="274">
        <v>0</v>
      </c>
      <c r="H397" s="274">
        <v>0</v>
      </c>
      <c r="I397" s="274">
        <v>0</v>
      </c>
      <c r="J397" s="274">
        <v>0</v>
      </c>
      <c r="K397" s="275">
        <v>0</v>
      </c>
      <c r="L397" s="274">
        <v>0</v>
      </c>
      <c r="M397" s="274">
        <v>643086</v>
      </c>
      <c r="N397" s="274">
        <v>0</v>
      </c>
      <c r="O397" s="274">
        <v>0</v>
      </c>
      <c r="P397" s="274">
        <v>0</v>
      </c>
      <c r="Q397" s="274">
        <v>0</v>
      </c>
      <c r="R397" s="274">
        <v>0</v>
      </c>
      <c r="S397" s="274">
        <v>0</v>
      </c>
      <c r="T397" s="274">
        <v>0</v>
      </c>
      <c r="U397" s="274">
        <v>0</v>
      </c>
      <c r="V397" s="274">
        <v>0</v>
      </c>
      <c r="W397" s="274">
        <v>0</v>
      </c>
      <c r="X397" s="274">
        <v>0</v>
      </c>
      <c r="Y397" s="274">
        <v>0</v>
      </c>
      <c r="Z397" s="274">
        <v>0</v>
      </c>
      <c r="AA397" s="274">
        <v>0</v>
      </c>
      <c r="AB397" s="276">
        <v>2020</v>
      </c>
    </row>
    <row r="398" spans="1:28" s="6" customFormat="1" ht="35.25" x14ac:dyDescent="0.5">
      <c r="A398" s="6">
        <v>1</v>
      </c>
      <c r="B398" s="135">
        <f>SUBTOTAL(103,$A$7:A398)</f>
        <v>382</v>
      </c>
      <c r="C398" s="270" t="s">
        <v>2219</v>
      </c>
      <c r="D398" s="271">
        <f t="shared" si="21"/>
        <v>249000</v>
      </c>
      <c r="E398" s="274">
        <v>0</v>
      </c>
      <c r="F398" s="274">
        <v>0</v>
      </c>
      <c r="G398" s="274">
        <v>0</v>
      </c>
      <c r="H398" s="274">
        <v>0</v>
      </c>
      <c r="I398" s="274">
        <v>0</v>
      </c>
      <c r="J398" s="274">
        <v>0</v>
      </c>
      <c r="K398" s="275">
        <v>0</v>
      </c>
      <c r="L398" s="274">
        <v>0</v>
      </c>
      <c r="M398" s="274">
        <v>249000</v>
      </c>
      <c r="N398" s="274">
        <v>0</v>
      </c>
      <c r="O398" s="274">
        <v>0</v>
      </c>
      <c r="P398" s="274">
        <v>0</v>
      </c>
      <c r="Q398" s="274">
        <v>0</v>
      </c>
      <c r="R398" s="274">
        <v>0</v>
      </c>
      <c r="S398" s="274">
        <v>0</v>
      </c>
      <c r="T398" s="274">
        <v>0</v>
      </c>
      <c r="U398" s="274">
        <v>0</v>
      </c>
      <c r="V398" s="274">
        <v>0</v>
      </c>
      <c r="W398" s="274">
        <v>0</v>
      </c>
      <c r="X398" s="274">
        <v>0</v>
      </c>
      <c r="Y398" s="274">
        <v>0</v>
      </c>
      <c r="Z398" s="274">
        <v>0</v>
      </c>
      <c r="AA398" s="274">
        <v>0</v>
      </c>
      <c r="AB398" s="276">
        <v>2020</v>
      </c>
    </row>
    <row r="399" spans="1:28" s="6" customFormat="1" ht="35.25" x14ac:dyDescent="0.5">
      <c r="A399" s="6">
        <v>1</v>
      </c>
      <c r="B399" s="135">
        <f>SUBTOTAL(103,$A$7:A399)</f>
        <v>383</v>
      </c>
      <c r="C399" s="270" t="s">
        <v>2220</v>
      </c>
      <c r="D399" s="271">
        <f t="shared" si="21"/>
        <v>223000</v>
      </c>
      <c r="E399" s="274">
        <v>0</v>
      </c>
      <c r="F399" s="274">
        <v>0</v>
      </c>
      <c r="G399" s="274">
        <v>0</v>
      </c>
      <c r="H399" s="274">
        <v>0</v>
      </c>
      <c r="I399" s="274">
        <v>0</v>
      </c>
      <c r="J399" s="274">
        <v>0</v>
      </c>
      <c r="K399" s="275">
        <v>0</v>
      </c>
      <c r="L399" s="274">
        <v>0</v>
      </c>
      <c r="M399" s="274">
        <v>0</v>
      </c>
      <c r="N399" s="274">
        <v>0</v>
      </c>
      <c r="O399" s="274">
        <v>223000</v>
      </c>
      <c r="P399" s="274">
        <v>0</v>
      </c>
      <c r="Q399" s="274">
        <v>0</v>
      </c>
      <c r="R399" s="274">
        <v>0</v>
      </c>
      <c r="S399" s="274">
        <v>0</v>
      </c>
      <c r="T399" s="274">
        <v>0</v>
      </c>
      <c r="U399" s="274">
        <v>0</v>
      </c>
      <c r="V399" s="274">
        <v>0</v>
      </c>
      <c r="W399" s="274">
        <v>0</v>
      </c>
      <c r="X399" s="274">
        <v>0</v>
      </c>
      <c r="Y399" s="274">
        <v>0</v>
      </c>
      <c r="Z399" s="274">
        <v>0</v>
      </c>
      <c r="AA399" s="274">
        <v>0</v>
      </c>
      <c r="AB399" s="276">
        <v>2020</v>
      </c>
    </row>
    <row r="400" spans="1:28" s="6" customFormat="1" ht="35.25" x14ac:dyDescent="0.5">
      <c r="A400" s="6">
        <v>1</v>
      </c>
      <c r="B400" s="135">
        <f>SUBTOTAL(103,$A$7:A400)</f>
        <v>384</v>
      </c>
      <c r="C400" s="270" t="s">
        <v>2221</v>
      </c>
      <c r="D400" s="271">
        <f t="shared" si="21"/>
        <v>1137848</v>
      </c>
      <c r="E400" s="274">
        <v>0</v>
      </c>
      <c r="F400" s="274">
        <v>0</v>
      </c>
      <c r="G400" s="274">
        <v>0</v>
      </c>
      <c r="H400" s="274">
        <v>0</v>
      </c>
      <c r="I400" s="274">
        <v>0</v>
      </c>
      <c r="J400" s="274">
        <v>0</v>
      </c>
      <c r="K400" s="275">
        <v>0</v>
      </c>
      <c r="L400" s="274">
        <v>0</v>
      </c>
      <c r="M400" s="274">
        <v>0</v>
      </c>
      <c r="N400" s="274">
        <v>1137848</v>
      </c>
      <c r="O400" s="274">
        <v>0</v>
      </c>
      <c r="P400" s="274">
        <v>0</v>
      </c>
      <c r="Q400" s="274">
        <v>0</v>
      </c>
      <c r="R400" s="274">
        <v>0</v>
      </c>
      <c r="S400" s="274">
        <v>0</v>
      </c>
      <c r="T400" s="274">
        <v>0</v>
      </c>
      <c r="U400" s="274">
        <v>0</v>
      </c>
      <c r="V400" s="274">
        <v>0</v>
      </c>
      <c r="W400" s="274">
        <v>0</v>
      </c>
      <c r="X400" s="274">
        <v>0</v>
      </c>
      <c r="Y400" s="274">
        <v>0</v>
      </c>
      <c r="Z400" s="274">
        <v>0</v>
      </c>
      <c r="AA400" s="274">
        <v>0</v>
      </c>
      <c r="AB400" s="276">
        <v>2020</v>
      </c>
    </row>
    <row r="401" spans="1:28" s="6" customFormat="1" ht="35.25" x14ac:dyDescent="0.5">
      <c r="A401" s="6">
        <v>1</v>
      </c>
      <c r="B401" s="135">
        <f>SUBTOTAL(103,$A$7:A401)</f>
        <v>385</v>
      </c>
      <c r="C401" s="270" t="s">
        <v>2222</v>
      </c>
      <c r="D401" s="271">
        <f t="shared" si="21"/>
        <v>210700</v>
      </c>
      <c r="E401" s="274">
        <v>0</v>
      </c>
      <c r="F401" s="274">
        <v>0</v>
      </c>
      <c r="G401" s="274">
        <v>210700</v>
      </c>
      <c r="H401" s="274">
        <v>0</v>
      </c>
      <c r="I401" s="274">
        <v>0</v>
      </c>
      <c r="J401" s="274">
        <v>0</v>
      </c>
      <c r="K401" s="275">
        <v>0</v>
      </c>
      <c r="L401" s="274">
        <v>0</v>
      </c>
      <c r="M401" s="274">
        <v>0</v>
      </c>
      <c r="N401" s="274">
        <v>0</v>
      </c>
      <c r="O401" s="274">
        <v>0</v>
      </c>
      <c r="P401" s="274">
        <v>0</v>
      </c>
      <c r="Q401" s="274">
        <v>0</v>
      </c>
      <c r="R401" s="274">
        <v>0</v>
      </c>
      <c r="S401" s="274">
        <v>0</v>
      </c>
      <c r="T401" s="274">
        <v>0</v>
      </c>
      <c r="U401" s="274">
        <v>0</v>
      </c>
      <c r="V401" s="274">
        <v>0</v>
      </c>
      <c r="W401" s="274">
        <v>0</v>
      </c>
      <c r="X401" s="274">
        <v>0</v>
      </c>
      <c r="Y401" s="274">
        <v>0</v>
      </c>
      <c r="Z401" s="274">
        <v>0</v>
      </c>
      <c r="AA401" s="274">
        <v>0</v>
      </c>
      <c r="AB401" s="276">
        <v>2020</v>
      </c>
    </row>
    <row r="402" spans="1:28" s="6" customFormat="1" ht="35.25" x14ac:dyDescent="0.5">
      <c r="A402" s="6">
        <v>1</v>
      </c>
      <c r="B402" s="135">
        <f>SUBTOTAL(103,$A$7:A402)</f>
        <v>386</v>
      </c>
      <c r="C402" s="270" t="s">
        <v>2223</v>
      </c>
      <c r="D402" s="271">
        <f t="shared" si="21"/>
        <v>492012</v>
      </c>
      <c r="E402" s="274">
        <v>0</v>
      </c>
      <c r="F402" s="274">
        <v>0</v>
      </c>
      <c r="G402" s="274">
        <v>0</v>
      </c>
      <c r="H402" s="274">
        <v>0</v>
      </c>
      <c r="I402" s="274">
        <v>492012</v>
      </c>
      <c r="J402" s="274">
        <v>0</v>
      </c>
      <c r="K402" s="275">
        <v>0</v>
      </c>
      <c r="L402" s="274">
        <v>0</v>
      </c>
      <c r="M402" s="274">
        <v>0</v>
      </c>
      <c r="N402" s="274">
        <v>0</v>
      </c>
      <c r="O402" s="274">
        <v>0</v>
      </c>
      <c r="P402" s="274">
        <v>0</v>
      </c>
      <c r="Q402" s="274">
        <v>0</v>
      </c>
      <c r="R402" s="274">
        <v>0</v>
      </c>
      <c r="S402" s="274">
        <v>0</v>
      </c>
      <c r="T402" s="274">
        <v>0</v>
      </c>
      <c r="U402" s="274">
        <v>0</v>
      </c>
      <c r="V402" s="274">
        <v>0</v>
      </c>
      <c r="W402" s="274">
        <v>0</v>
      </c>
      <c r="X402" s="274">
        <v>0</v>
      </c>
      <c r="Y402" s="274">
        <v>0</v>
      </c>
      <c r="Z402" s="274">
        <v>0</v>
      </c>
      <c r="AA402" s="274">
        <v>0</v>
      </c>
      <c r="AB402" s="276">
        <v>2020</v>
      </c>
    </row>
    <row r="403" spans="1:28" s="6" customFormat="1" ht="35.25" x14ac:dyDescent="0.5">
      <c r="A403" s="6">
        <v>1</v>
      </c>
      <c r="B403" s="135">
        <f>SUBTOTAL(103,$A$7:A403)</f>
        <v>387</v>
      </c>
      <c r="C403" s="270" t="s">
        <v>2224</v>
      </c>
      <c r="D403" s="271">
        <f t="shared" si="21"/>
        <v>63000</v>
      </c>
      <c r="E403" s="274">
        <v>0</v>
      </c>
      <c r="F403" s="274">
        <v>63000</v>
      </c>
      <c r="G403" s="274">
        <v>0</v>
      </c>
      <c r="H403" s="274">
        <v>0</v>
      </c>
      <c r="I403" s="274">
        <v>0</v>
      </c>
      <c r="J403" s="274">
        <v>0</v>
      </c>
      <c r="K403" s="275">
        <v>0</v>
      </c>
      <c r="L403" s="274">
        <v>0</v>
      </c>
      <c r="M403" s="274">
        <v>0</v>
      </c>
      <c r="N403" s="274">
        <v>0</v>
      </c>
      <c r="O403" s="274">
        <v>0</v>
      </c>
      <c r="P403" s="274">
        <v>0</v>
      </c>
      <c r="Q403" s="274">
        <v>0</v>
      </c>
      <c r="R403" s="274">
        <v>0</v>
      </c>
      <c r="S403" s="274">
        <v>0</v>
      </c>
      <c r="T403" s="274">
        <v>0</v>
      </c>
      <c r="U403" s="274">
        <v>0</v>
      </c>
      <c r="V403" s="274">
        <v>0</v>
      </c>
      <c r="W403" s="274">
        <v>0</v>
      </c>
      <c r="X403" s="274">
        <v>0</v>
      </c>
      <c r="Y403" s="274">
        <v>0</v>
      </c>
      <c r="Z403" s="274">
        <v>0</v>
      </c>
      <c r="AA403" s="274">
        <v>0</v>
      </c>
      <c r="AB403" s="276">
        <v>2020</v>
      </c>
    </row>
    <row r="404" spans="1:28" s="6" customFormat="1" ht="35.25" x14ac:dyDescent="0.5">
      <c r="A404" s="6">
        <v>1</v>
      </c>
      <c r="B404" s="135">
        <f>SUBTOTAL(103,$A$7:A404)</f>
        <v>388</v>
      </c>
      <c r="C404" s="270" t="s">
        <v>2225</v>
      </c>
      <c r="D404" s="271">
        <f t="shared" si="21"/>
        <v>361000</v>
      </c>
      <c r="E404" s="274">
        <v>0</v>
      </c>
      <c r="F404" s="274">
        <v>0</v>
      </c>
      <c r="G404" s="274">
        <v>0</v>
      </c>
      <c r="H404" s="274">
        <v>0</v>
      </c>
      <c r="I404" s="274">
        <v>0</v>
      </c>
      <c r="J404" s="274">
        <v>0</v>
      </c>
      <c r="K404" s="275">
        <v>0</v>
      </c>
      <c r="L404" s="274">
        <v>0</v>
      </c>
      <c r="M404" s="274">
        <v>0</v>
      </c>
      <c r="N404" s="274">
        <v>0</v>
      </c>
      <c r="O404" s="274">
        <v>361000</v>
      </c>
      <c r="P404" s="274">
        <v>0</v>
      </c>
      <c r="Q404" s="274">
        <v>0</v>
      </c>
      <c r="R404" s="274">
        <v>0</v>
      </c>
      <c r="S404" s="274">
        <v>0</v>
      </c>
      <c r="T404" s="274">
        <v>0</v>
      </c>
      <c r="U404" s="274">
        <v>0</v>
      </c>
      <c r="V404" s="274">
        <v>0</v>
      </c>
      <c r="W404" s="274">
        <v>0</v>
      </c>
      <c r="X404" s="274">
        <v>0</v>
      </c>
      <c r="Y404" s="274">
        <v>0</v>
      </c>
      <c r="Z404" s="274">
        <v>0</v>
      </c>
      <c r="AA404" s="274">
        <v>0</v>
      </c>
      <c r="AB404" s="276">
        <v>2020</v>
      </c>
    </row>
    <row r="405" spans="1:28" s="6" customFormat="1" ht="35.25" x14ac:dyDescent="0.5">
      <c r="A405" s="6">
        <v>1</v>
      </c>
      <c r="B405" s="135">
        <f>SUBTOTAL(103,$A$7:A405)</f>
        <v>389</v>
      </c>
      <c r="C405" s="270" t="s">
        <v>2226</v>
      </c>
      <c r="D405" s="271">
        <f t="shared" si="21"/>
        <v>124000</v>
      </c>
      <c r="E405" s="274">
        <v>0</v>
      </c>
      <c r="F405" s="274">
        <v>0</v>
      </c>
      <c r="G405" s="274">
        <v>0</v>
      </c>
      <c r="H405" s="274">
        <v>0</v>
      </c>
      <c r="I405" s="274">
        <v>0</v>
      </c>
      <c r="J405" s="274">
        <v>0</v>
      </c>
      <c r="K405" s="275">
        <v>0</v>
      </c>
      <c r="L405" s="274">
        <v>0</v>
      </c>
      <c r="M405" s="274">
        <v>0</v>
      </c>
      <c r="N405" s="274">
        <v>0</v>
      </c>
      <c r="O405" s="274">
        <v>124000</v>
      </c>
      <c r="P405" s="274">
        <v>0</v>
      </c>
      <c r="Q405" s="274">
        <v>0</v>
      </c>
      <c r="R405" s="274">
        <v>0</v>
      </c>
      <c r="S405" s="274">
        <v>0</v>
      </c>
      <c r="T405" s="274">
        <v>0</v>
      </c>
      <c r="U405" s="274">
        <v>0</v>
      </c>
      <c r="V405" s="274">
        <v>0</v>
      </c>
      <c r="W405" s="274">
        <v>0</v>
      </c>
      <c r="X405" s="274">
        <v>0</v>
      </c>
      <c r="Y405" s="274">
        <v>0</v>
      </c>
      <c r="Z405" s="274">
        <v>0</v>
      </c>
      <c r="AA405" s="274">
        <v>0</v>
      </c>
      <c r="AB405" s="276">
        <v>2020</v>
      </c>
    </row>
    <row r="406" spans="1:28" s="6" customFormat="1" ht="35.25" x14ac:dyDescent="0.5">
      <c r="A406" s="6">
        <v>1</v>
      </c>
      <c r="B406" s="135">
        <f>SUBTOTAL(103,$A$7:A406)</f>
        <v>390</v>
      </c>
      <c r="C406" s="270" t="s">
        <v>2227</v>
      </c>
      <c r="D406" s="271">
        <f t="shared" si="21"/>
        <v>693634</v>
      </c>
      <c r="E406" s="274">
        <v>0</v>
      </c>
      <c r="F406" s="274">
        <v>0</v>
      </c>
      <c r="G406" s="274">
        <v>0</v>
      </c>
      <c r="H406" s="274">
        <v>0</v>
      </c>
      <c r="I406" s="274">
        <v>0</v>
      </c>
      <c r="J406" s="274">
        <v>0</v>
      </c>
      <c r="K406" s="275">
        <v>1</v>
      </c>
      <c r="L406" s="274">
        <v>693634</v>
      </c>
      <c r="M406" s="274">
        <v>0</v>
      </c>
      <c r="N406" s="274">
        <v>0</v>
      </c>
      <c r="O406" s="274">
        <v>0</v>
      </c>
      <c r="P406" s="274">
        <v>0</v>
      </c>
      <c r="Q406" s="274">
        <v>0</v>
      </c>
      <c r="R406" s="274">
        <v>0</v>
      </c>
      <c r="S406" s="274">
        <v>0</v>
      </c>
      <c r="T406" s="274">
        <v>0</v>
      </c>
      <c r="U406" s="274">
        <v>0</v>
      </c>
      <c r="V406" s="274">
        <v>0</v>
      </c>
      <c r="W406" s="274">
        <v>0</v>
      </c>
      <c r="X406" s="274">
        <v>0</v>
      </c>
      <c r="Y406" s="274">
        <v>0</v>
      </c>
      <c r="Z406" s="274">
        <v>0</v>
      </c>
      <c r="AA406" s="274">
        <v>0</v>
      </c>
      <c r="AB406" s="276">
        <v>2020</v>
      </c>
    </row>
    <row r="407" spans="1:28" s="6" customFormat="1" ht="35.25" x14ac:dyDescent="0.5">
      <c r="A407" s="6">
        <v>1</v>
      </c>
      <c r="B407" s="135">
        <f>SUBTOTAL(103,$A$7:A407)</f>
        <v>391</v>
      </c>
      <c r="C407" s="270" t="s">
        <v>2228</v>
      </c>
      <c r="D407" s="271">
        <f t="shared" si="21"/>
        <v>752530</v>
      </c>
      <c r="E407" s="274">
        <v>0</v>
      </c>
      <c r="F407" s="274">
        <v>0</v>
      </c>
      <c r="G407" s="274">
        <v>0</v>
      </c>
      <c r="H407" s="274">
        <v>0</v>
      </c>
      <c r="I407" s="274">
        <v>0</v>
      </c>
      <c r="J407" s="274">
        <v>0</v>
      </c>
      <c r="K407" s="275">
        <v>1</v>
      </c>
      <c r="L407" s="274">
        <v>752530</v>
      </c>
      <c r="M407" s="274">
        <v>0</v>
      </c>
      <c r="N407" s="274">
        <v>0</v>
      </c>
      <c r="O407" s="274">
        <v>0</v>
      </c>
      <c r="P407" s="274">
        <v>0</v>
      </c>
      <c r="Q407" s="274">
        <v>0</v>
      </c>
      <c r="R407" s="274">
        <v>0</v>
      </c>
      <c r="S407" s="274">
        <v>0</v>
      </c>
      <c r="T407" s="274">
        <v>0</v>
      </c>
      <c r="U407" s="274">
        <v>0</v>
      </c>
      <c r="V407" s="274">
        <v>0</v>
      </c>
      <c r="W407" s="274">
        <v>0</v>
      </c>
      <c r="X407" s="274">
        <v>0</v>
      </c>
      <c r="Y407" s="274">
        <v>0</v>
      </c>
      <c r="Z407" s="274">
        <v>0</v>
      </c>
      <c r="AA407" s="274">
        <v>0</v>
      </c>
      <c r="AB407" s="276">
        <v>2020</v>
      </c>
    </row>
    <row r="408" spans="1:28" s="6" customFormat="1" ht="35.25" x14ac:dyDescent="0.5">
      <c r="A408" s="6">
        <v>1</v>
      </c>
      <c r="B408" s="135">
        <f>SUBTOTAL(103,$A$7:A408)</f>
        <v>392</v>
      </c>
      <c r="C408" s="270" t="s">
        <v>2229</v>
      </c>
      <c r="D408" s="271">
        <f t="shared" si="21"/>
        <v>317122.2</v>
      </c>
      <c r="E408" s="274">
        <v>0</v>
      </c>
      <c r="F408" s="274">
        <v>0</v>
      </c>
      <c r="G408" s="274">
        <v>0</v>
      </c>
      <c r="H408" s="274">
        <v>0</v>
      </c>
      <c r="I408" s="274">
        <v>0</v>
      </c>
      <c r="J408" s="274">
        <v>0</v>
      </c>
      <c r="K408" s="275">
        <v>0</v>
      </c>
      <c r="L408" s="274">
        <v>0</v>
      </c>
      <c r="M408" s="274">
        <v>317122.2</v>
      </c>
      <c r="N408" s="274">
        <v>0</v>
      </c>
      <c r="O408" s="274">
        <v>0</v>
      </c>
      <c r="P408" s="274">
        <v>0</v>
      </c>
      <c r="Q408" s="274">
        <v>0</v>
      </c>
      <c r="R408" s="274">
        <v>0</v>
      </c>
      <c r="S408" s="274">
        <v>0</v>
      </c>
      <c r="T408" s="274">
        <v>0</v>
      </c>
      <c r="U408" s="274">
        <v>0</v>
      </c>
      <c r="V408" s="274">
        <v>0</v>
      </c>
      <c r="W408" s="274">
        <v>0</v>
      </c>
      <c r="X408" s="274">
        <v>0</v>
      </c>
      <c r="Y408" s="274">
        <v>0</v>
      </c>
      <c r="Z408" s="274">
        <v>0</v>
      </c>
      <c r="AA408" s="274">
        <v>0</v>
      </c>
      <c r="AB408" s="276">
        <v>2020</v>
      </c>
    </row>
    <row r="409" spans="1:28" s="6" customFormat="1" ht="35.25" x14ac:dyDescent="0.5">
      <c r="A409" s="6">
        <v>1</v>
      </c>
      <c r="B409" s="135">
        <f>SUBTOTAL(103,$A$7:A409)</f>
        <v>393</v>
      </c>
      <c r="C409" s="270" t="s">
        <v>2230</v>
      </c>
      <c r="D409" s="271">
        <f t="shared" si="21"/>
        <v>973016</v>
      </c>
      <c r="E409" s="274">
        <v>0</v>
      </c>
      <c r="F409" s="274">
        <v>0</v>
      </c>
      <c r="G409" s="274">
        <v>0</v>
      </c>
      <c r="H409" s="274">
        <v>0</v>
      </c>
      <c r="I409" s="274">
        <v>0</v>
      </c>
      <c r="J409" s="274">
        <v>0</v>
      </c>
      <c r="K409" s="275">
        <v>0</v>
      </c>
      <c r="L409" s="274">
        <v>0</v>
      </c>
      <c r="M409" s="274">
        <v>973016</v>
      </c>
      <c r="N409" s="274">
        <v>0</v>
      </c>
      <c r="O409" s="274">
        <v>0</v>
      </c>
      <c r="P409" s="274">
        <v>0</v>
      </c>
      <c r="Q409" s="274">
        <v>0</v>
      </c>
      <c r="R409" s="274">
        <v>0</v>
      </c>
      <c r="S409" s="274">
        <v>0</v>
      </c>
      <c r="T409" s="274">
        <v>0</v>
      </c>
      <c r="U409" s="274">
        <v>0</v>
      </c>
      <c r="V409" s="274">
        <v>0</v>
      </c>
      <c r="W409" s="274">
        <v>0</v>
      </c>
      <c r="X409" s="274">
        <v>0</v>
      </c>
      <c r="Y409" s="274">
        <v>0</v>
      </c>
      <c r="Z409" s="274">
        <v>0</v>
      </c>
      <c r="AA409" s="274">
        <v>0</v>
      </c>
      <c r="AB409" s="276">
        <v>2020</v>
      </c>
    </row>
    <row r="410" spans="1:28" s="6" customFormat="1" ht="35.25" x14ac:dyDescent="0.5">
      <c r="A410" s="6">
        <v>1</v>
      </c>
      <c r="B410" s="135">
        <f>SUBTOTAL(103,$A$7:A410)</f>
        <v>394</v>
      </c>
      <c r="C410" s="270" t="s">
        <v>2231</v>
      </c>
      <c r="D410" s="271">
        <f t="shared" si="21"/>
        <v>350223</v>
      </c>
      <c r="E410" s="274">
        <v>0</v>
      </c>
      <c r="F410" s="274">
        <v>0</v>
      </c>
      <c r="G410" s="274">
        <v>0</v>
      </c>
      <c r="H410" s="274">
        <v>0</v>
      </c>
      <c r="I410" s="274">
        <v>0</v>
      </c>
      <c r="J410" s="274">
        <v>0</v>
      </c>
      <c r="K410" s="275">
        <v>0</v>
      </c>
      <c r="L410" s="274">
        <v>0</v>
      </c>
      <c r="M410" s="274">
        <v>0</v>
      </c>
      <c r="N410" s="274">
        <v>0</v>
      </c>
      <c r="O410" s="274">
        <v>350223</v>
      </c>
      <c r="P410" s="274">
        <v>0</v>
      </c>
      <c r="Q410" s="274">
        <v>0</v>
      </c>
      <c r="R410" s="274">
        <v>0</v>
      </c>
      <c r="S410" s="274">
        <v>0</v>
      </c>
      <c r="T410" s="274">
        <v>0</v>
      </c>
      <c r="U410" s="274">
        <v>0</v>
      </c>
      <c r="V410" s="274">
        <v>0</v>
      </c>
      <c r="W410" s="274">
        <v>0</v>
      </c>
      <c r="X410" s="274">
        <v>0</v>
      </c>
      <c r="Y410" s="274">
        <v>0</v>
      </c>
      <c r="Z410" s="274">
        <v>0</v>
      </c>
      <c r="AA410" s="274">
        <v>0</v>
      </c>
      <c r="AB410" s="276">
        <v>2020</v>
      </c>
    </row>
    <row r="411" spans="1:28" s="6" customFormat="1" ht="35.25" x14ac:dyDescent="0.5">
      <c r="A411" s="6">
        <v>1</v>
      </c>
      <c r="B411" s="135">
        <f>SUBTOTAL(103,$A$7:A411)</f>
        <v>395</v>
      </c>
      <c r="C411" s="270" t="s">
        <v>2232</v>
      </c>
      <c r="D411" s="271">
        <f t="shared" si="21"/>
        <v>1628343.96</v>
      </c>
      <c r="E411" s="274">
        <v>0</v>
      </c>
      <c r="F411" s="274">
        <v>0</v>
      </c>
      <c r="G411" s="274">
        <v>390000</v>
      </c>
      <c r="H411" s="274">
        <v>0</v>
      </c>
      <c r="I411" s="274">
        <v>0</v>
      </c>
      <c r="J411" s="274">
        <v>0</v>
      </c>
      <c r="K411" s="275">
        <v>0</v>
      </c>
      <c r="L411" s="274">
        <v>0</v>
      </c>
      <c r="M411" s="274">
        <v>623200.5</v>
      </c>
      <c r="N411" s="274">
        <v>0</v>
      </c>
      <c r="O411" s="274">
        <v>615143.46</v>
      </c>
      <c r="P411" s="274">
        <v>0</v>
      </c>
      <c r="Q411" s="274">
        <v>0</v>
      </c>
      <c r="R411" s="274">
        <v>0</v>
      </c>
      <c r="S411" s="274">
        <v>0</v>
      </c>
      <c r="T411" s="274">
        <v>0</v>
      </c>
      <c r="U411" s="274">
        <v>0</v>
      </c>
      <c r="V411" s="274">
        <v>0</v>
      </c>
      <c r="W411" s="274">
        <v>0</v>
      </c>
      <c r="X411" s="274">
        <v>0</v>
      </c>
      <c r="Y411" s="274">
        <v>0</v>
      </c>
      <c r="Z411" s="274">
        <v>0</v>
      </c>
      <c r="AA411" s="274">
        <v>0</v>
      </c>
      <c r="AB411" s="276">
        <v>2020</v>
      </c>
    </row>
    <row r="412" spans="1:28" s="6" customFormat="1" ht="35.25" x14ac:dyDescent="0.5">
      <c r="A412" s="6">
        <v>1</v>
      </c>
      <c r="B412" s="135">
        <f>SUBTOTAL(103,$A$7:A412)</f>
        <v>396</v>
      </c>
      <c r="C412" s="270" t="s">
        <v>2233</v>
      </c>
      <c r="D412" s="271">
        <f>E412+F412+G412+H412+I412+J412+L412+M412+N412+O412+P412+Q412+R412+S412+T412+U412+V412+W412+X412+Y412+Z412+AA412</f>
        <v>549634</v>
      </c>
      <c r="E412" s="274">
        <v>0</v>
      </c>
      <c r="F412" s="274">
        <v>0</v>
      </c>
      <c r="G412" s="274">
        <v>0</v>
      </c>
      <c r="H412" s="274">
        <v>0</v>
      </c>
      <c r="I412" s="274">
        <v>0</v>
      </c>
      <c r="J412" s="274">
        <v>0</v>
      </c>
      <c r="K412" s="275">
        <v>1</v>
      </c>
      <c r="L412" s="274">
        <v>549634</v>
      </c>
      <c r="M412" s="274">
        <v>0</v>
      </c>
      <c r="N412" s="274">
        <v>0</v>
      </c>
      <c r="O412" s="274">
        <v>0</v>
      </c>
      <c r="P412" s="274">
        <v>0</v>
      </c>
      <c r="Q412" s="274">
        <v>0</v>
      </c>
      <c r="R412" s="274">
        <v>0</v>
      </c>
      <c r="S412" s="274">
        <v>0</v>
      </c>
      <c r="T412" s="274">
        <v>0</v>
      </c>
      <c r="U412" s="274">
        <v>0</v>
      </c>
      <c r="V412" s="274">
        <v>0</v>
      </c>
      <c r="W412" s="274">
        <v>0</v>
      </c>
      <c r="X412" s="274">
        <v>0</v>
      </c>
      <c r="Y412" s="274">
        <v>0</v>
      </c>
      <c r="Z412" s="274">
        <v>0</v>
      </c>
      <c r="AA412" s="274">
        <v>0</v>
      </c>
      <c r="AB412" s="276">
        <v>2020</v>
      </c>
    </row>
    <row r="413" spans="1:28" s="6" customFormat="1" ht="35.25" x14ac:dyDescent="0.5">
      <c r="A413" s="6">
        <v>1</v>
      </c>
      <c r="B413" s="135">
        <f>SUBTOTAL(103,$A$7:A413)</f>
        <v>397</v>
      </c>
      <c r="C413" s="270" t="s">
        <v>2234</v>
      </c>
      <c r="D413" s="271">
        <f>E413+F413+G413+H413+I413+J413+L413+M413+N413+O413+P413+Q413+R413+S413+T413+U413+V413+W413+X413+Y413+Z413+AA413</f>
        <v>391500</v>
      </c>
      <c r="E413" s="274">
        <v>0</v>
      </c>
      <c r="F413" s="274">
        <v>0</v>
      </c>
      <c r="G413" s="274">
        <v>0</v>
      </c>
      <c r="H413" s="274">
        <v>0</v>
      </c>
      <c r="I413" s="274">
        <v>0</v>
      </c>
      <c r="J413" s="274">
        <v>0</v>
      </c>
      <c r="K413" s="275">
        <v>0</v>
      </c>
      <c r="L413" s="274">
        <v>0</v>
      </c>
      <c r="M413" s="274">
        <v>391500</v>
      </c>
      <c r="N413" s="274">
        <v>0</v>
      </c>
      <c r="O413" s="274">
        <v>0</v>
      </c>
      <c r="P413" s="274">
        <v>0</v>
      </c>
      <c r="Q413" s="274">
        <v>0</v>
      </c>
      <c r="R413" s="274">
        <v>0</v>
      </c>
      <c r="S413" s="274">
        <v>0</v>
      </c>
      <c r="T413" s="274">
        <v>0</v>
      </c>
      <c r="U413" s="274">
        <v>0</v>
      </c>
      <c r="V413" s="274">
        <v>0</v>
      </c>
      <c r="W413" s="274">
        <v>0</v>
      </c>
      <c r="X413" s="274">
        <v>0</v>
      </c>
      <c r="Y413" s="274">
        <v>0</v>
      </c>
      <c r="Z413" s="274">
        <v>0</v>
      </c>
      <c r="AA413" s="274">
        <v>0</v>
      </c>
      <c r="AB413" s="276">
        <v>2020</v>
      </c>
    </row>
    <row r="414" spans="1:28" s="6" customFormat="1" ht="35.25" x14ac:dyDescent="0.5">
      <c r="A414" s="6">
        <v>1</v>
      </c>
      <c r="B414" s="135">
        <f>SUBTOTAL(103,$A$7:A414)</f>
        <v>398</v>
      </c>
      <c r="C414" s="270" t="s">
        <v>2235</v>
      </c>
      <c r="D414" s="271">
        <f>E414+F414+G414+H414+I414+J414+L414+M414+N414+O414+P414+Q414+R414+S414+T414+U414+V414+W414+X414+Y414+Z414+AA414</f>
        <v>466000</v>
      </c>
      <c r="E414" s="274">
        <v>0</v>
      </c>
      <c r="F414" s="274">
        <v>0</v>
      </c>
      <c r="G414" s="274">
        <v>0</v>
      </c>
      <c r="H414" s="274">
        <v>0</v>
      </c>
      <c r="I414" s="274">
        <v>0</v>
      </c>
      <c r="J414" s="274">
        <v>0</v>
      </c>
      <c r="K414" s="275">
        <v>0</v>
      </c>
      <c r="L414" s="274">
        <v>0</v>
      </c>
      <c r="M414" s="274">
        <v>0</v>
      </c>
      <c r="N414" s="274">
        <v>0</v>
      </c>
      <c r="O414" s="274">
        <v>466000</v>
      </c>
      <c r="P414" s="274">
        <v>0</v>
      </c>
      <c r="Q414" s="274">
        <v>0</v>
      </c>
      <c r="R414" s="274">
        <v>0</v>
      </c>
      <c r="S414" s="274">
        <v>0</v>
      </c>
      <c r="T414" s="274">
        <v>0</v>
      </c>
      <c r="U414" s="274">
        <v>0</v>
      </c>
      <c r="V414" s="274">
        <v>0</v>
      </c>
      <c r="W414" s="274">
        <v>0</v>
      </c>
      <c r="X414" s="274">
        <v>0</v>
      </c>
      <c r="Y414" s="274">
        <v>0</v>
      </c>
      <c r="Z414" s="274">
        <v>0</v>
      </c>
      <c r="AA414" s="274">
        <v>0</v>
      </c>
      <c r="AB414" s="276">
        <v>2020</v>
      </c>
    </row>
    <row r="415" spans="1:28" s="6" customFormat="1" ht="35.25" x14ac:dyDescent="0.5">
      <c r="A415" s="6">
        <v>1</v>
      </c>
      <c r="B415" s="135">
        <f>SUBTOTAL(103,$A$7:A415)</f>
        <v>399</v>
      </c>
      <c r="C415" s="270" t="s">
        <v>2236</v>
      </c>
      <c r="D415" s="271">
        <f>E415+F415+G415+H415+I415+J415+L415+M415+N415+O415+P415+Q415+R415+S415+T415+U415+V415+W415+X415+Y415+Z415+AA415</f>
        <v>852734</v>
      </c>
      <c r="E415" s="274">
        <v>0</v>
      </c>
      <c r="F415" s="274">
        <v>0</v>
      </c>
      <c r="G415" s="274">
        <v>852734</v>
      </c>
      <c r="H415" s="274">
        <v>0</v>
      </c>
      <c r="I415" s="274">
        <v>0</v>
      </c>
      <c r="J415" s="274">
        <v>0</v>
      </c>
      <c r="K415" s="275">
        <v>0</v>
      </c>
      <c r="L415" s="274">
        <v>0</v>
      </c>
      <c r="M415" s="274">
        <v>0</v>
      </c>
      <c r="N415" s="274">
        <v>0</v>
      </c>
      <c r="O415" s="274">
        <v>0</v>
      </c>
      <c r="P415" s="274">
        <v>0</v>
      </c>
      <c r="Q415" s="274">
        <v>0</v>
      </c>
      <c r="R415" s="274">
        <v>0</v>
      </c>
      <c r="S415" s="274">
        <v>0</v>
      </c>
      <c r="T415" s="274">
        <v>0</v>
      </c>
      <c r="U415" s="274">
        <v>0</v>
      </c>
      <c r="V415" s="274">
        <v>0</v>
      </c>
      <c r="W415" s="274">
        <v>0</v>
      </c>
      <c r="X415" s="274">
        <v>0</v>
      </c>
      <c r="Y415" s="274">
        <v>0</v>
      </c>
      <c r="Z415" s="274">
        <v>0</v>
      </c>
      <c r="AA415" s="274">
        <v>0</v>
      </c>
      <c r="AB415" s="276">
        <v>2020</v>
      </c>
    </row>
    <row r="416" spans="1:28" s="6" customFormat="1" ht="35.25" x14ac:dyDescent="0.5">
      <c r="A416" s="6">
        <v>1</v>
      </c>
      <c r="B416" s="135">
        <f>SUBTOTAL(103,$A$7:A416)</f>
        <v>400</v>
      </c>
      <c r="C416" s="270" t="s">
        <v>2237</v>
      </c>
      <c r="D416" s="271">
        <f>E416+F416+G416+H416+I416+J416+L416+M416+N416+O416+P416+Q416+R416+S416+T416+U416+V416+W416+X416+Y416+Z416+AA416</f>
        <v>58155</v>
      </c>
      <c r="E416" s="274">
        <v>0</v>
      </c>
      <c r="F416" s="274">
        <v>0</v>
      </c>
      <c r="G416" s="274">
        <v>58155</v>
      </c>
      <c r="H416" s="274">
        <v>0</v>
      </c>
      <c r="I416" s="274">
        <v>0</v>
      </c>
      <c r="J416" s="274">
        <v>0</v>
      </c>
      <c r="K416" s="275">
        <v>0</v>
      </c>
      <c r="L416" s="274">
        <v>0</v>
      </c>
      <c r="M416" s="274">
        <v>0</v>
      </c>
      <c r="N416" s="274">
        <v>0</v>
      </c>
      <c r="O416" s="274">
        <v>0</v>
      </c>
      <c r="P416" s="274">
        <v>0</v>
      </c>
      <c r="Q416" s="274">
        <v>0</v>
      </c>
      <c r="R416" s="274">
        <v>0</v>
      </c>
      <c r="S416" s="274">
        <v>0</v>
      </c>
      <c r="T416" s="274">
        <v>0</v>
      </c>
      <c r="U416" s="274">
        <v>0</v>
      </c>
      <c r="V416" s="274">
        <v>0</v>
      </c>
      <c r="W416" s="274">
        <v>0</v>
      </c>
      <c r="X416" s="274">
        <v>0</v>
      </c>
      <c r="Y416" s="274">
        <v>0</v>
      </c>
      <c r="Z416" s="274">
        <v>0</v>
      </c>
      <c r="AA416" s="274">
        <v>0</v>
      </c>
      <c r="AB416" s="276">
        <v>2020</v>
      </c>
    </row>
    <row r="417" spans="1:28" s="6" customFormat="1" ht="35.25" x14ac:dyDescent="0.5">
      <c r="A417" s="6">
        <v>1</v>
      </c>
      <c r="B417" s="135">
        <f>SUBTOTAL(103,$A$7:A417)</f>
        <v>401</v>
      </c>
      <c r="C417" s="270" t="s">
        <v>2238</v>
      </c>
      <c r="D417" s="271">
        <v>1269855</v>
      </c>
      <c r="E417" s="274">
        <v>0</v>
      </c>
      <c r="F417" s="274">
        <v>0</v>
      </c>
      <c r="G417" s="274">
        <v>0</v>
      </c>
      <c r="H417" s="274">
        <v>0</v>
      </c>
      <c r="I417" s="274">
        <v>0</v>
      </c>
      <c r="J417" s="274">
        <v>0</v>
      </c>
      <c r="K417" s="275">
        <v>0</v>
      </c>
      <c r="L417" s="274">
        <v>0</v>
      </c>
      <c r="M417" s="274">
        <v>1120180</v>
      </c>
      <c r="N417" s="274">
        <v>0</v>
      </c>
      <c r="O417" s="274">
        <v>149675</v>
      </c>
      <c r="P417" s="274">
        <v>0</v>
      </c>
      <c r="Q417" s="274">
        <v>0</v>
      </c>
      <c r="R417" s="274">
        <v>0</v>
      </c>
      <c r="S417" s="274">
        <v>0</v>
      </c>
      <c r="T417" s="274">
        <v>0</v>
      </c>
      <c r="U417" s="274">
        <v>0</v>
      </c>
      <c r="V417" s="274">
        <v>0</v>
      </c>
      <c r="W417" s="274">
        <v>0</v>
      </c>
      <c r="X417" s="274">
        <v>0</v>
      </c>
      <c r="Y417" s="274">
        <v>0</v>
      </c>
      <c r="Z417" s="274">
        <v>0</v>
      </c>
      <c r="AA417" s="274">
        <v>0</v>
      </c>
      <c r="AB417" s="276">
        <v>2020</v>
      </c>
    </row>
    <row r="418" spans="1:28" s="6" customFormat="1" ht="35.25" customHeight="1" x14ac:dyDescent="0.5">
      <c r="B418" s="270" t="s">
        <v>859</v>
      </c>
      <c r="C418" s="270"/>
      <c r="D418" s="271">
        <f t="shared" ref="D418:AA418" si="22">SUM(D419:D419)</f>
        <v>30800</v>
      </c>
      <c r="E418" s="271">
        <f t="shared" si="22"/>
        <v>0</v>
      </c>
      <c r="F418" s="271">
        <f t="shared" si="22"/>
        <v>0</v>
      </c>
      <c r="G418" s="271">
        <f t="shared" si="22"/>
        <v>0</v>
      </c>
      <c r="H418" s="271">
        <f t="shared" si="22"/>
        <v>0</v>
      </c>
      <c r="I418" s="271">
        <f t="shared" si="22"/>
        <v>0</v>
      </c>
      <c r="J418" s="271">
        <f t="shared" si="22"/>
        <v>0</v>
      </c>
      <c r="K418" s="272">
        <f t="shared" si="22"/>
        <v>0</v>
      </c>
      <c r="L418" s="271">
        <f t="shared" si="22"/>
        <v>0</v>
      </c>
      <c r="M418" s="271">
        <f t="shared" si="22"/>
        <v>0</v>
      </c>
      <c r="N418" s="271">
        <f t="shared" si="22"/>
        <v>0</v>
      </c>
      <c r="O418" s="271">
        <f t="shared" si="22"/>
        <v>30800</v>
      </c>
      <c r="P418" s="271">
        <f t="shared" si="22"/>
        <v>0</v>
      </c>
      <c r="Q418" s="271">
        <f t="shared" si="22"/>
        <v>0</v>
      </c>
      <c r="R418" s="271">
        <f t="shared" si="22"/>
        <v>0</v>
      </c>
      <c r="S418" s="271">
        <f t="shared" si="22"/>
        <v>0</v>
      </c>
      <c r="T418" s="271">
        <f t="shared" si="22"/>
        <v>0</v>
      </c>
      <c r="U418" s="271">
        <f t="shared" si="22"/>
        <v>0</v>
      </c>
      <c r="V418" s="271">
        <f t="shared" si="22"/>
        <v>0</v>
      </c>
      <c r="W418" s="271">
        <f t="shared" si="22"/>
        <v>0</v>
      </c>
      <c r="X418" s="271">
        <f t="shared" si="22"/>
        <v>0</v>
      </c>
      <c r="Y418" s="271">
        <f t="shared" si="22"/>
        <v>0</v>
      </c>
      <c r="Z418" s="271">
        <f t="shared" si="22"/>
        <v>0</v>
      </c>
      <c r="AA418" s="271">
        <f t="shared" si="22"/>
        <v>0</v>
      </c>
      <c r="AB418" s="273" t="s">
        <v>896</v>
      </c>
    </row>
    <row r="419" spans="1:28" s="6" customFormat="1" ht="35.25" customHeight="1" x14ac:dyDescent="0.5">
      <c r="A419" s="6">
        <v>1</v>
      </c>
      <c r="B419" s="135">
        <f>SUBTOTAL(103,$A$7:A419)</f>
        <v>402</v>
      </c>
      <c r="C419" s="270" t="s">
        <v>1885</v>
      </c>
      <c r="D419" s="271">
        <f>E419+F419+G419+H419+I419+J419+L419+M419+N419+O419+P419+Q419+R419+S419+T419+U419+V419+W419+X419+Y419+Z419+AA419</f>
        <v>30800</v>
      </c>
      <c r="E419" s="274">
        <v>0</v>
      </c>
      <c r="F419" s="274">
        <v>0</v>
      </c>
      <c r="G419" s="274">
        <v>0</v>
      </c>
      <c r="H419" s="274">
        <v>0</v>
      </c>
      <c r="I419" s="274">
        <v>0</v>
      </c>
      <c r="J419" s="274">
        <v>0</v>
      </c>
      <c r="K419" s="275">
        <v>0</v>
      </c>
      <c r="L419" s="274">
        <v>0</v>
      </c>
      <c r="M419" s="274">
        <v>0</v>
      </c>
      <c r="N419" s="274">
        <v>0</v>
      </c>
      <c r="O419" s="274">
        <v>30800</v>
      </c>
      <c r="P419" s="274">
        <v>0</v>
      </c>
      <c r="Q419" s="274">
        <v>0</v>
      </c>
      <c r="R419" s="274">
        <v>0</v>
      </c>
      <c r="S419" s="274">
        <v>0</v>
      </c>
      <c r="T419" s="274">
        <v>0</v>
      </c>
      <c r="U419" s="274">
        <v>0</v>
      </c>
      <c r="V419" s="274">
        <v>0</v>
      </c>
      <c r="W419" s="274">
        <v>0</v>
      </c>
      <c r="X419" s="274">
        <v>0</v>
      </c>
      <c r="Y419" s="274">
        <v>0</v>
      </c>
      <c r="Z419" s="274">
        <v>0</v>
      </c>
      <c r="AA419" s="274">
        <v>0</v>
      </c>
      <c r="AB419" s="276">
        <v>2020</v>
      </c>
    </row>
    <row r="420" spans="1:28" s="6" customFormat="1" ht="35.25" customHeight="1" x14ac:dyDescent="0.5">
      <c r="B420" s="270" t="s">
        <v>858</v>
      </c>
      <c r="C420" s="270"/>
      <c r="D420" s="271">
        <f t="shared" ref="D420:AA420" si="23">SUM(D421:D421)</f>
        <v>246611</v>
      </c>
      <c r="E420" s="271">
        <f t="shared" si="23"/>
        <v>0</v>
      </c>
      <c r="F420" s="271">
        <f t="shared" si="23"/>
        <v>0</v>
      </c>
      <c r="G420" s="271">
        <f t="shared" si="23"/>
        <v>0</v>
      </c>
      <c r="H420" s="271">
        <f t="shared" si="23"/>
        <v>0</v>
      </c>
      <c r="I420" s="271">
        <f t="shared" si="23"/>
        <v>0</v>
      </c>
      <c r="J420" s="271">
        <f t="shared" si="23"/>
        <v>0</v>
      </c>
      <c r="K420" s="275">
        <f t="shared" si="23"/>
        <v>0</v>
      </c>
      <c r="L420" s="271">
        <f t="shared" si="23"/>
        <v>0</v>
      </c>
      <c r="M420" s="271">
        <f t="shared" si="23"/>
        <v>0</v>
      </c>
      <c r="N420" s="271">
        <f t="shared" si="23"/>
        <v>0</v>
      </c>
      <c r="O420" s="271">
        <f t="shared" si="23"/>
        <v>246611</v>
      </c>
      <c r="P420" s="271">
        <f t="shared" si="23"/>
        <v>0</v>
      </c>
      <c r="Q420" s="271">
        <f t="shared" si="23"/>
        <v>0</v>
      </c>
      <c r="R420" s="271">
        <f t="shared" si="23"/>
        <v>0</v>
      </c>
      <c r="S420" s="271">
        <f t="shared" si="23"/>
        <v>0</v>
      </c>
      <c r="T420" s="271">
        <f t="shared" si="23"/>
        <v>0</v>
      </c>
      <c r="U420" s="271">
        <f t="shared" si="23"/>
        <v>0</v>
      </c>
      <c r="V420" s="271">
        <f t="shared" si="23"/>
        <v>0</v>
      </c>
      <c r="W420" s="271">
        <f t="shared" si="23"/>
        <v>0</v>
      </c>
      <c r="X420" s="271">
        <f t="shared" si="23"/>
        <v>0</v>
      </c>
      <c r="Y420" s="271">
        <f t="shared" si="23"/>
        <v>0</v>
      </c>
      <c r="Z420" s="271">
        <f t="shared" si="23"/>
        <v>0</v>
      </c>
      <c r="AA420" s="271">
        <f t="shared" si="23"/>
        <v>0</v>
      </c>
      <c r="AB420" s="273" t="s">
        <v>896</v>
      </c>
    </row>
    <row r="421" spans="1:28" s="6" customFormat="1" ht="35.25" x14ac:dyDescent="0.5">
      <c r="A421" s="6">
        <v>1</v>
      </c>
      <c r="B421" s="135">
        <f>SUBTOTAL(103,$A$7:A421)</f>
        <v>403</v>
      </c>
      <c r="C421" s="270" t="s">
        <v>1886</v>
      </c>
      <c r="D421" s="271">
        <f>E421+F421+G421+H421+I421+J421+L421+M421+N421+O421+P421+Q421+R421+S421+T421+U421+V421+W421+X421+Y421+Z421+AA421</f>
        <v>246611</v>
      </c>
      <c r="E421" s="274">
        <v>0</v>
      </c>
      <c r="F421" s="274">
        <v>0</v>
      </c>
      <c r="G421" s="274">
        <v>0</v>
      </c>
      <c r="H421" s="274">
        <v>0</v>
      </c>
      <c r="I421" s="274">
        <v>0</v>
      </c>
      <c r="J421" s="274">
        <v>0</v>
      </c>
      <c r="K421" s="275">
        <v>0</v>
      </c>
      <c r="L421" s="274">
        <v>0</v>
      </c>
      <c r="M421" s="274">
        <v>0</v>
      </c>
      <c r="N421" s="274">
        <v>0</v>
      </c>
      <c r="O421" s="274">
        <v>246611</v>
      </c>
      <c r="P421" s="274">
        <v>0</v>
      </c>
      <c r="Q421" s="274">
        <v>0</v>
      </c>
      <c r="R421" s="274">
        <v>0</v>
      </c>
      <c r="S421" s="274">
        <v>0</v>
      </c>
      <c r="T421" s="274">
        <v>0</v>
      </c>
      <c r="U421" s="274">
        <v>0</v>
      </c>
      <c r="V421" s="274">
        <v>0</v>
      </c>
      <c r="W421" s="274">
        <v>0</v>
      </c>
      <c r="X421" s="274">
        <v>0</v>
      </c>
      <c r="Y421" s="274">
        <v>0</v>
      </c>
      <c r="Z421" s="274">
        <v>0</v>
      </c>
      <c r="AA421" s="274">
        <v>0</v>
      </c>
      <c r="AB421" s="276">
        <v>2020</v>
      </c>
    </row>
    <row r="422" spans="1:28" s="6" customFormat="1" ht="35.25" customHeight="1" x14ac:dyDescent="0.5">
      <c r="B422" s="270" t="s">
        <v>886</v>
      </c>
      <c r="C422" s="270"/>
      <c r="D422" s="271">
        <f>SUM(D423:D424)</f>
        <v>855755</v>
      </c>
      <c r="E422" s="271">
        <f t="shared" ref="E422:AA422" si="24">SUM(E423:E424)</f>
        <v>0</v>
      </c>
      <c r="F422" s="271">
        <f t="shared" si="24"/>
        <v>0</v>
      </c>
      <c r="G422" s="271">
        <f t="shared" si="24"/>
        <v>0</v>
      </c>
      <c r="H422" s="271">
        <f t="shared" si="24"/>
        <v>0</v>
      </c>
      <c r="I422" s="271">
        <f t="shared" si="24"/>
        <v>0</v>
      </c>
      <c r="J422" s="271">
        <f t="shared" si="24"/>
        <v>0</v>
      </c>
      <c r="K422" s="275">
        <f t="shared" si="24"/>
        <v>0</v>
      </c>
      <c r="L422" s="271">
        <f t="shared" si="24"/>
        <v>0</v>
      </c>
      <c r="M422" s="271">
        <f t="shared" si="24"/>
        <v>0</v>
      </c>
      <c r="N422" s="271">
        <f t="shared" si="24"/>
        <v>855755</v>
      </c>
      <c r="O422" s="271">
        <f t="shared" si="24"/>
        <v>0</v>
      </c>
      <c r="P422" s="271">
        <f t="shared" si="24"/>
        <v>0</v>
      </c>
      <c r="Q422" s="271">
        <f t="shared" si="24"/>
        <v>0</v>
      </c>
      <c r="R422" s="271">
        <f t="shared" si="24"/>
        <v>0</v>
      </c>
      <c r="S422" s="271">
        <f t="shared" si="24"/>
        <v>0</v>
      </c>
      <c r="T422" s="271">
        <f t="shared" si="24"/>
        <v>0</v>
      </c>
      <c r="U422" s="271">
        <f t="shared" si="24"/>
        <v>0</v>
      </c>
      <c r="V422" s="271">
        <f t="shared" si="24"/>
        <v>0</v>
      </c>
      <c r="W422" s="271">
        <f t="shared" si="24"/>
        <v>0</v>
      </c>
      <c r="X422" s="271">
        <f t="shared" si="24"/>
        <v>0</v>
      </c>
      <c r="Y422" s="271">
        <f t="shared" si="24"/>
        <v>0</v>
      </c>
      <c r="Z422" s="271">
        <f t="shared" si="24"/>
        <v>0</v>
      </c>
      <c r="AA422" s="271">
        <f t="shared" si="24"/>
        <v>0</v>
      </c>
      <c r="AB422" s="273" t="s">
        <v>896</v>
      </c>
    </row>
    <row r="423" spans="1:28" s="6" customFormat="1" ht="35.25" customHeight="1" x14ac:dyDescent="0.5">
      <c r="A423" s="6">
        <v>1</v>
      </c>
      <c r="B423" s="135">
        <f>SUBTOTAL(103,$A$7:A423)</f>
        <v>404</v>
      </c>
      <c r="C423" s="270" t="s">
        <v>1887</v>
      </c>
      <c r="D423" s="271">
        <f>E423+F423+G423+H423+I423+J423+L423+M423+N423+O423+P423+Q423+R423+S423+T423+U423+V423+W423+X423+Y423+Z423+AA423</f>
        <v>488555</v>
      </c>
      <c r="E423" s="274">
        <v>0</v>
      </c>
      <c r="F423" s="274">
        <v>0</v>
      </c>
      <c r="G423" s="274">
        <v>0</v>
      </c>
      <c r="H423" s="274">
        <v>0</v>
      </c>
      <c r="I423" s="274">
        <v>0</v>
      </c>
      <c r="J423" s="274">
        <v>0</v>
      </c>
      <c r="K423" s="275">
        <v>0</v>
      </c>
      <c r="L423" s="274">
        <v>0</v>
      </c>
      <c r="M423" s="274">
        <v>0</v>
      </c>
      <c r="N423" s="274">
        <v>488555</v>
      </c>
      <c r="O423" s="274">
        <v>0</v>
      </c>
      <c r="P423" s="274">
        <v>0</v>
      </c>
      <c r="Q423" s="274">
        <v>0</v>
      </c>
      <c r="R423" s="274">
        <v>0</v>
      </c>
      <c r="S423" s="274">
        <v>0</v>
      </c>
      <c r="T423" s="274">
        <v>0</v>
      </c>
      <c r="U423" s="274">
        <v>0</v>
      </c>
      <c r="V423" s="274">
        <v>0</v>
      </c>
      <c r="W423" s="274">
        <v>0</v>
      </c>
      <c r="X423" s="274">
        <v>0</v>
      </c>
      <c r="Y423" s="274">
        <v>0</v>
      </c>
      <c r="Z423" s="274">
        <v>0</v>
      </c>
      <c r="AA423" s="274">
        <v>0</v>
      </c>
      <c r="AB423" s="276">
        <v>2020</v>
      </c>
    </row>
    <row r="424" spans="1:28" s="6" customFormat="1" ht="35.25" customHeight="1" x14ac:dyDescent="0.5">
      <c r="A424" s="6">
        <v>1</v>
      </c>
      <c r="B424" s="135">
        <f>SUBTOTAL(103,$A$7:A424)</f>
        <v>405</v>
      </c>
      <c r="C424" s="270" t="s">
        <v>1888</v>
      </c>
      <c r="D424" s="271">
        <f>E424+F424+G424+H424+I424+J424+L424+M424+N424+O424+P424+Q424+R424+S424+T424+U424+V424+W424+X424+Y424+Z424+AA424</f>
        <v>367200</v>
      </c>
      <c r="E424" s="274">
        <v>0</v>
      </c>
      <c r="F424" s="274">
        <v>0</v>
      </c>
      <c r="G424" s="274">
        <v>0</v>
      </c>
      <c r="H424" s="274">
        <v>0</v>
      </c>
      <c r="I424" s="274">
        <v>0</v>
      </c>
      <c r="J424" s="274">
        <v>0</v>
      </c>
      <c r="K424" s="275">
        <v>0</v>
      </c>
      <c r="L424" s="274">
        <v>0</v>
      </c>
      <c r="M424" s="274">
        <v>0</v>
      </c>
      <c r="N424" s="274">
        <v>367200</v>
      </c>
      <c r="O424" s="274">
        <v>0</v>
      </c>
      <c r="P424" s="274">
        <v>0</v>
      </c>
      <c r="Q424" s="274">
        <v>0</v>
      </c>
      <c r="R424" s="274">
        <v>0</v>
      </c>
      <c r="S424" s="274">
        <v>0</v>
      </c>
      <c r="T424" s="274">
        <v>0</v>
      </c>
      <c r="U424" s="274">
        <v>0</v>
      </c>
      <c r="V424" s="274">
        <v>0</v>
      </c>
      <c r="W424" s="274">
        <v>0</v>
      </c>
      <c r="X424" s="274">
        <v>0</v>
      </c>
      <c r="Y424" s="274">
        <v>0</v>
      </c>
      <c r="Z424" s="274">
        <v>0</v>
      </c>
      <c r="AA424" s="274">
        <v>0</v>
      </c>
      <c r="AB424" s="276">
        <v>2020</v>
      </c>
    </row>
    <row r="425" spans="1:28" s="6" customFormat="1" ht="35.25" customHeight="1" x14ac:dyDescent="0.5">
      <c r="B425" s="269" t="s">
        <v>834</v>
      </c>
      <c r="C425" s="270"/>
      <c r="D425" s="271">
        <f t="shared" ref="D425:AA425" si="25">SUM(D426:D432)</f>
        <v>2682963.6799999997</v>
      </c>
      <c r="E425" s="271">
        <f t="shared" si="25"/>
        <v>0</v>
      </c>
      <c r="F425" s="271">
        <f t="shared" si="25"/>
        <v>0</v>
      </c>
      <c r="G425" s="271">
        <f t="shared" si="25"/>
        <v>739716.67999999993</v>
      </c>
      <c r="H425" s="271">
        <f t="shared" si="25"/>
        <v>0</v>
      </c>
      <c r="I425" s="271">
        <f t="shared" si="25"/>
        <v>0</v>
      </c>
      <c r="J425" s="271">
        <f t="shared" si="25"/>
        <v>0</v>
      </c>
      <c r="K425" s="275">
        <f t="shared" si="25"/>
        <v>0</v>
      </c>
      <c r="L425" s="271">
        <f t="shared" si="25"/>
        <v>0</v>
      </c>
      <c r="M425" s="271">
        <f t="shared" si="25"/>
        <v>333320</v>
      </c>
      <c r="N425" s="271">
        <f t="shared" si="25"/>
        <v>0</v>
      </c>
      <c r="O425" s="271">
        <f t="shared" si="25"/>
        <v>1609927</v>
      </c>
      <c r="P425" s="271">
        <f t="shared" si="25"/>
        <v>0</v>
      </c>
      <c r="Q425" s="271">
        <f t="shared" si="25"/>
        <v>0</v>
      </c>
      <c r="R425" s="271">
        <f t="shared" si="25"/>
        <v>0</v>
      </c>
      <c r="S425" s="271">
        <f t="shared" si="25"/>
        <v>0</v>
      </c>
      <c r="T425" s="271">
        <f t="shared" si="25"/>
        <v>0</v>
      </c>
      <c r="U425" s="271">
        <f t="shared" si="25"/>
        <v>0</v>
      </c>
      <c r="V425" s="271">
        <f t="shared" si="25"/>
        <v>0</v>
      </c>
      <c r="W425" s="271">
        <f t="shared" si="25"/>
        <v>0</v>
      </c>
      <c r="X425" s="271">
        <f t="shared" si="25"/>
        <v>0</v>
      </c>
      <c r="Y425" s="271">
        <f t="shared" si="25"/>
        <v>0</v>
      </c>
      <c r="Z425" s="271">
        <f t="shared" si="25"/>
        <v>0</v>
      </c>
      <c r="AA425" s="271">
        <f t="shared" si="25"/>
        <v>0</v>
      </c>
      <c r="AB425" s="273" t="s">
        <v>896</v>
      </c>
    </row>
    <row r="426" spans="1:28" s="6" customFormat="1" ht="35.25" x14ac:dyDescent="0.5">
      <c r="A426" s="6">
        <v>1</v>
      </c>
      <c r="B426" s="135">
        <f>SUBTOTAL(103,$A$7:A426)</f>
        <v>406</v>
      </c>
      <c r="C426" s="270" t="s">
        <v>2239</v>
      </c>
      <c r="D426" s="271">
        <f t="shared" ref="D426:D436" si="26">E426+F426+G426+H426+I426+J426+L426+M426+N426+O426+P426+Q426+R426+S426+T426+U426+V426+W426+X426+Y426+Z426+AA426</f>
        <v>338400</v>
      </c>
      <c r="E426" s="277">
        <v>0</v>
      </c>
      <c r="F426" s="277">
        <v>0</v>
      </c>
      <c r="G426" s="274">
        <v>0</v>
      </c>
      <c r="H426" s="274">
        <v>0</v>
      </c>
      <c r="I426" s="274">
        <v>0</v>
      </c>
      <c r="J426" s="274">
        <v>0</v>
      </c>
      <c r="K426" s="275">
        <v>0</v>
      </c>
      <c r="L426" s="274">
        <v>0</v>
      </c>
      <c r="M426" s="277">
        <v>0</v>
      </c>
      <c r="N426" s="274">
        <v>0</v>
      </c>
      <c r="O426" s="274">
        <v>338400</v>
      </c>
      <c r="P426" s="274">
        <v>0</v>
      </c>
      <c r="Q426" s="274">
        <v>0</v>
      </c>
      <c r="R426" s="274">
        <v>0</v>
      </c>
      <c r="S426" s="274">
        <v>0</v>
      </c>
      <c r="T426" s="274">
        <v>0</v>
      </c>
      <c r="U426" s="274">
        <v>0</v>
      </c>
      <c r="V426" s="274">
        <v>0</v>
      </c>
      <c r="W426" s="274">
        <v>0</v>
      </c>
      <c r="X426" s="274">
        <v>0</v>
      </c>
      <c r="Y426" s="274">
        <v>0</v>
      </c>
      <c r="Z426" s="274">
        <v>0</v>
      </c>
      <c r="AA426" s="274">
        <v>0</v>
      </c>
      <c r="AB426" s="276">
        <v>2020</v>
      </c>
    </row>
    <row r="427" spans="1:28" s="6" customFormat="1" ht="35.25" x14ac:dyDescent="0.5">
      <c r="A427" s="6">
        <v>1</v>
      </c>
      <c r="B427" s="135">
        <f>SUBTOTAL(103,$A$7:A427)</f>
        <v>407</v>
      </c>
      <c r="C427" s="270" t="s">
        <v>2240</v>
      </c>
      <c r="D427" s="271">
        <f t="shared" si="26"/>
        <v>353445</v>
      </c>
      <c r="E427" s="277">
        <v>0</v>
      </c>
      <c r="F427" s="277">
        <v>0</v>
      </c>
      <c r="G427" s="274">
        <v>0</v>
      </c>
      <c r="H427" s="274">
        <v>0</v>
      </c>
      <c r="I427" s="274">
        <v>0</v>
      </c>
      <c r="J427" s="274">
        <v>0</v>
      </c>
      <c r="K427" s="275">
        <v>0</v>
      </c>
      <c r="L427" s="274">
        <v>0</v>
      </c>
      <c r="M427" s="277">
        <v>0</v>
      </c>
      <c r="N427" s="274">
        <v>0</v>
      </c>
      <c r="O427" s="274">
        <v>353445</v>
      </c>
      <c r="P427" s="274">
        <v>0</v>
      </c>
      <c r="Q427" s="274">
        <v>0</v>
      </c>
      <c r="R427" s="274">
        <v>0</v>
      </c>
      <c r="S427" s="274">
        <v>0</v>
      </c>
      <c r="T427" s="274">
        <v>0</v>
      </c>
      <c r="U427" s="274">
        <v>0</v>
      </c>
      <c r="V427" s="274">
        <v>0</v>
      </c>
      <c r="W427" s="274">
        <v>0</v>
      </c>
      <c r="X427" s="274">
        <v>0</v>
      </c>
      <c r="Y427" s="274">
        <v>0</v>
      </c>
      <c r="Z427" s="274">
        <v>0</v>
      </c>
      <c r="AA427" s="274">
        <v>0</v>
      </c>
      <c r="AB427" s="276">
        <v>2020</v>
      </c>
    </row>
    <row r="428" spans="1:28" s="6" customFormat="1" ht="35.25" x14ac:dyDescent="0.5">
      <c r="A428" s="6">
        <v>1</v>
      </c>
      <c r="B428" s="135">
        <f>SUBTOTAL(103,$A$7:A428)</f>
        <v>408</v>
      </c>
      <c r="C428" s="270" t="s">
        <v>2241</v>
      </c>
      <c r="D428" s="271">
        <f t="shared" si="26"/>
        <v>436897.68</v>
      </c>
      <c r="E428" s="277">
        <v>0</v>
      </c>
      <c r="F428" s="277">
        <v>0</v>
      </c>
      <c r="G428" s="274">
        <v>436897.68</v>
      </c>
      <c r="H428" s="274">
        <v>0</v>
      </c>
      <c r="I428" s="274">
        <v>0</v>
      </c>
      <c r="J428" s="274">
        <v>0</v>
      </c>
      <c r="K428" s="275">
        <v>0</v>
      </c>
      <c r="L428" s="274">
        <v>0</v>
      </c>
      <c r="M428" s="277">
        <v>0</v>
      </c>
      <c r="N428" s="274">
        <v>0</v>
      </c>
      <c r="O428" s="274">
        <v>0</v>
      </c>
      <c r="P428" s="274">
        <v>0</v>
      </c>
      <c r="Q428" s="274">
        <v>0</v>
      </c>
      <c r="R428" s="274">
        <v>0</v>
      </c>
      <c r="S428" s="274">
        <v>0</v>
      </c>
      <c r="T428" s="274">
        <v>0</v>
      </c>
      <c r="U428" s="274">
        <v>0</v>
      </c>
      <c r="V428" s="274">
        <v>0</v>
      </c>
      <c r="W428" s="274">
        <v>0</v>
      </c>
      <c r="X428" s="274">
        <v>0</v>
      </c>
      <c r="Y428" s="274">
        <v>0</v>
      </c>
      <c r="Z428" s="274">
        <v>0</v>
      </c>
      <c r="AA428" s="274">
        <v>0</v>
      </c>
      <c r="AB428" s="276">
        <v>2020</v>
      </c>
    </row>
    <row r="429" spans="1:28" s="6" customFormat="1" ht="35.25" x14ac:dyDescent="0.5">
      <c r="A429" s="6">
        <v>1</v>
      </c>
      <c r="B429" s="135">
        <f>SUBTOTAL(103,$A$7:A429)</f>
        <v>409</v>
      </c>
      <c r="C429" s="270" t="s">
        <v>2242</v>
      </c>
      <c r="D429" s="271">
        <f t="shared" si="26"/>
        <v>323557</v>
      </c>
      <c r="E429" s="277">
        <v>0</v>
      </c>
      <c r="F429" s="277">
        <v>0</v>
      </c>
      <c r="G429" s="274">
        <v>0</v>
      </c>
      <c r="H429" s="274">
        <v>0</v>
      </c>
      <c r="I429" s="274">
        <v>0</v>
      </c>
      <c r="J429" s="274">
        <v>0</v>
      </c>
      <c r="K429" s="275">
        <v>0</v>
      </c>
      <c r="L429" s="274">
        <v>0</v>
      </c>
      <c r="M429" s="277">
        <v>0</v>
      </c>
      <c r="N429" s="274">
        <v>0</v>
      </c>
      <c r="O429" s="274">
        <v>323557</v>
      </c>
      <c r="P429" s="274">
        <v>0</v>
      </c>
      <c r="Q429" s="274">
        <v>0</v>
      </c>
      <c r="R429" s="274">
        <v>0</v>
      </c>
      <c r="S429" s="274">
        <v>0</v>
      </c>
      <c r="T429" s="274">
        <v>0</v>
      </c>
      <c r="U429" s="274">
        <v>0</v>
      </c>
      <c r="V429" s="274">
        <v>0</v>
      </c>
      <c r="W429" s="274">
        <v>0</v>
      </c>
      <c r="X429" s="274">
        <v>0</v>
      </c>
      <c r="Y429" s="274">
        <v>0</v>
      </c>
      <c r="Z429" s="274">
        <v>0</v>
      </c>
      <c r="AA429" s="274">
        <v>0</v>
      </c>
      <c r="AB429" s="276">
        <v>2020</v>
      </c>
    </row>
    <row r="430" spans="1:28" s="6" customFormat="1" ht="35.25" x14ac:dyDescent="0.5">
      <c r="A430" s="6">
        <v>1</v>
      </c>
      <c r="B430" s="135">
        <f>SUBTOTAL(103,$A$7:A430)</f>
        <v>410</v>
      </c>
      <c r="C430" s="270" t="s">
        <v>2243</v>
      </c>
      <c r="D430" s="271">
        <f t="shared" si="26"/>
        <v>574400</v>
      </c>
      <c r="E430" s="277">
        <v>0</v>
      </c>
      <c r="F430" s="277">
        <v>0</v>
      </c>
      <c r="G430" s="274">
        <v>0</v>
      </c>
      <c r="H430" s="274">
        <v>0</v>
      </c>
      <c r="I430" s="274">
        <v>0</v>
      </c>
      <c r="J430" s="274">
        <v>0</v>
      </c>
      <c r="K430" s="275">
        <v>0</v>
      </c>
      <c r="L430" s="274">
        <v>0</v>
      </c>
      <c r="M430" s="277">
        <v>333320</v>
      </c>
      <c r="N430" s="274">
        <v>0</v>
      </c>
      <c r="O430" s="274">
        <v>241080</v>
      </c>
      <c r="P430" s="274">
        <v>0</v>
      </c>
      <c r="Q430" s="274">
        <v>0</v>
      </c>
      <c r="R430" s="274">
        <v>0</v>
      </c>
      <c r="S430" s="274">
        <v>0</v>
      </c>
      <c r="T430" s="274">
        <v>0</v>
      </c>
      <c r="U430" s="274">
        <v>0</v>
      </c>
      <c r="V430" s="274">
        <v>0</v>
      </c>
      <c r="W430" s="274">
        <v>0</v>
      </c>
      <c r="X430" s="274">
        <v>0</v>
      </c>
      <c r="Y430" s="274">
        <v>0</v>
      </c>
      <c r="Z430" s="274">
        <v>0</v>
      </c>
      <c r="AA430" s="274">
        <v>0</v>
      </c>
      <c r="AB430" s="276">
        <v>2020</v>
      </c>
    </row>
    <row r="431" spans="1:28" s="6" customFormat="1" ht="35.25" x14ac:dyDescent="0.5">
      <c r="A431" s="6">
        <v>1</v>
      </c>
      <c r="B431" s="135">
        <f>SUBTOTAL(103,$A$7:A431)</f>
        <v>411</v>
      </c>
      <c r="C431" s="270" t="s">
        <v>2244</v>
      </c>
      <c r="D431" s="271">
        <f t="shared" si="26"/>
        <v>353445</v>
      </c>
      <c r="E431" s="277">
        <v>0</v>
      </c>
      <c r="F431" s="277">
        <v>0</v>
      </c>
      <c r="G431" s="274">
        <v>0</v>
      </c>
      <c r="H431" s="274">
        <v>0</v>
      </c>
      <c r="I431" s="274">
        <v>0</v>
      </c>
      <c r="J431" s="274">
        <v>0</v>
      </c>
      <c r="K431" s="275">
        <v>0</v>
      </c>
      <c r="L431" s="274">
        <v>0</v>
      </c>
      <c r="M431" s="277">
        <v>0</v>
      </c>
      <c r="N431" s="274">
        <v>0</v>
      </c>
      <c r="O431" s="274">
        <v>353445</v>
      </c>
      <c r="P431" s="274">
        <v>0</v>
      </c>
      <c r="Q431" s="274">
        <v>0</v>
      </c>
      <c r="R431" s="274">
        <v>0</v>
      </c>
      <c r="S431" s="274">
        <v>0</v>
      </c>
      <c r="T431" s="274">
        <v>0</v>
      </c>
      <c r="U431" s="274">
        <v>0</v>
      </c>
      <c r="V431" s="274">
        <v>0</v>
      </c>
      <c r="W431" s="274">
        <v>0</v>
      </c>
      <c r="X431" s="274">
        <v>0</v>
      </c>
      <c r="Y431" s="274">
        <v>0</v>
      </c>
      <c r="Z431" s="274">
        <v>0</v>
      </c>
      <c r="AA431" s="274">
        <v>0</v>
      </c>
      <c r="AB431" s="276">
        <v>2020</v>
      </c>
    </row>
    <row r="432" spans="1:28" s="6" customFormat="1" ht="35.25" x14ac:dyDescent="0.5">
      <c r="A432" s="6">
        <v>1</v>
      </c>
      <c r="B432" s="135">
        <f>SUBTOTAL(103,$A$7:A432)</f>
        <v>412</v>
      </c>
      <c r="C432" s="270" t="s">
        <v>2245</v>
      </c>
      <c r="D432" s="271">
        <f t="shared" si="26"/>
        <v>302819</v>
      </c>
      <c r="E432" s="277">
        <v>0</v>
      </c>
      <c r="F432" s="277">
        <v>0</v>
      </c>
      <c r="G432" s="274">
        <v>302819</v>
      </c>
      <c r="H432" s="274">
        <v>0</v>
      </c>
      <c r="I432" s="274">
        <v>0</v>
      </c>
      <c r="J432" s="274">
        <v>0</v>
      </c>
      <c r="K432" s="275">
        <v>0</v>
      </c>
      <c r="L432" s="274">
        <v>0</v>
      </c>
      <c r="M432" s="277">
        <v>0</v>
      </c>
      <c r="N432" s="274">
        <v>0</v>
      </c>
      <c r="O432" s="274">
        <v>0</v>
      </c>
      <c r="P432" s="274">
        <v>0</v>
      </c>
      <c r="Q432" s="274">
        <v>0</v>
      </c>
      <c r="R432" s="274">
        <v>0</v>
      </c>
      <c r="S432" s="274">
        <v>0</v>
      </c>
      <c r="T432" s="274">
        <v>0</v>
      </c>
      <c r="U432" s="274">
        <v>0</v>
      </c>
      <c r="V432" s="274">
        <v>0</v>
      </c>
      <c r="W432" s="274">
        <v>0</v>
      </c>
      <c r="X432" s="274">
        <v>0</v>
      </c>
      <c r="Y432" s="274">
        <v>0</v>
      </c>
      <c r="Z432" s="274">
        <v>0</v>
      </c>
      <c r="AA432" s="274">
        <v>0</v>
      </c>
      <c r="AB432" s="276">
        <v>2020</v>
      </c>
    </row>
    <row r="433" spans="1:28" s="6" customFormat="1" ht="35.25" customHeight="1" x14ac:dyDescent="0.5">
      <c r="B433" s="269" t="s">
        <v>868</v>
      </c>
      <c r="C433" s="270"/>
      <c r="D433" s="271">
        <f t="shared" ref="D433:AA433" si="27">SUM(D434:D439)</f>
        <v>5113282</v>
      </c>
      <c r="E433" s="271">
        <f t="shared" si="27"/>
        <v>0</v>
      </c>
      <c r="F433" s="271">
        <f t="shared" si="27"/>
        <v>0</v>
      </c>
      <c r="G433" s="271">
        <f t="shared" si="27"/>
        <v>0</v>
      </c>
      <c r="H433" s="271">
        <f t="shared" si="27"/>
        <v>0</v>
      </c>
      <c r="I433" s="271">
        <f t="shared" si="27"/>
        <v>0</v>
      </c>
      <c r="J433" s="271">
        <f t="shared" si="27"/>
        <v>0</v>
      </c>
      <c r="K433" s="272">
        <f t="shared" si="27"/>
        <v>0</v>
      </c>
      <c r="L433" s="271">
        <f t="shared" si="27"/>
        <v>0</v>
      </c>
      <c r="M433" s="271">
        <f t="shared" si="27"/>
        <v>0</v>
      </c>
      <c r="N433" s="271">
        <f t="shared" si="27"/>
        <v>0</v>
      </c>
      <c r="O433" s="271">
        <f t="shared" si="27"/>
        <v>5113282</v>
      </c>
      <c r="P433" s="271">
        <f t="shared" si="27"/>
        <v>0</v>
      </c>
      <c r="Q433" s="271">
        <f t="shared" si="27"/>
        <v>0</v>
      </c>
      <c r="R433" s="271">
        <f t="shared" si="27"/>
        <v>0</v>
      </c>
      <c r="S433" s="271">
        <f t="shared" si="27"/>
        <v>0</v>
      </c>
      <c r="T433" s="271">
        <f t="shared" si="27"/>
        <v>0</v>
      </c>
      <c r="U433" s="271">
        <f t="shared" si="27"/>
        <v>0</v>
      </c>
      <c r="V433" s="271">
        <f t="shared" si="27"/>
        <v>0</v>
      </c>
      <c r="W433" s="271">
        <f t="shared" si="27"/>
        <v>0</v>
      </c>
      <c r="X433" s="271">
        <f t="shared" si="27"/>
        <v>0</v>
      </c>
      <c r="Y433" s="271">
        <f t="shared" si="27"/>
        <v>0</v>
      </c>
      <c r="Z433" s="271">
        <f t="shared" si="27"/>
        <v>0</v>
      </c>
      <c r="AA433" s="271">
        <f t="shared" si="27"/>
        <v>0</v>
      </c>
      <c r="AB433" s="273" t="s">
        <v>896</v>
      </c>
    </row>
    <row r="434" spans="1:28" s="6" customFormat="1" ht="35.25" x14ac:dyDescent="0.5">
      <c r="A434" s="6">
        <v>1</v>
      </c>
      <c r="B434" s="135">
        <f>SUBTOTAL(103,$A$7:A434)</f>
        <v>413</v>
      </c>
      <c r="C434" s="270" t="s">
        <v>2246</v>
      </c>
      <c r="D434" s="271">
        <f t="shared" si="26"/>
        <v>512725</v>
      </c>
      <c r="E434" s="274">
        <v>0</v>
      </c>
      <c r="F434" s="274">
        <v>0</v>
      </c>
      <c r="G434" s="274">
        <v>0</v>
      </c>
      <c r="H434" s="274">
        <v>0</v>
      </c>
      <c r="I434" s="274">
        <v>0</v>
      </c>
      <c r="J434" s="274">
        <v>0</v>
      </c>
      <c r="K434" s="275">
        <v>0</v>
      </c>
      <c r="L434" s="274">
        <v>0</v>
      </c>
      <c r="M434" s="274">
        <v>0</v>
      </c>
      <c r="N434" s="274">
        <v>0</v>
      </c>
      <c r="O434" s="274">
        <v>512725</v>
      </c>
      <c r="P434" s="274">
        <v>0</v>
      </c>
      <c r="Q434" s="274">
        <v>0</v>
      </c>
      <c r="R434" s="274">
        <v>0</v>
      </c>
      <c r="S434" s="274">
        <v>0</v>
      </c>
      <c r="T434" s="274">
        <v>0</v>
      </c>
      <c r="U434" s="274">
        <v>0</v>
      </c>
      <c r="V434" s="274">
        <v>0</v>
      </c>
      <c r="W434" s="274">
        <v>0</v>
      </c>
      <c r="X434" s="274">
        <v>0</v>
      </c>
      <c r="Y434" s="274">
        <v>0</v>
      </c>
      <c r="Z434" s="274">
        <v>0</v>
      </c>
      <c r="AA434" s="274">
        <v>0</v>
      </c>
      <c r="AB434" s="276">
        <v>2020</v>
      </c>
    </row>
    <row r="435" spans="1:28" s="6" customFormat="1" ht="35.25" x14ac:dyDescent="0.5">
      <c r="A435" s="6">
        <v>1</v>
      </c>
      <c r="B435" s="135">
        <f>SUBTOTAL(103,$A$7:A435)</f>
        <v>414</v>
      </c>
      <c r="C435" s="270" t="s">
        <v>2247</v>
      </c>
      <c r="D435" s="271">
        <f t="shared" si="26"/>
        <v>1078018</v>
      </c>
      <c r="E435" s="274">
        <v>0</v>
      </c>
      <c r="F435" s="274">
        <v>0</v>
      </c>
      <c r="G435" s="274">
        <v>0</v>
      </c>
      <c r="H435" s="274">
        <v>0</v>
      </c>
      <c r="I435" s="274">
        <v>0</v>
      </c>
      <c r="J435" s="274">
        <v>0</v>
      </c>
      <c r="K435" s="275">
        <v>0</v>
      </c>
      <c r="L435" s="274">
        <v>0</v>
      </c>
      <c r="M435" s="274">
        <v>0</v>
      </c>
      <c r="N435" s="274">
        <v>0</v>
      </c>
      <c r="O435" s="274">
        <v>1078018</v>
      </c>
      <c r="P435" s="274">
        <v>0</v>
      </c>
      <c r="Q435" s="274">
        <v>0</v>
      </c>
      <c r="R435" s="274">
        <v>0</v>
      </c>
      <c r="S435" s="274">
        <v>0</v>
      </c>
      <c r="T435" s="274">
        <v>0</v>
      </c>
      <c r="U435" s="274">
        <v>0</v>
      </c>
      <c r="V435" s="274">
        <v>0</v>
      </c>
      <c r="W435" s="274">
        <v>0</v>
      </c>
      <c r="X435" s="274">
        <v>0</v>
      </c>
      <c r="Y435" s="274">
        <v>0</v>
      </c>
      <c r="Z435" s="274">
        <v>0</v>
      </c>
      <c r="AA435" s="274">
        <v>0</v>
      </c>
      <c r="AB435" s="276">
        <v>2020</v>
      </c>
    </row>
    <row r="436" spans="1:28" s="6" customFormat="1" ht="35.25" x14ac:dyDescent="0.5">
      <c r="A436" s="6">
        <v>1</v>
      </c>
      <c r="B436" s="135">
        <f>SUBTOTAL(103,$A$7:A436)</f>
        <v>415</v>
      </c>
      <c r="C436" s="270" t="s">
        <v>2248</v>
      </c>
      <c r="D436" s="271">
        <f t="shared" si="26"/>
        <v>302103</v>
      </c>
      <c r="E436" s="274">
        <v>0</v>
      </c>
      <c r="F436" s="274">
        <v>0</v>
      </c>
      <c r="G436" s="274">
        <v>0</v>
      </c>
      <c r="H436" s="274">
        <v>0</v>
      </c>
      <c r="I436" s="274">
        <v>0</v>
      </c>
      <c r="J436" s="274">
        <v>0</v>
      </c>
      <c r="K436" s="275">
        <v>0</v>
      </c>
      <c r="L436" s="274">
        <v>0</v>
      </c>
      <c r="M436" s="274">
        <v>0</v>
      </c>
      <c r="N436" s="274">
        <v>0</v>
      </c>
      <c r="O436" s="274">
        <v>302103</v>
      </c>
      <c r="P436" s="274">
        <v>0</v>
      </c>
      <c r="Q436" s="274">
        <v>0</v>
      </c>
      <c r="R436" s="274">
        <v>0</v>
      </c>
      <c r="S436" s="274">
        <v>0</v>
      </c>
      <c r="T436" s="274">
        <v>0</v>
      </c>
      <c r="U436" s="274">
        <v>0</v>
      </c>
      <c r="V436" s="274">
        <v>0</v>
      </c>
      <c r="W436" s="274">
        <v>0</v>
      </c>
      <c r="X436" s="274">
        <v>0</v>
      </c>
      <c r="Y436" s="274">
        <v>0</v>
      </c>
      <c r="Z436" s="274">
        <v>0</v>
      </c>
      <c r="AA436" s="274">
        <v>0</v>
      </c>
      <c r="AB436" s="276">
        <v>2020</v>
      </c>
    </row>
    <row r="437" spans="1:28" s="6" customFormat="1" ht="35.25" x14ac:dyDescent="0.5">
      <c r="A437" s="6">
        <v>1</v>
      </c>
      <c r="B437" s="135">
        <f>SUBTOTAL(103,$A$7:A437)</f>
        <v>416</v>
      </c>
      <c r="C437" s="270" t="s">
        <v>2249</v>
      </c>
      <c r="D437" s="271">
        <f>E437+F437+G437+H437+I437+J437+L437+M437+N437+O437+P437+Q437+R437+S437+T437+U437+V437+W437+X437+Y437+Z437+AA437</f>
        <v>1078018</v>
      </c>
      <c r="E437" s="274">
        <v>0</v>
      </c>
      <c r="F437" s="274">
        <v>0</v>
      </c>
      <c r="G437" s="274">
        <v>0</v>
      </c>
      <c r="H437" s="274">
        <v>0</v>
      </c>
      <c r="I437" s="274">
        <v>0</v>
      </c>
      <c r="J437" s="274">
        <v>0</v>
      </c>
      <c r="K437" s="275">
        <v>0</v>
      </c>
      <c r="L437" s="274">
        <v>0</v>
      </c>
      <c r="M437" s="274">
        <v>0</v>
      </c>
      <c r="N437" s="274">
        <v>0</v>
      </c>
      <c r="O437" s="274">
        <v>1078018</v>
      </c>
      <c r="P437" s="274">
        <v>0</v>
      </c>
      <c r="Q437" s="274">
        <v>0</v>
      </c>
      <c r="R437" s="274">
        <v>0</v>
      </c>
      <c r="S437" s="274">
        <v>0</v>
      </c>
      <c r="T437" s="274">
        <v>0</v>
      </c>
      <c r="U437" s="274">
        <v>0</v>
      </c>
      <c r="V437" s="274">
        <v>0</v>
      </c>
      <c r="W437" s="274">
        <v>0</v>
      </c>
      <c r="X437" s="274">
        <v>0</v>
      </c>
      <c r="Y437" s="274">
        <v>0</v>
      </c>
      <c r="Z437" s="274">
        <v>0</v>
      </c>
      <c r="AA437" s="274">
        <v>0</v>
      </c>
      <c r="AB437" s="276">
        <v>2020</v>
      </c>
    </row>
    <row r="438" spans="1:28" s="6" customFormat="1" ht="35.25" x14ac:dyDescent="0.5">
      <c r="A438" s="6">
        <v>1</v>
      </c>
      <c r="B438" s="135">
        <f>SUBTOTAL(103,$A$7:A438)</f>
        <v>417</v>
      </c>
      <c r="C438" s="270" t="s">
        <v>2250</v>
      </c>
      <c r="D438" s="271">
        <f>E438+F438+G438+H438+I438+J438+L438+M438+N438+O438+P438+Q438+R438+S438+T438+U438+V438+W438+X438+Y438+Z438+AA438</f>
        <v>1064400</v>
      </c>
      <c r="E438" s="274">
        <v>0</v>
      </c>
      <c r="F438" s="274">
        <v>0</v>
      </c>
      <c r="G438" s="274">
        <v>0</v>
      </c>
      <c r="H438" s="274">
        <v>0</v>
      </c>
      <c r="I438" s="274">
        <v>0</v>
      </c>
      <c r="J438" s="274">
        <v>0</v>
      </c>
      <c r="K438" s="275">
        <v>0</v>
      </c>
      <c r="L438" s="274">
        <v>0</v>
      </c>
      <c r="M438" s="274">
        <v>0</v>
      </c>
      <c r="N438" s="274">
        <v>0</v>
      </c>
      <c r="O438" s="274">
        <v>1064400</v>
      </c>
      <c r="P438" s="274">
        <v>0</v>
      </c>
      <c r="Q438" s="274">
        <v>0</v>
      </c>
      <c r="R438" s="274">
        <v>0</v>
      </c>
      <c r="S438" s="274">
        <v>0</v>
      </c>
      <c r="T438" s="274">
        <v>0</v>
      </c>
      <c r="U438" s="274">
        <v>0</v>
      </c>
      <c r="V438" s="274">
        <v>0</v>
      </c>
      <c r="W438" s="274">
        <v>0</v>
      </c>
      <c r="X438" s="274">
        <v>0</v>
      </c>
      <c r="Y438" s="274">
        <v>0</v>
      </c>
      <c r="Z438" s="274">
        <v>0</v>
      </c>
      <c r="AA438" s="274">
        <v>0</v>
      </c>
      <c r="AB438" s="276">
        <v>2020</v>
      </c>
    </row>
    <row r="439" spans="1:28" s="6" customFormat="1" ht="35.25" x14ac:dyDescent="0.5">
      <c r="A439" s="6">
        <v>1</v>
      </c>
      <c r="B439" s="135">
        <f>SUBTOTAL(103,$A$7:A439)</f>
        <v>418</v>
      </c>
      <c r="C439" s="270" t="s">
        <v>2251</v>
      </c>
      <c r="D439" s="271">
        <f>E439+F439+G439+H439+I439+J439+L439+M439+N439+O439+P439+Q439+R439+S439+T439+U439+V439+W439+X439+Y439+Z439+AA439</f>
        <v>1078018</v>
      </c>
      <c r="E439" s="274">
        <v>0</v>
      </c>
      <c r="F439" s="274">
        <v>0</v>
      </c>
      <c r="G439" s="274">
        <v>0</v>
      </c>
      <c r="H439" s="274">
        <v>0</v>
      </c>
      <c r="I439" s="274">
        <v>0</v>
      </c>
      <c r="J439" s="274">
        <v>0</v>
      </c>
      <c r="K439" s="275">
        <v>0</v>
      </c>
      <c r="L439" s="274">
        <v>0</v>
      </c>
      <c r="M439" s="274">
        <v>0</v>
      </c>
      <c r="N439" s="274">
        <v>0</v>
      </c>
      <c r="O439" s="274">
        <v>1078018</v>
      </c>
      <c r="P439" s="274">
        <v>0</v>
      </c>
      <c r="Q439" s="274">
        <v>0</v>
      </c>
      <c r="R439" s="274">
        <v>0</v>
      </c>
      <c r="S439" s="274">
        <v>0</v>
      </c>
      <c r="T439" s="274">
        <v>0</v>
      </c>
      <c r="U439" s="274">
        <v>0</v>
      </c>
      <c r="V439" s="274">
        <v>0</v>
      </c>
      <c r="W439" s="274">
        <v>0</v>
      </c>
      <c r="X439" s="274">
        <v>0</v>
      </c>
      <c r="Y439" s="274">
        <v>0</v>
      </c>
      <c r="Z439" s="274">
        <v>0</v>
      </c>
      <c r="AA439" s="274">
        <v>0</v>
      </c>
      <c r="AB439" s="276">
        <v>2020</v>
      </c>
    </row>
    <row r="440" spans="1:28" s="6" customFormat="1" ht="35.25" customHeight="1" x14ac:dyDescent="0.5">
      <c r="B440" s="269" t="s">
        <v>829</v>
      </c>
      <c r="C440" s="270"/>
      <c r="D440" s="271">
        <f t="shared" ref="D440:AA440" si="28">SUM(D441:D446)</f>
        <v>2788697.8499999996</v>
      </c>
      <c r="E440" s="271">
        <f t="shared" si="28"/>
        <v>0</v>
      </c>
      <c r="F440" s="271">
        <f t="shared" si="28"/>
        <v>257473.3</v>
      </c>
      <c r="G440" s="271">
        <f t="shared" si="28"/>
        <v>175577</v>
      </c>
      <c r="H440" s="271">
        <f t="shared" si="28"/>
        <v>0</v>
      </c>
      <c r="I440" s="271">
        <f t="shared" si="28"/>
        <v>0</v>
      </c>
      <c r="J440" s="271">
        <f t="shared" si="28"/>
        <v>0</v>
      </c>
      <c r="K440" s="275">
        <f t="shared" si="28"/>
        <v>0</v>
      </c>
      <c r="L440" s="271">
        <f t="shared" si="28"/>
        <v>0</v>
      </c>
      <c r="M440" s="271">
        <f t="shared" si="28"/>
        <v>310640.5</v>
      </c>
      <c r="N440" s="271">
        <f t="shared" si="28"/>
        <v>348127.31</v>
      </c>
      <c r="O440" s="271">
        <f t="shared" si="28"/>
        <v>504399.24</v>
      </c>
      <c r="P440" s="271">
        <f t="shared" si="28"/>
        <v>1192480.5</v>
      </c>
      <c r="Q440" s="271">
        <f t="shared" si="28"/>
        <v>0</v>
      </c>
      <c r="R440" s="271">
        <f t="shared" si="28"/>
        <v>0</v>
      </c>
      <c r="S440" s="271">
        <f t="shared" si="28"/>
        <v>0</v>
      </c>
      <c r="T440" s="271">
        <f t="shared" si="28"/>
        <v>0</v>
      </c>
      <c r="U440" s="271">
        <f t="shared" si="28"/>
        <v>0</v>
      </c>
      <c r="V440" s="271">
        <f t="shared" si="28"/>
        <v>0</v>
      </c>
      <c r="W440" s="271">
        <f t="shared" si="28"/>
        <v>0</v>
      </c>
      <c r="X440" s="271">
        <f t="shared" si="28"/>
        <v>0</v>
      </c>
      <c r="Y440" s="271">
        <f t="shared" si="28"/>
        <v>0</v>
      </c>
      <c r="Z440" s="271">
        <f t="shared" si="28"/>
        <v>0</v>
      </c>
      <c r="AA440" s="271">
        <f t="shared" si="28"/>
        <v>0</v>
      </c>
      <c r="AB440" s="273" t="s">
        <v>896</v>
      </c>
    </row>
    <row r="441" spans="1:28" s="6" customFormat="1" ht="35.25" x14ac:dyDescent="0.5">
      <c r="A441" s="6">
        <v>1</v>
      </c>
      <c r="B441" s="135">
        <f>SUBTOTAL(103,$A$7:A441)</f>
        <v>419</v>
      </c>
      <c r="C441" s="270" t="s">
        <v>2252</v>
      </c>
      <c r="D441" s="271">
        <f t="shared" ref="D441:D446" si="29">E441+F441+G441+H441+I441+J441+L441+M441+N441+O441+P441+Q441+R441+S441+T441+U441+V441+W441+X441+Y441+Z441+AA441</f>
        <v>211213</v>
      </c>
      <c r="E441" s="274">
        <v>0</v>
      </c>
      <c r="F441" s="274">
        <v>211213</v>
      </c>
      <c r="G441" s="274">
        <v>0</v>
      </c>
      <c r="H441" s="274">
        <v>0</v>
      </c>
      <c r="I441" s="274">
        <v>0</v>
      </c>
      <c r="J441" s="274">
        <v>0</v>
      </c>
      <c r="K441" s="275">
        <v>0</v>
      </c>
      <c r="L441" s="274">
        <v>0</v>
      </c>
      <c r="M441" s="274">
        <v>0</v>
      </c>
      <c r="N441" s="274">
        <v>0</v>
      </c>
      <c r="O441" s="274">
        <v>0</v>
      </c>
      <c r="P441" s="274">
        <v>0</v>
      </c>
      <c r="Q441" s="274">
        <v>0</v>
      </c>
      <c r="R441" s="274">
        <v>0</v>
      </c>
      <c r="S441" s="274">
        <v>0</v>
      </c>
      <c r="T441" s="274">
        <v>0</v>
      </c>
      <c r="U441" s="274">
        <v>0</v>
      </c>
      <c r="V441" s="274">
        <v>0</v>
      </c>
      <c r="W441" s="274">
        <v>0</v>
      </c>
      <c r="X441" s="274">
        <v>0</v>
      </c>
      <c r="Y441" s="274">
        <v>0</v>
      </c>
      <c r="Z441" s="274">
        <v>0</v>
      </c>
      <c r="AA441" s="274">
        <v>0</v>
      </c>
      <c r="AB441" s="276">
        <v>2020</v>
      </c>
    </row>
    <row r="442" spans="1:28" s="6" customFormat="1" ht="35.25" x14ac:dyDescent="0.5">
      <c r="A442" s="6">
        <v>1</v>
      </c>
      <c r="B442" s="135">
        <f>SUBTOTAL(103,$A$7:A442)</f>
        <v>420</v>
      </c>
      <c r="C442" s="270" t="s">
        <v>2253</v>
      </c>
      <c r="D442" s="271">
        <f t="shared" si="29"/>
        <v>1761201</v>
      </c>
      <c r="E442" s="274">
        <v>0</v>
      </c>
      <c r="F442" s="274">
        <v>0</v>
      </c>
      <c r="G442" s="274">
        <v>0</v>
      </c>
      <c r="H442" s="274">
        <v>0</v>
      </c>
      <c r="I442" s="274">
        <v>0</v>
      </c>
      <c r="J442" s="274">
        <v>0</v>
      </c>
      <c r="K442" s="275">
        <v>0</v>
      </c>
      <c r="L442" s="274">
        <v>0</v>
      </c>
      <c r="M442" s="274">
        <v>310640.5</v>
      </c>
      <c r="N442" s="274">
        <v>0</v>
      </c>
      <c r="O442" s="277">
        <v>258080</v>
      </c>
      <c r="P442" s="274">
        <v>1192480.5</v>
      </c>
      <c r="Q442" s="274">
        <v>0</v>
      </c>
      <c r="R442" s="274">
        <v>0</v>
      </c>
      <c r="S442" s="274">
        <v>0</v>
      </c>
      <c r="T442" s="274">
        <v>0</v>
      </c>
      <c r="U442" s="274">
        <v>0</v>
      </c>
      <c r="V442" s="274">
        <v>0</v>
      </c>
      <c r="W442" s="274">
        <v>0</v>
      </c>
      <c r="X442" s="274">
        <v>0</v>
      </c>
      <c r="Y442" s="274">
        <v>0</v>
      </c>
      <c r="Z442" s="274">
        <v>0</v>
      </c>
      <c r="AA442" s="274">
        <v>0</v>
      </c>
      <c r="AB442" s="276">
        <v>2020</v>
      </c>
    </row>
    <row r="443" spans="1:28" s="6" customFormat="1" ht="35.25" x14ac:dyDescent="0.5">
      <c r="A443" s="6">
        <v>1</v>
      </c>
      <c r="B443" s="135">
        <f>SUBTOTAL(103,$A$7:A443)</f>
        <v>421</v>
      </c>
      <c r="C443" s="270" t="s">
        <v>2254</v>
      </c>
      <c r="D443" s="271">
        <f t="shared" si="29"/>
        <v>46260.3</v>
      </c>
      <c r="E443" s="274">
        <v>0</v>
      </c>
      <c r="F443" s="274">
        <v>46260.3</v>
      </c>
      <c r="G443" s="274">
        <v>0</v>
      </c>
      <c r="H443" s="274">
        <v>0</v>
      </c>
      <c r="I443" s="274">
        <v>0</v>
      </c>
      <c r="J443" s="274">
        <v>0</v>
      </c>
      <c r="K443" s="275">
        <v>0</v>
      </c>
      <c r="L443" s="274">
        <v>0</v>
      </c>
      <c r="M443" s="274">
        <v>0</v>
      </c>
      <c r="N443" s="274">
        <v>0</v>
      </c>
      <c r="O443" s="274">
        <v>0</v>
      </c>
      <c r="P443" s="274">
        <v>0</v>
      </c>
      <c r="Q443" s="274">
        <v>0</v>
      </c>
      <c r="R443" s="274">
        <v>0</v>
      </c>
      <c r="S443" s="274">
        <v>0</v>
      </c>
      <c r="T443" s="274">
        <v>0</v>
      </c>
      <c r="U443" s="274">
        <v>0</v>
      </c>
      <c r="V443" s="274">
        <v>0</v>
      </c>
      <c r="W443" s="274">
        <v>0</v>
      </c>
      <c r="X443" s="274">
        <v>0</v>
      </c>
      <c r="Y443" s="274">
        <v>0</v>
      </c>
      <c r="Z443" s="274">
        <v>0</v>
      </c>
      <c r="AA443" s="274">
        <v>0</v>
      </c>
      <c r="AB443" s="276">
        <v>2020</v>
      </c>
    </row>
    <row r="444" spans="1:28" s="6" customFormat="1" ht="35.25" x14ac:dyDescent="0.5">
      <c r="A444" s="6">
        <v>1</v>
      </c>
      <c r="B444" s="135">
        <f>SUBTOTAL(103,$A$7:A444)</f>
        <v>422</v>
      </c>
      <c r="C444" s="270" t="s">
        <v>2255</v>
      </c>
      <c r="D444" s="271">
        <f t="shared" si="29"/>
        <v>417626</v>
      </c>
      <c r="E444" s="274">
        <v>0</v>
      </c>
      <c r="F444" s="274">
        <v>0</v>
      </c>
      <c r="G444" s="274">
        <v>175577</v>
      </c>
      <c r="H444" s="274">
        <v>0</v>
      </c>
      <c r="I444" s="274">
        <v>0</v>
      </c>
      <c r="J444" s="274">
        <v>0</v>
      </c>
      <c r="K444" s="275">
        <v>0</v>
      </c>
      <c r="L444" s="274">
        <v>0</v>
      </c>
      <c r="M444" s="274">
        <v>0</v>
      </c>
      <c r="N444" s="274">
        <v>242049</v>
      </c>
      <c r="O444" s="274">
        <v>0</v>
      </c>
      <c r="P444" s="274">
        <v>0</v>
      </c>
      <c r="Q444" s="274">
        <v>0</v>
      </c>
      <c r="R444" s="274">
        <v>0</v>
      </c>
      <c r="S444" s="274">
        <v>0</v>
      </c>
      <c r="T444" s="274">
        <v>0</v>
      </c>
      <c r="U444" s="274">
        <v>0</v>
      </c>
      <c r="V444" s="274">
        <v>0</v>
      </c>
      <c r="W444" s="274">
        <v>0</v>
      </c>
      <c r="X444" s="274">
        <v>0</v>
      </c>
      <c r="Y444" s="274">
        <v>0</v>
      </c>
      <c r="Z444" s="274">
        <v>0</v>
      </c>
      <c r="AA444" s="274">
        <v>0</v>
      </c>
      <c r="AB444" s="276">
        <v>2020</v>
      </c>
    </row>
    <row r="445" spans="1:28" s="6" customFormat="1" ht="35.25" x14ac:dyDescent="0.5">
      <c r="A445" s="6">
        <v>1</v>
      </c>
      <c r="B445" s="135">
        <f>SUBTOTAL(103,$A$7:A445)</f>
        <v>423</v>
      </c>
      <c r="C445" s="270" t="s">
        <v>2256</v>
      </c>
      <c r="D445" s="271">
        <f t="shared" si="29"/>
        <v>187333.55</v>
      </c>
      <c r="E445" s="274">
        <v>0</v>
      </c>
      <c r="F445" s="274">
        <v>0</v>
      </c>
      <c r="G445" s="274">
        <v>0</v>
      </c>
      <c r="H445" s="274">
        <v>0</v>
      </c>
      <c r="I445" s="274">
        <v>0</v>
      </c>
      <c r="J445" s="274">
        <v>0</v>
      </c>
      <c r="K445" s="275">
        <v>0</v>
      </c>
      <c r="L445" s="274">
        <v>0</v>
      </c>
      <c r="M445" s="274">
        <v>0</v>
      </c>
      <c r="N445" s="274">
        <v>106078.31</v>
      </c>
      <c r="O445" s="274">
        <v>81255.240000000005</v>
      </c>
      <c r="P445" s="274">
        <v>0</v>
      </c>
      <c r="Q445" s="274">
        <v>0</v>
      </c>
      <c r="R445" s="274">
        <v>0</v>
      </c>
      <c r="S445" s="274">
        <v>0</v>
      </c>
      <c r="T445" s="274">
        <v>0</v>
      </c>
      <c r="U445" s="274">
        <v>0</v>
      </c>
      <c r="V445" s="274">
        <v>0</v>
      </c>
      <c r="W445" s="274">
        <v>0</v>
      </c>
      <c r="X445" s="274">
        <v>0</v>
      </c>
      <c r="Y445" s="274">
        <v>0</v>
      </c>
      <c r="Z445" s="274">
        <v>0</v>
      </c>
      <c r="AA445" s="274">
        <v>0</v>
      </c>
      <c r="AB445" s="276">
        <v>2020</v>
      </c>
    </row>
    <row r="446" spans="1:28" s="6" customFormat="1" ht="35.25" x14ac:dyDescent="0.5">
      <c r="A446" s="6">
        <v>1</v>
      </c>
      <c r="B446" s="135">
        <f>SUBTOTAL(103,$A$7:A446)</f>
        <v>424</v>
      </c>
      <c r="C446" s="270" t="s">
        <v>2257</v>
      </c>
      <c r="D446" s="271">
        <f t="shared" si="29"/>
        <v>165064</v>
      </c>
      <c r="E446" s="274">
        <v>0</v>
      </c>
      <c r="F446" s="274">
        <v>0</v>
      </c>
      <c r="G446" s="274">
        <v>0</v>
      </c>
      <c r="H446" s="274">
        <v>0</v>
      </c>
      <c r="I446" s="274">
        <v>0</v>
      </c>
      <c r="J446" s="274">
        <v>0</v>
      </c>
      <c r="K446" s="275">
        <v>0</v>
      </c>
      <c r="L446" s="274">
        <v>0</v>
      </c>
      <c r="M446" s="274">
        <v>0</v>
      </c>
      <c r="N446" s="274">
        <v>0</v>
      </c>
      <c r="O446" s="274">
        <v>165064</v>
      </c>
      <c r="P446" s="274">
        <v>0</v>
      </c>
      <c r="Q446" s="274">
        <v>0</v>
      </c>
      <c r="R446" s="274">
        <v>0</v>
      </c>
      <c r="S446" s="274">
        <v>0</v>
      </c>
      <c r="T446" s="274">
        <v>0</v>
      </c>
      <c r="U446" s="274">
        <v>0</v>
      </c>
      <c r="V446" s="274">
        <v>0</v>
      </c>
      <c r="W446" s="274">
        <v>0</v>
      </c>
      <c r="X446" s="274">
        <v>0</v>
      </c>
      <c r="Y446" s="274">
        <v>0</v>
      </c>
      <c r="Z446" s="274">
        <v>0</v>
      </c>
      <c r="AA446" s="274">
        <v>0</v>
      </c>
      <c r="AB446" s="276">
        <v>2020</v>
      </c>
    </row>
    <row r="447" spans="1:28" s="6" customFormat="1" ht="35.25" customHeight="1" x14ac:dyDescent="0.5">
      <c r="B447" s="269" t="s">
        <v>1412</v>
      </c>
      <c r="C447" s="270"/>
      <c r="D447" s="271">
        <f>SUM(D448:D450)</f>
        <v>1200715</v>
      </c>
      <c r="E447" s="271">
        <f t="shared" ref="E447:AA447" si="30">SUM(E448:E450)</f>
        <v>0</v>
      </c>
      <c r="F447" s="271">
        <f t="shared" si="30"/>
        <v>0</v>
      </c>
      <c r="G447" s="271">
        <f t="shared" si="30"/>
        <v>0</v>
      </c>
      <c r="H447" s="271">
        <f t="shared" si="30"/>
        <v>0</v>
      </c>
      <c r="I447" s="271">
        <f t="shared" si="30"/>
        <v>0</v>
      </c>
      <c r="J447" s="271">
        <f t="shared" si="30"/>
        <v>0</v>
      </c>
      <c r="K447" s="272">
        <f t="shared" si="30"/>
        <v>0</v>
      </c>
      <c r="L447" s="271">
        <f t="shared" si="30"/>
        <v>0</v>
      </c>
      <c r="M447" s="271">
        <f t="shared" si="30"/>
        <v>128654</v>
      </c>
      <c r="N447" s="271">
        <f t="shared" si="30"/>
        <v>0</v>
      </c>
      <c r="O447" s="271">
        <f t="shared" si="30"/>
        <v>1072061</v>
      </c>
      <c r="P447" s="271">
        <f t="shared" si="30"/>
        <v>0</v>
      </c>
      <c r="Q447" s="271">
        <f t="shared" si="30"/>
        <v>0</v>
      </c>
      <c r="R447" s="271">
        <f t="shared" si="30"/>
        <v>0</v>
      </c>
      <c r="S447" s="271">
        <f t="shared" si="30"/>
        <v>0</v>
      </c>
      <c r="T447" s="271">
        <f t="shared" si="30"/>
        <v>0</v>
      </c>
      <c r="U447" s="271">
        <f t="shared" si="30"/>
        <v>0</v>
      </c>
      <c r="V447" s="271">
        <f t="shared" si="30"/>
        <v>0</v>
      </c>
      <c r="W447" s="271">
        <f t="shared" si="30"/>
        <v>0</v>
      </c>
      <c r="X447" s="271">
        <f t="shared" si="30"/>
        <v>0</v>
      </c>
      <c r="Y447" s="271">
        <f t="shared" si="30"/>
        <v>0</v>
      </c>
      <c r="Z447" s="271">
        <f t="shared" si="30"/>
        <v>0</v>
      </c>
      <c r="AA447" s="271">
        <f t="shared" si="30"/>
        <v>0</v>
      </c>
      <c r="AB447" s="273" t="s">
        <v>896</v>
      </c>
    </row>
    <row r="448" spans="1:28" s="6" customFormat="1" ht="35.25" x14ac:dyDescent="0.5">
      <c r="A448" s="6">
        <v>1</v>
      </c>
      <c r="B448" s="135">
        <f>SUBTOTAL(103,$A$7:A448)</f>
        <v>425</v>
      </c>
      <c r="C448" s="270" t="s">
        <v>2258</v>
      </c>
      <c r="D448" s="271">
        <f>E448+F448+G448+H448+I448+J448+L448+M448+N448+O448+P448+Q448+R448+S448+T448+U448+V448+W448+X448+Y448+Z448+AA448</f>
        <v>552011</v>
      </c>
      <c r="E448" s="274">
        <v>0</v>
      </c>
      <c r="F448" s="274">
        <v>0</v>
      </c>
      <c r="G448" s="274">
        <v>0</v>
      </c>
      <c r="H448" s="274">
        <v>0</v>
      </c>
      <c r="I448" s="274">
        <v>0</v>
      </c>
      <c r="J448" s="274">
        <v>0</v>
      </c>
      <c r="K448" s="275">
        <v>0</v>
      </c>
      <c r="L448" s="274">
        <v>0</v>
      </c>
      <c r="M448" s="274">
        <v>0</v>
      </c>
      <c r="N448" s="274">
        <v>0</v>
      </c>
      <c r="O448" s="274">
        <v>552011</v>
      </c>
      <c r="P448" s="274">
        <v>0</v>
      </c>
      <c r="Q448" s="274">
        <v>0</v>
      </c>
      <c r="R448" s="274">
        <v>0</v>
      </c>
      <c r="S448" s="274">
        <v>0</v>
      </c>
      <c r="T448" s="274">
        <v>0</v>
      </c>
      <c r="U448" s="274">
        <v>0</v>
      </c>
      <c r="V448" s="274">
        <v>0</v>
      </c>
      <c r="W448" s="274">
        <v>0</v>
      </c>
      <c r="X448" s="274">
        <v>0</v>
      </c>
      <c r="Y448" s="274">
        <v>0</v>
      </c>
      <c r="Z448" s="274">
        <v>0</v>
      </c>
      <c r="AA448" s="274">
        <v>0</v>
      </c>
      <c r="AB448" s="276">
        <v>2020</v>
      </c>
    </row>
    <row r="449" spans="1:28" s="6" customFormat="1" ht="35.25" x14ac:dyDescent="0.5">
      <c r="A449" s="6">
        <v>1</v>
      </c>
      <c r="B449" s="135">
        <f>SUBTOTAL(103,$A$7:A449)</f>
        <v>426</v>
      </c>
      <c r="C449" s="270" t="s">
        <v>2259</v>
      </c>
      <c r="D449" s="271">
        <f>E449+F449+G449+H449+I449+J449+L449+M449+N449+O449+P449+Q449+R449+S449+T449+U449+V449+W449+X449+Y449+Z449+AA449</f>
        <v>520050</v>
      </c>
      <c r="E449" s="274">
        <v>0</v>
      </c>
      <c r="F449" s="274">
        <v>0</v>
      </c>
      <c r="G449" s="274">
        <v>0</v>
      </c>
      <c r="H449" s="274">
        <v>0</v>
      </c>
      <c r="I449" s="274">
        <v>0</v>
      </c>
      <c r="J449" s="274">
        <v>0</v>
      </c>
      <c r="K449" s="275">
        <v>0</v>
      </c>
      <c r="L449" s="274">
        <v>0</v>
      </c>
      <c r="M449" s="274">
        <v>0</v>
      </c>
      <c r="N449" s="274">
        <v>0</v>
      </c>
      <c r="O449" s="274">
        <v>520050</v>
      </c>
      <c r="P449" s="274">
        <v>0</v>
      </c>
      <c r="Q449" s="274">
        <v>0</v>
      </c>
      <c r="R449" s="274">
        <v>0</v>
      </c>
      <c r="S449" s="274">
        <v>0</v>
      </c>
      <c r="T449" s="274">
        <v>0</v>
      </c>
      <c r="U449" s="274">
        <v>0</v>
      </c>
      <c r="V449" s="274">
        <v>0</v>
      </c>
      <c r="W449" s="274">
        <v>0</v>
      </c>
      <c r="X449" s="274">
        <v>0</v>
      </c>
      <c r="Y449" s="274">
        <v>0</v>
      </c>
      <c r="Z449" s="274">
        <v>0</v>
      </c>
      <c r="AA449" s="274">
        <v>0</v>
      </c>
      <c r="AB449" s="276">
        <v>2020</v>
      </c>
    </row>
    <row r="450" spans="1:28" s="6" customFormat="1" ht="35.25" x14ac:dyDescent="0.5">
      <c r="A450" s="6">
        <v>1</v>
      </c>
      <c r="B450" s="135">
        <f>SUBTOTAL(103,$A$7:A450)</f>
        <v>427</v>
      </c>
      <c r="C450" s="270" t="s">
        <v>2260</v>
      </c>
      <c r="D450" s="271">
        <f>E450+F450+G450+H450+I450+J450+L450+M450+N450+O450+P450+Q450+R450+S450+T450+U450+V450+W450+X450+Y450+Z450+AA450</f>
        <v>128654</v>
      </c>
      <c r="E450" s="274">
        <v>0</v>
      </c>
      <c r="F450" s="274">
        <v>0</v>
      </c>
      <c r="G450" s="274">
        <v>0</v>
      </c>
      <c r="H450" s="274">
        <v>0</v>
      </c>
      <c r="I450" s="274">
        <v>0</v>
      </c>
      <c r="J450" s="274">
        <v>0</v>
      </c>
      <c r="K450" s="275">
        <v>0</v>
      </c>
      <c r="L450" s="274">
        <v>0</v>
      </c>
      <c r="M450" s="274">
        <v>128654</v>
      </c>
      <c r="N450" s="274">
        <v>0</v>
      </c>
      <c r="O450" s="274">
        <v>0</v>
      </c>
      <c r="P450" s="274">
        <v>0</v>
      </c>
      <c r="Q450" s="274">
        <v>0</v>
      </c>
      <c r="R450" s="274">
        <v>0</v>
      </c>
      <c r="S450" s="274">
        <v>0</v>
      </c>
      <c r="T450" s="274">
        <v>0</v>
      </c>
      <c r="U450" s="274">
        <v>0</v>
      </c>
      <c r="V450" s="274">
        <v>0</v>
      </c>
      <c r="W450" s="274">
        <v>0</v>
      </c>
      <c r="X450" s="274">
        <v>0</v>
      </c>
      <c r="Y450" s="274">
        <v>0</v>
      </c>
      <c r="Z450" s="274">
        <v>0</v>
      </c>
      <c r="AA450" s="274">
        <v>0</v>
      </c>
      <c r="AB450" s="276">
        <v>2020</v>
      </c>
    </row>
    <row r="451" spans="1:28" s="6" customFormat="1" ht="35.25" customHeight="1" x14ac:dyDescent="0.5">
      <c r="B451" s="269" t="s">
        <v>837</v>
      </c>
      <c r="C451" s="270"/>
      <c r="D451" s="271">
        <f>SUM(D452:D453)</f>
        <v>486500</v>
      </c>
      <c r="E451" s="271">
        <f t="shared" ref="E451:AA451" si="31">SUM(E452:E453)</f>
        <v>0</v>
      </c>
      <c r="F451" s="271">
        <f t="shared" si="31"/>
        <v>0</v>
      </c>
      <c r="G451" s="271">
        <f t="shared" si="31"/>
        <v>175000</v>
      </c>
      <c r="H451" s="271">
        <f t="shared" si="31"/>
        <v>0</v>
      </c>
      <c r="I451" s="271">
        <f t="shared" si="31"/>
        <v>0</v>
      </c>
      <c r="J451" s="271">
        <f t="shared" si="31"/>
        <v>0</v>
      </c>
      <c r="K451" s="272">
        <f t="shared" si="31"/>
        <v>0</v>
      </c>
      <c r="L451" s="271">
        <f t="shared" si="31"/>
        <v>0</v>
      </c>
      <c r="M451" s="271">
        <f t="shared" si="31"/>
        <v>0</v>
      </c>
      <c r="N451" s="271">
        <f t="shared" si="31"/>
        <v>311500</v>
      </c>
      <c r="O451" s="271">
        <f t="shared" si="31"/>
        <v>0</v>
      </c>
      <c r="P451" s="271">
        <f t="shared" si="31"/>
        <v>0</v>
      </c>
      <c r="Q451" s="271">
        <f t="shared" si="31"/>
        <v>0</v>
      </c>
      <c r="R451" s="271">
        <f t="shared" si="31"/>
        <v>0</v>
      </c>
      <c r="S451" s="271">
        <f t="shared" si="31"/>
        <v>0</v>
      </c>
      <c r="T451" s="271">
        <f t="shared" si="31"/>
        <v>0</v>
      </c>
      <c r="U451" s="271">
        <f t="shared" si="31"/>
        <v>0</v>
      </c>
      <c r="V451" s="271">
        <f t="shared" si="31"/>
        <v>0</v>
      </c>
      <c r="W451" s="271">
        <f t="shared" si="31"/>
        <v>0</v>
      </c>
      <c r="X451" s="271">
        <f t="shared" si="31"/>
        <v>0</v>
      </c>
      <c r="Y451" s="271">
        <f t="shared" si="31"/>
        <v>0</v>
      </c>
      <c r="Z451" s="271">
        <f t="shared" si="31"/>
        <v>0</v>
      </c>
      <c r="AA451" s="271">
        <f t="shared" si="31"/>
        <v>0</v>
      </c>
      <c r="AB451" s="273" t="s">
        <v>896</v>
      </c>
    </row>
    <row r="452" spans="1:28" s="6" customFormat="1" ht="35.25" x14ac:dyDescent="0.5">
      <c r="A452" s="6">
        <v>1</v>
      </c>
      <c r="B452" s="135">
        <f>SUBTOTAL(103,$A$7:A452)</f>
        <v>428</v>
      </c>
      <c r="C452" s="270" t="s">
        <v>2261</v>
      </c>
      <c r="D452" s="271">
        <f>E452+F452+G452+H452+I452+J452+L452+M452+N452+O452+P452+Q452+R452+S452+T452+U452+V452+W452+X452+Y452+Z452+AA452</f>
        <v>175000</v>
      </c>
      <c r="E452" s="274">
        <v>0</v>
      </c>
      <c r="F452" s="274">
        <v>0</v>
      </c>
      <c r="G452" s="274">
        <v>175000</v>
      </c>
      <c r="H452" s="274">
        <v>0</v>
      </c>
      <c r="I452" s="274">
        <v>0</v>
      </c>
      <c r="J452" s="274">
        <v>0</v>
      </c>
      <c r="K452" s="275">
        <v>0</v>
      </c>
      <c r="L452" s="274">
        <v>0</v>
      </c>
      <c r="M452" s="274">
        <v>0</v>
      </c>
      <c r="N452" s="274">
        <v>0</v>
      </c>
      <c r="O452" s="274">
        <v>0</v>
      </c>
      <c r="P452" s="274">
        <v>0</v>
      </c>
      <c r="Q452" s="274">
        <v>0</v>
      </c>
      <c r="R452" s="274">
        <v>0</v>
      </c>
      <c r="S452" s="274">
        <v>0</v>
      </c>
      <c r="T452" s="274">
        <v>0</v>
      </c>
      <c r="U452" s="274">
        <v>0</v>
      </c>
      <c r="V452" s="274">
        <v>0</v>
      </c>
      <c r="W452" s="274">
        <v>0</v>
      </c>
      <c r="X452" s="274">
        <v>0</v>
      </c>
      <c r="Y452" s="274">
        <v>0</v>
      </c>
      <c r="Z452" s="274">
        <v>0</v>
      </c>
      <c r="AA452" s="274">
        <v>0</v>
      </c>
      <c r="AB452" s="276">
        <v>2020</v>
      </c>
    </row>
    <row r="453" spans="1:28" s="6" customFormat="1" ht="35.25" x14ac:dyDescent="0.5">
      <c r="A453" s="6">
        <v>1</v>
      </c>
      <c r="B453" s="135">
        <f>SUBTOTAL(103,$A$7:A453)</f>
        <v>429</v>
      </c>
      <c r="C453" s="270" t="s">
        <v>2262</v>
      </c>
      <c r="D453" s="271">
        <f>E453+F453+G453+H453+I453+J453+L453+M453+N453+O453+P453+Q453+R453+S453+T453+U453+V453+W453+X453+Y453+Z453+AA453</f>
        <v>311500</v>
      </c>
      <c r="E453" s="274">
        <v>0</v>
      </c>
      <c r="F453" s="274">
        <v>0</v>
      </c>
      <c r="G453" s="274">
        <v>0</v>
      </c>
      <c r="H453" s="274">
        <v>0</v>
      </c>
      <c r="I453" s="274">
        <v>0</v>
      </c>
      <c r="J453" s="274">
        <v>0</v>
      </c>
      <c r="K453" s="275">
        <v>0</v>
      </c>
      <c r="L453" s="274">
        <v>0</v>
      </c>
      <c r="M453" s="274">
        <v>0</v>
      </c>
      <c r="N453" s="274">
        <v>311500</v>
      </c>
      <c r="O453" s="274">
        <v>0</v>
      </c>
      <c r="P453" s="274">
        <v>0</v>
      </c>
      <c r="Q453" s="274">
        <v>0</v>
      </c>
      <c r="R453" s="274">
        <v>0</v>
      </c>
      <c r="S453" s="274">
        <v>0</v>
      </c>
      <c r="T453" s="274">
        <v>0</v>
      </c>
      <c r="U453" s="274">
        <v>0</v>
      </c>
      <c r="V453" s="274">
        <v>0</v>
      </c>
      <c r="W453" s="274">
        <v>0</v>
      </c>
      <c r="X453" s="274">
        <v>0</v>
      </c>
      <c r="Y453" s="274">
        <v>0</v>
      </c>
      <c r="Z453" s="274">
        <v>0</v>
      </c>
      <c r="AA453" s="274">
        <v>0</v>
      </c>
      <c r="AB453" s="276">
        <v>2020</v>
      </c>
    </row>
    <row r="454" spans="1:28" s="6" customFormat="1" ht="35.25" customHeight="1" x14ac:dyDescent="0.5">
      <c r="B454" s="269" t="s">
        <v>846</v>
      </c>
      <c r="C454" s="270"/>
      <c r="D454" s="271">
        <f>SUM(D455)</f>
        <v>356128.8</v>
      </c>
      <c r="E454" s="271">
        <f t="shared" ref="E454:AA454" si="32">SUM(E455)</f>
        <v>0</v>
      </c>
      <c r="F454" s="271">
        <f t="shared" si="32"/>
        <v>0</v>
      </c>
      <c r="G454" s="271">
        <f t="shared" si="32"/>
        <v>0</v>
      </c>
      <c r="H454" s="271">
        <f t="shared" si="32"/>
        <v>0</v>
      </c>
      <c r="I454" s="271">
        <f t="shared" si="32"/>
        <v>0</v>
      </c>
      <c r="J454" s="271">
        <f t="shared" si="32"/>
        <v>0</v>
      </c>
      <c r="K454" s="272">
        <f t="shared" si="32"/>
        <v>0</v>
      </c>
      <c r="L454" s="271">
        <f t="shared" si="32"/>
        <v>0</v>
      </c>
      <c r="M454" s="271">
        <f t="shared" si="32"/>
        <v>356128.8</v>
      </c>
      <c r="N454" s="271">
        <f t="shared" si="32"/>
        <v>0</v>
      </c>
      <c r="O454" s="271">
        <f t="shared" si="32"/>
        <v>0</v>
      </c>
      <c r="P454" s="271">
        <f t="shared" si="32"/>
        <v>0</v>
      </c>
      <c r="Q454" s="271">
        <f t="shared" si="32"/>
        <v>0</v>
      </c>
      <c r="R454" s="271">
        <f t="shared" si="32"/>
        <v>0</v>
      </c>
      <c r="S454" s="271">
        <f t="shared" si="32"/>
        <v>0</v>
      </c>
      <c r="T454" s="271">
        <f t="shared" si="32"/>
        <v>0</v>
      </c>
      <c r="U454" s="271">
        <f t="shared" si="32"/>
        <v>0</v>
      </c>
      <c r="V454" s="271">
        <f t="shared" si="32"/>
        <v>0</v>
      </c>
      <c r="W454" s="271">
        <f t="shared" si="32"/>
        <v>0</v>
      </c>
      <c r="X454" s="271">
        <f t="shared" si="32"/>
        <v>0</v>
      </c>
      <c r="Y454" s="271">
        <f t="shared" si="32"/>
        <v>0</v>
      </c>
      <c r="Z454" s="271">
        <f t="shared" si="32"/>
        <v>0</v>
      </c>
      <c r="AA454" s="271">
        <f t="shared" si="32"/>
        <v>0</v>
      </c>
      <c r="AB454" s="273" t="s">
        <v>896</v>
      </c>
    </row>
    <row r="455" spans="1:28" s="6" customFormat="1" ht="35.25" x14ac:dyDescent="0.5">
      <c r="A455" s="6">
        <v>1</v>
      </c>
      <c r="B455" s="135">
        <f>SUBTOTAL(103,$A$7:A455)</f>
        <v>430</v>
      </c>
      <c r="C455" s="270" t="s">
        <v>2263</v>
      </c>
      <c r="D455" s="271">
        <f>E455+F455+G455+H455+I455+J455+L455+M455+N455+O455+P455+Q455+R455+S455+T455+U455+V455+W455+X455+Y455+Z455+AA455</f>
        <v>356128.8</v>
      </c>
      <c r="E455" s="274">
        <v>0</v>
      </c>
      <c r="F455" s="274">
        <v>0</v>
      </c>
      <c r="G455" s="274">
        <v>0</v>
      </c>
      <c r="H455" s="274">
        <v>0</v>
      </c>
      <c r="I455" s="274">
        <v>0</v>
      </c>
      <c r="J455" s="274">
        <v>0</v>
      </c>
      <c r="K455" s="275">
        <v>0</v>
      </c>
      <c r="L455" s="274">
        <v>0</v>
      </c>
      <c r="M455" s="274">
        <v>356128.8</v>
      </c>
      <c r="N455" s="274">
        <v>0</v>
      </c>
      <c r="O455" s="274">
        <v>0</v>
      </c>
      <c r="P455" s="274">
        <v>0</v>
      </c>
      <c r="Q455" s="274">
        <v>0</v>
      </c>
      <c r="R455" s="274">
        <v>0</v>
      </c>
      <c r="S455" s="274">
        <v>0</v>
      </c>
      <c r="T455" s="274">
        <v>0</v>
      </c>
      <c r="U455" s="274">
        <v>0</v>
      </c>
      <c r="V455" s="274">
        <v>0</v>
      </c>
      <c r="W455" s="274">
        <v>0</v>
      </c>
      <c r="X455" s="274">
        <v>0</v>
      </c>
      <c r="Y455" s="274">
        <v>0</v>
      </c>
      <c r="Z455" s="274">
        <v>0</v>
      </c>
      <c r="AA455" s="274">
        <v>0</v>
      </c>
      <c r="AB455" s="276">
        <v>2020</v>
      </c>
    </row>
    <row r="456" spans="1:28" s="6" customFormat="1" ht="35.25" customHeight="1" x14ac:dyDescent="0.5">
      <c r="B456" s="270" t="s">
        <v>2264</v>
      </c>
      <c r="C456" s="270"/>
      <c r="D456" s="271">
        <f>D457</f>
        <v>60000</v>
      </c>
      <c r="E456" s="271">
        <f t="shared" ref="E456:AA456" si="33">E457</f>
        <v>0</v>
      </c>
      <c r="F456" s="271">
        <f t="shared" si="33"/>
        <v>0</v>
      </c>
      <c r="G456" s="271">
        <f t="shared" si="33"/>
        <v>0</v>
      </c>
      <c r="H456" s="271">
        <f t="shared" si="33"/>
        <v>0</v>
      </c>
      <c r="I456" s="271">
        <f t="shared" si="33"/>
        <v>0</v>
      </c>
      <c r="J456" s="271">
        <f t="shared" si="33"/>
        <v>0</v>
      </c>
      <c r="K456" s="272">
        <f t="shared" si="33"/>
        <v>0</v>
      </c>
      <c r="L456" s="271">
        <f t="shared" si="33"/>
        <v>0</v>
      </c>
      <c r="M456" s="271">
        <f t="shared" si="33"/>
        <v>60000</v>
      </c>
      <c r="N456" s="271">
        <f t="shared" si="33"/>
        <v>0</v>
      </c>
      <c r="O456" s="271">
        <f t="shared" si="33"/>
        <v>0</v>
      </c>
      <c r="P456" s="271">
        <f t="shared" si="33"/>
        <v>0</v>
      </c>
      <c r="Q456" s="271">
        <f t="shared" si="33"/>
        <v>0</v>
      </c>
      <c r="R456" s="271">
        <f t="shared" si="33"/>
        <v>0</v>
      </c>
      <c r="S456" s="271">
        <f t="shared" si="33"/>
        <v>0</v>
      </c>
      <c r="T456" s="271">
        <f t="shared" si="33"/>
        <v>0</v>
      </c>
      <c r="U456" s="271">
        <f t="shared" si="33"/>
        <v>0</v>
      </c>
      <c r="V456" s="271">
        <f t="shared" si="33"/>
        <v>0</v>
      </c>
      <c r="W456" s="271">
        <f t="shared" si="33"/>
        <v>0</v>
      </c>
      <c r="X456" s="271">
        <f t="shared" si="33"/>
        <v>0</v>
      </c>
      <c r="Y456" s="271">
        <f t="shared" si="33"/>
        <v>0</v>
      </c>
      <c r="Z456" s="271">
        <f t="shared" si="33"/>
        <v>0</v>
      </c>
      <c r="AA456" s="271">
        <f t="shared" si="33"/>
        <v>0</v>
      </c>
      <c r="AB456" s="273" t="s">
        <v>896</v>
      </c>
    </row>
    <row r="457" spans="1:28" s="6" customFormat="1" ht="35.25" x14ac:dyDescent="0.5">
      <c r="A457" s="6">
        <v>1</v>
      </c>
      <c r="B457" s="135">
        <f>SUBTOTAL(103,$A$7:A457)</f>
        <v>431</v>
      </c>
      <c r="C457" s="270" t="s">
        <v>2265</v>
      </c>
      <c r="D457" s="271">
        <f>E457+F457+G457+H457+I457+J457+L457+M457+N457+O457+P457+Q457+R457+S457+T457+U457+V457+W457+X457+Y457+Z457+AA457</f>
        <v>60000</v>
      </c>
      <c r="E457" s="274">
        <v>0</v>
      </c>
      <c r="F457" s="274">
        <v>0</v>
      </c>
      <c r="G457" s="274">
        <v>0</v>
      </c>
      <c r="H457" s="274">
        <v>0</v>
      </c>
      <c r="I457" s="274">
        <v>0</v>
      </c>
      <c r="J457" s="274">
        <v>0</v>
      </c>
      <c r="K457" s="275">
        <v>0</v>
      </c>
      <c r="L457" s="274">
        <v>0</v>
      </c>
      <c r="M457" s="274">
        <v>60000</v>
      </c>
      <c r="N457" s="274">
        <v>0</v>
      </c>
      <c r="O457" s="274">
        <v>0</v>
      </c>
      <c r="P457" s="274">
        <v>0</v>
      </c>
      <c r="Q457" s="274">
        <v>0</v>
      </c>
      <c r="R457" s="274">
        <v>0</v>
      </c>
      <c r="S457" s="274">
        <v>0</v>
      </c>
      <c r="T457" s="274">
        <v>0</v>
      </c>
      <c r="U457" s="274">
        <v>0</v>
      </c>
      <c r="V457" s="274">
        <v>0</v>
      </c>
      <c r="W457" s="274">
        <v>0</v>
      </c>
      <c r="X457" s="274">
        <v>0</v>
      </c>
      <c r="Y457" s="274">
        <v>0</v>
      </c>
      <c r="Z457" s="274">
        <v>0</v>
      </c>
      <c r="AA457" s="274">
        <v>0</v>
      </c>
      <c r="AB457" s="276">
        <v>2020</v>
      </c>
    </row>
    <row r="458" spans="1:28" s="6" customFormat="1" ht="35.25" customHeight="1" x14ac:dyDescent="0.5">
      <c r="B458" s="269" t="s">
        <v>849</v>
      </c>
      <c r="C458" s="270"/>
      <c r="D458" s="271">
        <f>SUM(D459:D461)</f>
        <v>2368604.86</v>
      </c>
      <c r="E458" s="271">
        <f t="shared" ref="E458:AA458" si="34">SUM(E459:E461)</f>
        <v>0</v>
      </c>
      <c r="F458" s="271">
        <f t="shared" si="34"/>
        <v>439256.62</v>
      </c>
      <c r="G458" s="271">
        <f t="shared" si="34"/>
        <v>0</v>
      </c>
      <c r="H458" s="271">
        <f t="shared" si="34"/>
        <v>0</v>
      </c>
      <c r="I458" s="271">
        <f t="shared" si="34"/>
        <v>0</v>
      </c>
      <c r="J458" s="271">
        <f t="shared" si="34"/>
        <v>0</v>
      </c>
      <c r="K458" s="272">
        <f t="shared" si="34"/>
        <v>0</v>
      </c>
      <c r="L458" s="271">
        <f t="shared" si="34"/>
        <v>0</v>
      </c>
      <c r="M458" s="271">
        <f t="shared" si="34"/>
        <v>1375551.24</v>
      </c>
      <c r="N458" s="271">
        <f t="shared" si="34"/>
        <v>0</v>
      </c>
      <c r="O458" s="271">
        <f t="shared" si="34"/>
        <v>553797</v>
      </c>
      <c r="P458" s="271">
        <f t="shared" si="34"/>
        <v>0</v>
      </c>
      <c r="Q458" s="271">
        <f t="shared" si="34"/>
        <v>0</v>
      </c>
      <c r="R458" s="271">
        <f t="shared" si="34"/>
        <v>0</v>
      </c>
      <c r="S458" s="271">
        <f t="shared" si="34"/>
        <v>0</v>
      </c>
      <c r="T458" s="271">
        <f t="shared" si="34"/>
        <v>0</v>
      </c>
      <c r="U458" s="271">
        <f t="shared" si="34"/>
        <v>0</v>
      </c>
      <c r="V458" s="271">
        <f t="shared" si="34"/>
        <v>0</v>
      </c>
      <c r="W458" s="271">
        <f t="shared" si="34"/>
        <v>0</v>
      </c>
      <c r="X458" s="271">
        <f t="shared" si="34"/>
        <v>0</v>
      </c>
      <c r="Y458" s="271">
        <f t="shared" si="34"/>
        <v>0</v>
      </c>
      <c r="Z458" s="271">
        <f t="shared" si="34"/>
        <v>0</v>
      </c>
      <c r="AA458" s="271">
        <f t="shared" si="34"/>
        <v>0</v>
      </c>
      <c r="AB458" s="273" t="s">
        <v>896</v>
      </c>
    </row>
    <row r="459" spans="1:28" s="6" customFormat="1" ht="35.25" x14ac:dyDescent="0.5">
      <c r="A459" s="6">
        <v>1</v>
      </c>
      <c r="B459" s="135">
        <f>SUBTOTAL(103,$A$7:A459)</f>
        <v>432</v>
      </c>
      <c r="C459" s="270" t="s">
        <v>2266</v>
      </c>
      <c r="D459" s="271">
        <f>E459+F459+G459+H459+I459+J459+L459+M459+N459+O459+P459+Q459+R459+S459+T459+U459+V459+W459+X459+Y459+Z459+AA459</f>
        <v>1375551.24</v>
      </c>
      <c r="E459" s="274">
        <v>0</v>
      </c>
      <c r="F459" s="274">
        <v>0</v>
      </c>
      <c r="G459" s="274">
        <v>0</v>
      </c>
      <c r="H459" s="274">
        <v>0</v>
      </c>
      <c r="I459" s="274">
        <v>0</v>
      </c>
      <c r="J459" s="274">
        <v>0</v>
      </c>
      <c r="K459" s="275">
        <v>0</v>
      </c>
      <c r="L459" s="274">
        <v>0</v>
      </c>
      <c r="M459" s="274">
        <v>1375551.24</v>
      </c>
      <c r="N459" s="274">
        <v>0</v>
      </c>
      <c r="O459" s="274">
        <v>0</v>
      </c>
      <c r="P459" s="274">
        <v>0</v>
      </c>
      <c r="Q459" s="274">
        <v>0</v>
      </c>
      <c r="R459" s="274">
        <v>0</v>
      </c>
      <c r="S459" s="274">
        <v>0</v>
      </c>
      <c r="T459" s="274">
        <v>0</v>
      </c>
      <c r="U459" s="274">
        <v>0</v>
      </c>
      <c r="V459" s="274">
        <v>0</v>
      </c>
      <c r="W459" s="274">
        <v>0</v>
      </c>
      <c r="X459" s="274">
        <v>0</v>
      </c>
      <c r="Y459" s="274">
        <v>0</v>
      </c>
      <c r="Z459" s="274">
        <v>0</v>
      </c>
      <c r="AA459" s="274">
        <v>0</v>
      </c>
      <c r="AB459" s="276">
        <v>2020</v>
      </c>
    </row>
    <row r="460" spans="1:28" s="6" customFormat="1" ht="35.25" x14ac:dyDescent="0.5">
      <c r="A460" s="6">
        <v>1</v>
      </c>
      <c r="B460" s="135">
        <f>SUBTOTAL(103,$A$7:A460)</f>
        <v>433</v>
      </c>
      <c r="C460" s="270" t="s">
        <v>2267</v>
      </c>
      <c r="D460" s="271">
        <f>E460+F460+G460+H460+I460+J460+L460+M460+N460+O460+P460+Q460+R460+S460+T460+U460+V460+W460+X460+Y460+Z460+AA460</f>
        <v>439256.62</v>
      </c>
      <c r="E460" s="274">
        <v>0</v>
      </c>
      <c r="F460" s="274">
        <v>439256.62</v>
      </c>
      <c r="G460" s="274">
        <v>0</v>
      </c>
      <c r="H460" s="274">
        <v>0</v>
      </c>
      <c r="I460" s="274">
        <v>0</v>
      </c>
      <c r="J460" s="274">
        <v>0</v>
      </c>
      <c r="K460" s="275">
        <v>0</v>
      </c>
      <c r="L460" s="274">
        <v>0</v>
      </c>
      <c r="M460" s="274">
        <v>0</v>
      </c>
      <c r="N460" s="274">
        <v>0</v>
      </c>
      <c r="O460" s="274">
        <v>0</v>
      </c>
      <c r="P460" s="274">
        <v>0</v>
      </c>
      <c r="Q460" s="274">
        <v>0</v>
      </c>
      <c r="R460" s="274">
        <v>0</v>
      </c>
      <c r="S460" s="274">
        <v>0</v>
      </c>
      <c r="T460" s="274">
        <v>0</v>
      </c>
      <c r="U460" s="274">
        <v>0</v>
      </c>
      <c r="V460" s="274">
        <v>0</v>
      </c>
      <c r="W460" s="274">
        <v>0</v>
      </c>
      <c r="X460" s="274">
        <v>0</v>
      </c>
      <c r="Y460" s="274">
        <v>0</v>
      </c>
      <c r="Z460" s="274">
        <v>0</v>
      </c>
      <c r="AA460" s="274">
        <v>0</v>
      </c>
      <c r="AB460" s="276">
        <v>2020</v>
      </c>
    </row>
    <row r="461" spans="1:28" s="6" customFormat="1" ht="35.25" x14ac:dyDescent="0.5">
      <c r="A461" s="6">
        <v>1</v>
      </c>
      <c r="B461" s="135">
        <f>SUBTOTAL(103,$A$7:A461)</f>
        <v>434</v>
      </c>
      <c r="C461" s="270" t="s">
        <v>2268</v>
      </c>
      <c r="D461" s="271">
        <f>E461+F461+G461+H461+I461+J461+L461+M461+N461+O461+P461+Q461+R461+S461+T461+U461+V461+W461+X461+Y461+Z461+AA461</f>
        <v>553797</v>
      </c>
      <c r="E461" s="274">
        <v>0</v>
      </c>
      <c r="F461" s="274">
        <v>0</v>
      </c>
      <c r="G461" s="274">
        <v>0</v>
      </c>
      <c r="H461" s="274">
        <v>0</v>
      </c>
      <c r="I461" s="274">
        <v>0</v>
      </c>
      <c r="J461" s="274">
        <v>0</v>
      </c>
      <c r="K461" s="275">
        <v>0</v>
      </c>
      <c r="L461" s="274">
        <v>0</v>
      </c>
      <c r="M461" s="274">
        <v>0</v>
      </c>
      <c r="N461" s="274">
        <v>0</v>
      </c>
      <c r="O461" s="274">
        <v>553797</v>
      </c>
      <c r="P461" s="274">
        <v>0</v>
      </c>
      <c r="Q461" s="274">
        <v>0</v>
      </c>
      <c r="R461" s="274">
        <v>0</v>
      </c>
      <c r="S461" s="274">
        <v>0</v>
      </c>
      <c r="T461" s="274">
        <v>0</v>
      </c>
      <c r="U461" s="274">
        <v>0</v>
      </c>
      <c r="V461" s="274">
        <v>0</v>
      </c>
      <c r="W461" s="274">
        <v>0</v>
      </c>
      <c r="X461" s="274">
        <v>0</v>
      </c>
      <c r="Y461" s="274">
        <v>0</v>
      </c>
      <c r="Z461" s="274">
        <v>0</v>
      </c>
      <c r="AA461" s="274">
        <v>0</v>
      </c>
      <c r="AB461" s="276">
        <v>2020</v>
      </c>
    </row>
    <row r="462" spans="1:28" s="6" customFormat="1" ht="35.25" customHeight="1" x14ac:dyDescent="0.5">
      <c r="B462" s="269" t="s">
        <v>859</v>
      </c>
      <c r="C462" s="270"/>
      <c r="D462" s="271">
        <f>SUM(D463:D470)</f>
        <v>6936248.79</v>
      </c>
      <c r="E462" s="271">
        <f t="shared" ref="E462:AA462" si="35">SUM(E463:E470)</f>
        <v>117654</v>
      </c>
      <c r="F462" s="271">
        <f t="shared" si="35"/>
        <v>0</v>
      </c>
      <c r="G462" s="271">
        <f t="shared" si="35"/>
        <v>979023</v>
      </c>
      <c r="H462" s="271">
        <f t="shared" si="35"/>
        <v>0</v>
      </c>
      <c r="I462" s="271">
        <f t="shared" si="35"/>
        <v>368317</v>
      </c>
      <c r="J462" s="271">
        <f t="shared" si="35"/>
        <v>0</v>
      </c>
      <c r="K462" s="272">
        <f t="shared" si="35"/>
        <v>0</v>
      </c>
      <c r="L462" s="271">
        <f t="shared" si="35"/>
        <v>0</v>
      </c>
      <c r="M462" s="271">
        <f t="shared" si="35"/>
        <v>1531213</v>
      </c>
      <c r="N462" s="271">
        <f t="shared" si="35"/>
        <v>0</v>
      </c>
      <c r="O462" s="271">
        <f t="shared" si="35"/>
        <v>3940041.79</v>
      </c>
      <c r="P462" s="271">
        <f t="shared" si="35"/>
        <v>0</v>
      </c>
      <c r="Q462" s="271">
        <f t="shared" si="35"/>
        <v>0</v>
      </c>
      <c r="R462" s="271">
        <f t="shared" si="35"/>
        <v>0</v>
      </c>
      <c r="S462" s="271">
        <f t="shared" si="35"/>
        <v>0</v>
      </c>
      <c r="T462" s="271">
        <f t="shared" si="35"/>
        <v>0</v>
      </c>
      <c r="U462" s="271">
        <f t="shared" si="35"/>
        <v>0</v>
      </c>
      <c r="V462" s="271">
        <f t="shared" si="35"/>
        <v>0</v>
      </c>
      <c r="W462" s="271">
        <f t="shared" si="35"/>
        <v>0</v>
      </c>
      <c r="X462" s="271">
        <f t="shared" si="35"/>
        <v>0</v>
      </c>
      <c r="Y462" s="271">
        <f t="shared" si="35"/>
        <v>0</v>
      </c>
      <c r="Z462" s="271">
        <f t="shared" si="35"/>
        <v>0</v>
      </c>
      <c r="AA462" s="271">
        <f t="shared" si="35"/>
        <v>0</v>
      </c>
      <c r="AB462" s="273" t="s">
        <v>896</v>
      </c>
    </row>
    <row r="463" spans="1:28" s="6" customFormat="1" ht="35.25" x14ac:dyDescent="0.5">
      <c r="A463" s="6">
        <v>1</v>
      </c>
      <c r="B463" s="135">
        <f>SUBTOTAL(103,$A$7:A463)</f>
        <v>435</v>
      </c>
      <c r="C463" s="270" t="s">
        <v>2269</v>
      </c>
      <c r="D463" s="271">
        <f t="shared" ref="D463:D469" si="36">E463+F463+G463+H463+I463+J463+L463+M463+N463+O463+P463+Q463+R463+S463+T463+U463+V463+W463+X463+Y463+Z463+AA463</f>
        <v>824183</v>
      </c>
      <c r="E463" s="274">
        <v>0</v>
      </c>
      <c r="F463" s="274">
        <v>0</v>
      </c>
      <c r="G463" s="274">
        <v>0</v>
      </c>
      <c r="H463" s="274">
        <v>0</v>
      </c>
      <c r="I463" s="274">
        <v>0</v>
      </c>
      <c r="J463" s="274">
        <v>0</v>
      </c>
      <c r="K463" s="275">
        <v>0</v>
      </c>
      <c r="L463" s="274">
        <v>0</v>
      </c>
      <c r="M463" s="274">
        <v>0</v>
      </c>
      <c r="N463" s="274">
        <v>0</v>
      </c>
      <c r="O463" s="274">
        <v>824183</v>
      </c>
      <c r="P463" s="274">
        <v>0</v>
      </c>
      <c r="Q463" s="274">
        <v>0</v>
      </c>
      <c r="R463" s="274">
        <v>0</v>
      </c>
      <c r="S463" s="274">
        <v>0</v>
      </c>
      <c r="T463" s="274">
        <v>0</v>
      </c>
      <c r="U463" s="274">
        <v>0</v>
      </c>
      <c r="V463" s="274">
        <v>0</v>
      </c>
      <c r="W463" s="274">
        <v>0</v>
      </c>
      <c r="X463" s="274">
        <v>0</v>
      </c>
      <c r="Y463" s="274">
        <v>0</v>
      </c>
      <c r="Z463" s="274">
        <v>0</v>
      </c>
      <c r="AA463" s="274">
        <v>0</v>
      </c>
      <c r="AB463" s="276">
        <v>2020</v>
      </c>
    </row>
    <row r="464" spans="1:28" s="6" customFormat="1" ht="35.25" x14ac:dyDescent="0.5">
      <c r="A464" s="6">
        <v>1</v>
      </c>
      <c r="B464" s="135">
        <f>SUBTOTAL(103,$A$7:A464)</f>
        <v>436</v>
      </c>
      <c r="C464" s="270" t="s">
        <v>2270</v>
      </c>
      <c r="D464" s="271">
        <f t="shared" si="36"/>
        <v>851863.79</v>
      </c>
      <c r="E464" s="274">
        <v>0</v>
      </c>
      <c r="F464" s="274">
        <v>0</v>
      </c>
      <c r="G464" s="274">
        <v>0</v>
      </c>
      <c r="H464" s="274">
        <v>0</v>
      </c>
      <c r="I464" s="274">
        <v>0</v>
      </c>
      <c r="J464" s="274">
        <v>0</v>
      </c>
      <c r="K464" s="275">
        <v>0</v>
      </c>
      <c r="L464" s="274">
        <v>0</v>
      </c>
      <c r="M464" s="274">
        <v>0</v>
      </c>
      <c r="N464" s="274">
        <v>0</v>
      </c>
      <c r="O464" s="274">
        <v>851863.79</v>
      </c>
      <c r="P464" s="274">
        <v>0</v>
      </c>
      <c r="Q464" s="274">
        <v>0</v>
      </c>
      <c r="R464" s="274">
        <v>0</v>
      </c>
      <c r="S464" s="274">
        <v>0</v>
      </c>
      <c r="T464" s="274">
        <v>0</v>
      </c>
      <c r="U464" s="274">
        <v>0</v>
      </c>
      <c r="V464" s="274">
        <v>0</v>
      </c>
      <c r="W464" s="274">
        <v>0</v>
      </c>
      <c r="X464" s="274">
        <v>0</v>
      </c>
      <c r="Y464" s="274">
        <v>0</v>
      </c>
      <c r="Z464" s="274">
        <v>0</v>
      </c>
      <c r="AA464" s="274">
        <v>0</v>
      </c>
      <c r="AB464" s="276">
        <v>2020</v>
      </c>
    </row>
    <row r="465" spans="1:28" s="6" customFormat="1" ht="35.25" x14ac:dyDescent="0.5">
      <c r="A465" s="6">
        <v>1</v>
      </c>
      <c r="B465" s="135">
        <f>SUBTOTAL(103,$A$7:A465)</f>
        <v>437</v>
      </c>
      <c r="C465" s="270" t="s">
        <v>2271</v>
      </c>
      <c r="D465" s="271">
        <f t="shared" si="36"/>
        <v>979023</v>
      </c>
      <c r="E465" s="274">
        <v>0</v>
      </c>
      <c r="F465" s="274">
        <v>0</v>
      </c>
      <c r="G465" s="274">
        <v>979023</v>
      </c>
      <c r="H465" s="274">
        <v>0</v>
      </c>
      <c r="I465" s="274">
        <v>0</v>
      </c>
      <c r="J465" s="274">
        <v>0</v>
      </c>
      <c r="K465" s="275">
        <v>0</v>
      </c>
      <c r="L465" s="274">
        <v>0</v>
      </c>
      <c r="M465" s="274">
        <v>0</v>
      </c>
      <c r="N465" s="274">
        <v>0</v>
      </c>
      <c r="O465" s="274">
        <v>0</v>
      </c>
      <c r="P465" s="274">
        <v>0</v>
      </c>
      <c r="Q465" s="274">
        <v>0</v>
      </c>
      <c r="R465" s="274">
        <v>0</v>
      </c>
      <c r="S465" s="274">
        <v>0</v>
      </c>
      <c r="T465" s="274">
        <v>0</v>
      </c>
      <c r="U465" s="274">
        <v>0</v>
      </c>
      <c r="V465" s="274">
        <v>0</v>
      </c>
      <c r="W465" s="274">
        <v>0</v>
      </c>
      <c r="X465" s="274">
        <v>0</v>
      </c>
      <c r="Y465" s="274">
        <v>0</v>
      </c>
      <c r="Z465" s="274">
        <v>0</v>
      </c>
      <c r="AA465" s="274">
        <v>0</v>
      </c>
      <c r="AB465" s="276">
        <v>2020</v>
      </c>
    </row>
    <row r="466" spans="1:28" s="6" customFormat="1" ht="35.25" x14ac:dyDescent="0.5">
      <c r="A466" s="6">
        <v>1</v>
      </c>
      <c r="B466" s="135">
        <f>SUBTOTAL(103,$A$7:A466)</f>
        <v>438</v>
      </c>
      <c r="C466" s="270" t="s">
        <v>2272</v>
      </c>
      <c r="D466" s="271">
        <f t="shared" si="36"/>
        <v>798318</v>
      </c>
      <c r="E466" s="274">
        <v>0</v>
      </c>
      <c r="F466" s="274">
        <v>0</v>
      </c>
      <c r="G466" s="274">
        <v>0</v>
      </c>
      <c r="H466" s="274">
        <v>0</v>
      </c>
      <c r="I466" s="274">
        <v>0</v>
      </c>
      <c r="J466" s="274">
        <v>0</v>
      </c>
      <c r="K466" s="275">
        <v>0</v>
      </c>
      <c r="L466" s="274">
        <v>0</v>
      </c>
      <c r="M466" s="274">
        <v>0</v>
      </c>
      <c r="N466" s="274">
        <v>0</v>
      </c>
      <c r="O466" s="274">
        <v>798318</v>
      </c>
      <c r="P466" s="274">
        <v>0</v>
      </c>
      <c r="Q466" s="274">
        <v>0</v>
      </c>
      <c r="R466" s="274">
        <v>0</v>
      </c>
      <c r="S466" s="274">
        <v>0</v>
      </c>
      <c r="T466" s="274">
        <v>0</v>
      </c>
      <c r="U466" s="274">
        <v>0</v>
      </c>
      <c r="V466" s="274">
        <v>0</v>
      </c>
      <c r="W466" s="274">
        <v>0</v>
      </c>
      <c r="X466" s="274">
        <v>0</v>
      </c>
      <c r="Y466" s="274">
        <v>0</v>
      </c>
      <c r="Z466" s="274">
        <v>0</v>
      </c>
      <c r="AA466" s="274">
        <v>0</v>
      </c>
      <c r="AB466" s="276">
        <v>2020</v>
      </c>
    </row>
    <row r="467" spans="1:28" s="6" customFormat="1" ht="35.25" x14ac:dyDescent="0.5">
      <c r="A467" s="6">
        <v>1</v>
      </c>
      <c r="B467" s="135">
        <f>SUBTOTAL(103,$A$7:A467)</f>
        <v>439</v>
      </c>
      <c r="C467" s="270" t="s">
        <v>1883</v>
      </c>
      <c r="D467" s="271">
        <f t="shared" si="36"/>
        <v>61000</v>
      </c>
      <c r="E467" s="274">
        <v>0</v>
      </c>
      <c r="F467" s="274">
        <v>0</v>
      </c>
      <c r="G467" s="274">
        <v>0</v>
      </c>
      <c r="H467" s="274">
        <v>0</v>
      </c>
      <c r="I467" s="274">
        <v>0</v>
      </c>
      <c r="J467" s="274">
        <v>0</v>
      </c>
      <c r="K467" s="275">
        <v>0</v>
      </c>
      <c r="L467" s="274">
        <v>0</v>
      </c>
      <c r="M467" s="274">
        <v>0</v>
      </c>
      <c r="N467" s="274">
        <v>0</v>
      </c>
      <c r="O467" s="274">
        <v>61000</v>
      </c>
      <c r="P467" s="274">
        <v>0</v>
      </c>
      <c r="Q467" s="274">
        <v>0</v>
      </c>
      <c r="R467" s="274">
        <v>0</v>
      </c>
      <c r="S467" s="274">
        <v>0</v>
      </c>
      <c r="T467" s="274">
        <v>0</v>
      </c>
      <c r="U467" s="274">
        <v>0</v>
      </c>
      <c r="V467" s="274">
        <v>0</v>
      </c>
      <c r="W467" s="274">
        <v>0</v>
      </c>
      <c r="X467" s="274">
        <v>0</v>
      </c>
      <c r="Y467" s="274">
        <v>0</v>
      </c>
      <c r="Z467" s="274">
        <v>0</v>
      </c>
      <c r="AA467" s="274">
        <v>0</v>
      </c>
      <c r="AB467" s="276">
        <v>2020</v>
      </c>
    </row>
    <row r="468" spans="1:28" s="6" customFormat="1" ht="35.25" x14ac:dyDescent="0.5">
      <c r="A468" s="6">
        <v>1</v>
      </c>
      <c r="B468" s="135">
        <f>SUBTOTAL(103,$A$7:A468)</f>
        <v>440</v>
      </c>
      <c r="C468" s="270" t="s">
        <v>1884</v>
      </c>
      <c r="D468" s="271">
        <f t="shared" si="36"/>
        <v>44000</v>
      </c>
      <c r="E468" s="274">
        <v>0</v>
      </c>
      <c r="F468" s="274">
        <v>0</v>
      </c>
      <c r="G468" s="274">
        <v>0</v>
      </c>
      <c r="H468" s="274">
        <v>0</v>
      </c>
      <c r="I468" s="274">
        <v>0</v>
      </c>
      <c r="J468" s="274">
        <v>0</v>
      </c>
      <c r="K468" s="275">
        <v>0</v>
      </c>
      <c r="L468" s="274">
        <v>0</v>
      </c>
      <c r="M468" s="274">
        <v>0</v>
      </c>
      <c r="N468" s="274">
        <v>0</v>
      </c>
      <c r="O468" s="274">
        <v>44000</v>
      </c>
      <c r="P468" s="274">
        <v>0</v>
      </c>
      <c r="Q468" s="274">
        <v>0</v>
      </c>
      <c r="R468" s="274">
        <v>0</v>
      </c>
      <c r="S468" s="274">
        <v>0</v>
      </c>
      <c r="T468" s="274">
        <v>0</v>
      </c>
      <c r="U468" s="274">
        <v>0</v>
      </c>
      <c r="V468" s="274">
        <v>0</v>
      </c>
      <c r="W468" s="274">
        <v>0</v>
      </c>
      <c r="X468" s="274">
        <v>0</v>
      </c>
      <c r="Y468" s="274">
        <v>0</v>
      </c>
      <c r="Z468" s="274">
        <v>0</v>
      </c>
      <c r="AA468" s="274">
        <v>0</v>
      </c>
      <c r="AB468" s="276">
        <v>2020</v>
      </c>
    </row>
    <row r="469" spans="1:28" s="6" customFormat="1" ht="35.25" x14ac:dyDescent="0.5">
      <c r="A469" s="6">
        <v>1</v>
      </c>
      <c r="B469" s="135">
        <f>SUBTOTAL(103,$A$7:A469)</f>
        <v>441</v>
      </c>
      <c r="C469" s="270" t="s">
        <v>2273</v>
      </c>
      <c r="D469" s="271">
        <f t="shared" si="36"/>
        <v>678326</v>
      </c>
      <c r="E469" s="274">
        <v>117654</v>
      </c>
      <c r="F469" s="274">
        <v>0</v>
      </c>
      <c r="G469" s="274">
        <v>0</v>
      </c>
      <c r="H469" s="274">
        <v>0</v>
      </c>
      <c r="I469" s="274">
        <v>0</v>
      </c>
      <c r="J469" s="274">
        <v>0</v>
      </c>
      <c r="K469" s="275">
        <v>0</v>
      </c>
      <c r="L469" s="274">
        <v>0</v>
      </c>
      <c r="M469" s="274">
        <v>0</v>
      </c>
      <c r="N469" s="274">
        <v>0</v>
      </c>
      <c r="O469" s="274">
        <v>560672</v>
      </c>
      <c r="P469" s="274">
        <v>0</v>
      </c>
      <c r="Q469" s="274">
        <v>0</v>
      </c>
      <c r="R469" s="274">
        <v>0</v>
      </c>
      <c r="S469" s="274">
        <v>0</v>
      </c>
      <c r="T469" s="274">
        <v>0</v>
      </c>
      <c r="U469" s="274">
        <v>0</v>
      </c>
      <c r="V469" s="274">
        <v>0</v>
      </c>
      <c r="W469" s="274">
        <v>0</v>
      </c>
      <c r="X469" s="274">
        <v>0</v>
      </c>
      <c r="Y469" s="274">
        <v>0</v>
      </c>
      <c r="Z469" s="274">
        <v>0</v>
      </c>
      <c r="AA469" s="274">
        <v>0</v>
      </c>
      <c r="AB469" s="276">
        <v>2020</v>
      </c>
    </row>
    <row r="470" spans="1:28" s="6" customFormat="1" ht="35.25" customHeight="1" x14ac:dyDescent="0.5">
      <c r="B470" s="269" t="s">
        <v>858</v>
      </c>
      <c r="C470" s="270"/>
      <c r="D470" s="271">
        <f>SUM(D471:D473)</f>
        <v>2699535</v>
      </c>
      <c r="E470" s="271">
        <f t="shared" ref="E470:AA470" si="37">SUM(E471:E473)</f>
        <v>0</v>
      </c>
      <c r="F470" s="271">
        <f t="shared" si="37"/>
        <v>0</v>
      </c>
      <c r="G470" s="271">
        <f t="shared" si="37"/>
        <v>0</v>
      </c>
      <c r="H470" s="271">
        <f t="shared" si="37"/>
        <v>0</v>
      </c>
      <c r="I470" s="271">
        <f t="shared" si="37"/>
        <v>368317</v>
      </c>
      <c r="J470" s="271">
        <f t="shared" si="37"/>
        <v>0</v>
      </c>
      <c r="K470" s="272">
        <f t="shared" si="37"/>
        <v>0</v>
      </c>
      <c r="L470" s="271">
        <f t="shared" si="37"/>
        <v>0</v>
      </c>
      <c r="M470" s="271">
        <f t="shared" si="37"/>
        <v>1531213</v>
      </c>
      <c r="N470" s="271">
        <f t="shared" si="37"/>
        <v>0</v>
      </c>
      <c r="O470" s="271">
        <f t="shared" si="37"/>
        <v>800005</v>
      </c>
      <c r="P470" s="271">
        <f t="shared" si="37"/>
        <v>0</v>
      </c>
      <c r="Q470" s="271">
        <f t="shared" si="37"/>
        <v>0</v>
      </c>
      <c r="R470" s="271">
        <f t="shared" si="37"/>
        <v>0</v>
      </c>
      <c r="S470" s="271">
        <f t="shared" si="37"/>
        <v>0</v>
      </c>
      <c r="T470" s="271">
        <f t="shared" si="37"/>
        <v>0</v>
      </c>
      <c r="U470" s="271">
        <f t="shared" si="37"/>
        <v>0</v>
      </c>
      <c r="V470" s="271">
        <f t="shared" si="37"/>
        <v>0</v>
      </c>
      <c r="W470" s="271">
        <f t="shared" si="37"/>
        <v>0</v>
      </c>
      <c r="X470" s="271">
        <f t="shared" si="37"/>
        <v>0</v>
      </c>
      <c r="Y470" s="271">
        <f t="shared" si="37"/>
        <v>0</v>
      </c>
      <c r="Z470" s="271">
        <f t="shared" si="37"/>
        <v>0</v>
      </c>
      <c r="AA470" s="271">
        <f t="shared" si="37"/>
        <v>0</v>
      </c>
      <c r="AB470" s="273" t="s">
        <v>896</v>
      </c>
    </row>
    <row r="471" spans="1:28" s="6" customFormat="1" ht="35.25" x14ac:dyDescent="0.5">
      <c r="A471" s="6">
        <v>1</v>
      </c>
      <c r="B471" s="135">
        <f>SUBTOTAL(103,$A$7:A471)</f>
        <v>442</v>
      </c>
      <c r="C471" s="270" t="s">
        <v>2274</v>
      </c>
      <c r="D471" s="271">
        <f>E471+F471+G471+H471+I471+J471+L471+M471+N471+O471+P471+Q471+R471+S471+T471+U471+V471+W471+X471+Y471+Z471+AA471</f>
        <v>1531213</v>
      </c>
      <c r="E471" s="274">
        <v>0</v>
      </c>
      <c r="F471" s="274">
        <v>0</v>
      </c>
      <c r="G471" s="274">
        <v>0</v>
      </c>
      <c r="H471" s="274">
        <v>0</v>
      </c>
      <c r="I471" s="274">
        <v>0</v>
      </c>
      <c r="J471" s="274">
        <v>0</v>
      </c>
      <c r="K471" s="275">
        <v>0</v>
      </c>
      <c r="L471" s="274">
        <v>0</v>
      </c>
      <c r="M471" s="274">
        <v>1531213</v>
      </c>
      <c r="N471" s="274">
        <v>0</v>
      </c>
      <c r="O471" s="274">
        <v>0</v>
      </c>
      <c r="P471" s="274">
        <v>0</v>
      </c>
      <c r="Q471" s="274">
        <v>0</v>
      </c>
      <c r="R471" s="274">
        <v>0</v>
      </c>
      <c r="S471" s="274">
        <v>0</v>
      </c>
      <c r="T471" s="274">
        <v>0</v>
      </c>
      <c r="U471" s="274">
        <v>0</v>
      </c>
      <c r="V471" s="274">
        <v>0</v>
      </c>
      <c r="W471" s="274">
        <v>0</v>
      </c>
      <c r="X471" s="274">
        <v>0</v>
      </c>
      <c r="Y471" s="274">
        <v>0</v>
      </c>
      <c r="Z471" s="274">
        <v>0</v>
      </c>
      <c r="AA471" s="274">
        <v>0</v>
      </c>
      <c r="AB471" s="276">
        <v>2020</v>
      </c>
    </row>
    <row r="472" spans="1:28" s="6" customFormat="1" ht="35.25" x14ac:dyDescent="0.5">
      <c r="A472" s="6">
        <v>1</v>
      </c>
      <c r="B472" s="135">
        <f>SUBTOTAL(103,$A$7:A472)</f>
        <v>443</v>
      </c>
      <c r="C472" s="270" t="s">
        <v>2275</v>
      </c>
      <c r="D472" s="271">
        <f>E472+F472+G472+H472+I472+J472+L472+M472+N472+O472+P472+Q472+R472+S472+T472+U472+V472+W472+X472+Y472+Z472+AA472</f>
        <v>800005</v>
      </c>
      <c r="E472" s="274">
        <v>0</v>
      </c>
      <c r="F472" s="274">
        <v>0</v>
      </c>
      <c r="G472" s="274">
        <v>0</v>
      </c>
      <c r="H472" s="274">
        <v>0</v>
      </c>
      <c r="I472" s="274">
        <v>0</v>
      </c>
      <c r="J472" s="274">
        <v>0</v>
      </c>
      <c r="K472" s="275">
        <v>0</v>
      </c>
      <c r="L472" s="274">
        <v>0</v>
      </c>
      <c r="M472" s="274">
        <v>0</v>
      </c>
      <c r="N472" s="274">
        <v>0</v>
      </c>
      <c r="O472" s="274">
        <v>800005</v>
      </c>
      <c r="P472" s="274">
        <v>0</v>
      </c>
      <c r="Q472" s="274">
        <v>0</v>
      </c>
      <c r="R472" s="274">
        <v>0</v>
      </c>
      <c r="S472" s="274">
        <v>0</v>
      </c>
      <c r="T472" s="274">
        <v>0</v>
      </c>
      <c r="U472" s="274">
        <v>0</v>
      </c>
      <c r="V472" s="274">
        <v>0</v>
      </c>
      <c r="W472" s="274">
        <v>0</v>
      </c>
      <c r="X472" s="274">
        <v>0</v>
      </c>
      <c r="Y472" s="274">
        <v>0</v>
      </c>
      <c r="Z472" s="274">
        <v>0</v>
      </c>
      <c r="AA472" s="274">
        <v>0</v>
      </c>
      <c r="AB472" s="276">
        <v>2020</v>
      </c>
    </row>
    <row r="473" spans="1:28" s="6" customFormat="1" ht="35.25" x14ac:dyDescent="0.5">
      <c r="A473" s="6">
        <v>1</v>
      </c>
      <c r="B473" s="135">
        <f>SUBTOTAL(103,$A$7:A473)</f>
        <v>444</v>
      </c>
      <c r="C473" s="270" t="s">
        <v>2276</v>
      </c>
      <c r="D473" s="271">
        <f>E473+F473+G473+H473+I473+J473+L473+M473+N473+O473+P473+Q473+R473+S473+T473+U473+V473+W473+X473+Y473+Z473+AA473</f>
        <v>368317</v>
      </c>
      <c r="E473" s="274">
        <v>0</v>
      </c>
      <c r="F473" s="274">
        <v>0</v>
      </c>
      <c r="G473" s="274">
        <v>0</v>
      </c>
      <c r="H473" s="274">
        <v>0</v>
      </c>
      <c r="I473" s="274">
        <v>368317</v>
      </c>
      <c r="J473" s="274">
        <v>0</v>
      </c>
      <c r="K473" s="275">
        <v>0</v>
      </c>
      <c r="L473" s="274">
        <v>0</v>
      </c>
      <c r="M473" s="274">
        <v>0</v>
      </c>
      <c r="N473" s="274">
        <v>0</v>
      </c>
      <c r="O473" s="274">
        <v>0</v>
      </c>
      <c r="P473" s="274">
        <v>0</v>
      </c>
      <c r="Q473" s="274">
        <v>0</v>
      </c>
      <c r="R473" s="274">
        <v>0</v>
      </c>
      <c r="S473" s="274">
        <v>0</v>
      </c>
      <c r="T473" s="274">
        <v>0</v>
      </c>
      <c r="U473" s="274">
        <v>0</v>
      </c>
      <c r="V473" s="274">
        <v>0</v>
      </c>
      <c r="W473" s="274">
        <v>0</v>
      </c>
      <c r="X473" s="274">
        <v>0</v>
      </c>
      <c r="Y473" s="274">
        <v>0</v>
      </c>
      <c r="Z473" s="274">
        <v>0</v>
      </c>
      <c r="AA473" s="274">
        <v>0</v>
      </c>
      <c r="AB473" s="276">
        <v>2020</v>
      </c>
    </row>
    <row r="474" spans="1:28" s="6" customFormat="1" ht="35.25" customHeight="1" x14ac:dyDescent="0.5">
      <c r="B474" s="269" t="s">
        <v>857</v>
      </c>
      <c r="C474" s="270"/>
      <c r="D474" s="271">
        <f>SUM(D475:D478)</f>
        <v>4565291.7300000004</v>
      </c>
      <c r="E474" s="271">
        <f t="shared" ref="E474:AA474" si="38">SUM(E475:E478)</f>
        <v>0</v>
      </c>
      <c r="F474" s="271">
        <f t="shared" si="38"/>
        <v>0</v>
      </c>
      <c r="G474" s="271">
        <f t="shared" si="38"/>
        <v>0</v>
      </c>
      <c r="H474" s="271">
        <f t="shared" si="38"/>
        <v>0</v>
      </c>
      <c r="I474" s="271">
        <f t="shared" si="38"/>
        <v>0</v>
      </c>
      <c r="J474" s="271">
        <f t="shared" si="38"/>
        <v>0</v>
      </c>
      <c r="K474" s="272">
        <f t="shared" si="38"/>
        <v>0</v>
      </c>
      <c r="L474" s="271">
        <f t="shared" si="38"/>
        <v>0</v>
      </c>
      <c r="M474" s="271">
        <f t="shared" si="38"/>
        <v>3672797.36</v>
      </c>
      <c r="N474" s="271">
        <f t="shared" si="38"/>
        <v>0</v>
      </c>
      <c r="O474" s="271">
        <f t="shared" si="38"/>
        <v>663650</v>
      </c>
      <c r="P474" s="271">
        <f t="shared" si="38"/>
        <v>228844.37</v>
      </c>
      <c r="Q474" s="271">
        <f t="shared" si="38"/>
        <v>0</v>
      </c>
      <c r="R474" s="271">
        <f t="shared" si="38"/>
        <v>0</v>
      </c>
      <c r="S474" s="271">
        <f t="shared" si="38"/>
        <v>0</v>
      </c>
      <c r="T474" s="271">
        <f t="shared" si="38"/>
        <v>0</v>
      </c>
      <c r="U474" s="271">
        <f t="shared" si="38"/>
        <v>0</v>
      </c>
      <c r="V474" s="271">
        <f t="shared" si="38"/>
        <v>0</v>
      </c>
      <c r="W474" s="271">
        <f t="shared" si="38"/>
        <v>0</v>
      </c>
      <c r="X474" s="271">
        <f t="shared" si="38"/>
        <v>0</v>
      </c>
      <c r="Y474" s="271">
        <f t="shared" si="38"/>
        <v>0</v>
      </c>
      <c r="Z474" s="271">
        <f t="shared" si="38"/>
        <v>0</v>
      </c>
      <c r="AA474" s="271">
        <f t="shared" si="38"/>
        <v>0</v>
      </c>
      <c r="AB474" s="273" t="s">
        <v>896</v>
      </c>
    </row>
    <row r="475" spans="1:28" s="6" customFormat="1" ht="35.25" x14ac:dyDescent="0.5">
      <c r="A475" s="6">
        <v>1</v>
      </c>
      <c r="B475" s="135">
        <f>SUBTOTAL(103,$A$7:A475)</f>
        <v>445</v>
      </c>
      <c r="C475" s="270" t="s">
        <v>2277</v>
      </c>
      <c r="D475" s="271">
        <f>E475+F475+G475+H475+I475+J475+L475+M475+N475+O475+P475+Q475+R475+S475+T475+U475+V475+W475+X475+Y475+Z475+AA475</f>
        <v>598629.73</v>
      </c>
      <c r="E475" s="274">
        <v>0</v>
      </c>
      <c r="F475" s="274">
        <v>0</v>
      </c>
      <c r="G475" s="274">
        <v>0</v>
      </c>
      <c r="H475" s="274">
        <v>0</v>
      </c>
      <c r="I475" s="274">
        <v>0</v>
      </c>
      <c r="J475" s="274">
        <v>0</v>
      </c>
      <c r="K475" s="275">
        <v>0</v>
      </c>
      <c r="L475" s="274">
        <v>0</v>
      </c>
      <c r="M475" s="274">
        <v>369785.36</v>
      </c>
      <c r="N475" s="274">
        <v>0</v>
      </c>
      <c r="O475" s="274">
        <v>0</v>
      </c>
      <c r="P475" s="274">
        <v>228844.37</v>
      </c>
      <c r="Q475" s="274">
        <v>0</v>
      </c>
      <c r="R475" s="274">
        <v>0</v>
      </c>
      <c r="S475" s="274">
        <v>0</v>
      </c>
      <c r="T475" s="274">
        <v>0</v>
      </c>
      <c r="U475" s="274">
        <v>0</v>
      </c>
      <c r="V475" s="274">
        <v>0</v>
      </c>
      <c r="W475" s="274">
        <v>0</v>
      </c>
      <c r="X475" s="274">
        <v>0</v>
      </c>
      <c r="Y475" s="274">
        <v>0</v>
      </c>
      <c r="Z475" s="274">
        <v>0</v>
      </c>
      <c r="AA475" s="274">
        <v>0</v>
      </c>
      <c r="AB475" s="276">
        <v>2020</v>
      </c>
    </row>
    <row r="476" spans="1:28" s="6" customFormat="1" ht="35.25" x14ac:dyDescent="0.5">
      <c r="A476" s="6">
        <v>1</v>
      </c>
      <c r="B476" s="135">
        <f>SUBTOTAL(103,$A$7:A476)</f>
        <v>446</v>
      </c>
      <c r="C476" s="270" t="s">
        <v>2278</v>
      </c>
      <c r="D476" s="271">
        <f>E476+F476+G476+H476+I476+J476+L476+M476+N476+O476+P476+Q476+R476+S476+T476+U476+V476+W476+X476+Y476+Z476+AA476</f>
        <v>1940000</v>
      </c>
      <c r="E476" s="274">
        <v>0</v>
      </c>
      <c r="F476" s="274">
        <v>0</v>
      </c>
      <c r="G476" s="274">
        <v>0</v>
      </c>
      <c r="H476" s="274">
        <v>0</v>
      </c>
      <c r="I476" s="274">
        <v>0</v>
      </c>
      <c r="J476" s="274">
        <v>0</v>
      </c>
      <c r="K476" s="275">
        <v>0</v>
      </c>
      <c r="L476" s="274">
        <v>0</v>
      </c>
      <c r="M476" s="274">
        <v>1940000</v>
      </c>
      <c r="N476" s="274">
        <v>0</v>
      </c>
      <c r="O476" s="274">
        <v>0</v>
      </c>
      <c r="P476" s="274">
        <v>0</v>
      </c>
      <c r="Q476" s="274">
        <v>0</v>
      </c>
      <c r="R476" s="274">
        <v>0</v>
      </c>
      <c r="S476" s="274">
        <v>0</v>
      </c>
      <c r="T476" s="274">
        <v>0</v>
      </c>
      <c r="U476" s="274">
        <v>0</v>
      </c>
      <c r="V476" s="274">
        <v>0</v>
      </c>
      <c r="W476" s="274">
        <v>0</v>
      </c>
      <c r="X476" s="274">
        <v>0</v>
      </c>
      <c r="Y476" s="274">
        <v>0</v>
      </c>
      <c r="Z476" s="274">
        <v>0</v>
      </c>
      <c r="AA476" s="274">
        <v>0</v>
      </c>
      <c r="AB476" s="276">
        <v>2020</v>
      </c>
    </row>
    <row r="477" spans="1:28" s="6" customFormat="1" ht="35.25" x14ac:dyDescent="0.5">
      <c r="A477" s="6">
        <v>1</v>
      </c>
      <c r="B477" s="135">
        <f>SUBTOTAL(103,$A$7:A477)</f>
        <v>447</v>
      </c>
      <c r="C477" s="270" t="s">
        <v>2279</v>
      </c>
      <c r="D477" s="271">
        <f>E477+F477+G477+H477+I477+J477+L477+M477+N477+O477+P477+Q477+R477+S477+T477+U477+V477+W477+X477+Y477+Z477+AA477</f>
        <v>1363012</v>
      </c>
      <c r="E477" s="274">
        <v>0</v>
      </c>
      <c r="F477" s="274">
        <v>0</v>
      </c>
      <c r="G477" s="274">
        <v>0</v>
      </c>
      <c r="H477" s="274">
        <v>0</v>
      </c>
      <c r="I477" s="274">
        <v>0</v>
      </c>
      <c r="J477" s="274">
        <v>0</v>
      </c>
      <c r="K477" s="275">
        <v>0</v>
      </c>
      <c r="L477" s="274">
        <v>0</v>
      </c>
      <c r="M477" s="274">
        <v>1363012</v>
      </c>
      <c r="N477" s="274">
        <v>0</v>
      </c>
      <c r="O477" s="274">
        <v>0</v>
      </c>
      <c r="P477" s="274">
        <v>0</v>
      </c>
      <c r="Q477" s="274">
        <v>0</v>
      </c>
      <c r="R477" s="274">
        <v>0</v>
      </c>
      <c r="S477" s="274">
        <v>0</v>
      </c>
      <c r="T477" s="274">
        <v>0</v>
      </c>
      <c r="U477" s="274">
        <v>0</v>
      </c>
      <c r="V477" s="274">
        <v>0</v>
      </c>
      <c r="W477" s="274">
        <v>0</v>
      </c>
      <c r="X477" s="274">
        <v>0</v>
      </c>
      <c r="Y477" s="274">
        <v>0</v>
      </c>
      <c r="Z477" s="274">
        <v>0</v>
      </c>
      <c r="AA477" s="274">
        <v>0</v>
      </c>
      <c r="AB477" s="276">
        <v>2020</v>
      </c>
    </row>
    <row r="478" spans="1:28" s="6" customFormat="1" ht="35.25" x14ac:dyDescent="0.5">
      <c r="A478" s="6">
        <v>1</v>
      </c>
      <c r="B478" s="135">
        <f>SUBTOTAL(103,$A$7:A478)</f>
        <v>448</v>
      </c>
      <c r="C478" s="270" t="s">
        <v>2280</v>
      </c>
      <c r="D478" s="271">
        <f>E478+F478+G478+H478+I478+J478+L478+M478+N478+O478+P478+Q478+R478+S478+T478+U478+V478+W478+X478+Y478+Z478+AA478</f>
        <v>663650</v>
      </c>
      <c r="E478" s="274">
        <v>0</v>
      </c>
      <c r="F478" s="274">
        <v>0</v>
      </c>
      <c r="G478" s="274">
        <v>0</v>
      </c>
      <c r="H478" s="274">
        <v>0</v>
      </c>
      <c r="I478" s="274">
        <v>0</v>
      </c>
      <c r="J478" s="274">
        <v>0</v>
      </c>
      <c r="K478" s="275">
        <v>0</v>
      </c>
      <c r="L478" s="274">
        <v>0</v>
      </c>
      <c r="M478" s="274">
        <v>0</v>
      </c>
      <c r="N478" s="274">
        <v>0</v>
      </c>
      <c r="O478" s="274">
        <v>663650</v>
      </c>
      <c r="P478" s="274">
        <v>0</v>
      </c>
      <c r="Q478" s="274">
        <v>0</v>
      </c>
      <c r="R478" s="274">
        <v>0</v>
      </c>
      <c r="S478" s="274">
        <v>0</v>
      </c>
      <c r="T478" s="274">
        <v>0</v>
      </c>
      <c r="U478" s="274">
        <v>0</v>
      </c>
      <c r="V478" s="274">
        <v>0</v>
      </c>
      <c r="W478" s="274">
        <v>0</v>
      </c>
      <c r="X478" s="274">
        <v>0</v>
      </c>
      <c r="Y478" s="274">
        <v>0</v>
      </c>
      <c r="Z478" s="274">
        <v>0</v>
      </c>
      <c r="AA478" s="274">
        <v>0</v>
      </c>
      <c r="AB478" s="276">
        <v>2020</v>
      </c>
    </row>
    <row r="479" spans="1:28" s="6" customFormat="1" ht="35.25" customHeight="1" x14ac:dyDescent="0.5">
      <c r="B479" s="269" t="s">
        <v>865</v>
      </c>
      <c r="C479" s="270"/>
      <c r="D479" s="271">
        <f>SUM(D480:D485)</f>
        <v>2084622.03</v>
      </c>
      <c r="E479" s="271">
        <f t="shared" ref="E479:AA479" si="39">SUM(E480:E485)</f>
        <v>0</v>
      </c>
      <c r="F479" s="271">
        <f t="shared" si="39"/>
        <v>0</v>
      </c>
      <c r="G479" s="271">
        <f t="shared" si="39"/>
        <v>0</v>
      </c>
      <c r="H479" s="271">
        <f t="shared" si="39"/>
        <v>0</v>
      </c>
      <c r="I479" s="271">
        <f t="shared" si="39"/>
        <v>400852</v>
      </c>
      <c r="J479" s="271">
        <f t="shared" si="39"/>
        <v>0</v>
      </c>
      <c r="K479" s="272">
        <f t="shared" si="39"/>
        <v>0</v>
      </c>
      <c r="L479" s="271">
        <f t="shared" si="39"/>
        <v>0</v>
      </c>
      <c r="M479" s="271">
        <f t="shared" si="39"/>
        <v>0</v>
      </c>
      <c r="N479" s="271">
        <f t="shared" si="39"/>
        <v>78045.73</v>
      </c>
      <c r="O479" s="271">
        <f t="shared" si="39"/>
        <v>1441694.5</v>
      </c>
      <c r="P479" s="271">
        <f t="shared" si="39"/>
        <v>164029.79999999999</v>
      </c>
      <c r="Q479" s="271">
        <f t="shared" si="39"/>
        <v>0</v>
      </c>
      <c r="R479" s="271">
        <f t="shared" si="39"/>
        <v>0</v>
      </c>
      <c r="S479" s="271">
        <f t="shared" si="39"/>
        <v>0</v>
      </c>
      <c r="T479" s="271">
        <f t="shared" si="39"/>
        <v>0</v>
      </c>
      <c r="U479" s="271">
        <f t="shared" si="39"/>
        <v>0</v>
      </c>
      <c r="V479" s="271">
        <f t="shared" si="39"/>
        <v>0</v>
      </c>
      <c r="W479" s="271">
        <f t="shared" si="39"/>
        <v>0</v>
      </c>
      <c r="X479" s="271">
        <f t="shared" si="39"/>
        <v>0</v>
      </c>
      <c r="Y479" s="271">
        <f t="shared" si="39"/>
        <v>0</v>
      </c>
      <c r="Z479" s="271">
        <f t="shared" si="39"/>
        <v>0</v>
      </c>
      <c r="AA479" s="271">
        <f t="shared" si="39"/>
        <v>0</v>
      </c>
      <c r="AB479" s="273" t="s">
        <v>896</v>
      </c>
    </row>
    <row r="480" spans="1:28" s="6" customFormat="1" ht="35.25" x14ac:dyDescent="0.5">
      <c r="A480" s="6">
        <v>1</v>
      </c>
      <c r="B480" s="135">
        <f>SUBTOTAL(103,$A$7:A480)</f>
        <v>449</v>
      </c>
      <c r="C480" s="270" t="s">
        <v>2281</v>
      </c>
      <c r="D480" s="271">
        <f t="shared" ref="D480:D485" si="40">E480+F480+G480+H480+I480+J480+L480+M480+N480+O480+P480+Q480+R480+S480+T480+U480+V480+W480+X480+Y480+Z480+AA480</f>
        <v>190801.84</v>
      </c>
      <c r="E480" s="274">
        <v>0</v>
      </c>
      <c r="F480" s="274">
        <v>0</v>
      </c>
      <c r="G480" s="274">
        <v>0</v>
      </c>
      <c r="H480" s="274">
        <v>0</v>
      </c>
      <c r="I480" s="274">
        <v>0</v>
      </c>
      <c r="J480" s="274">
        <v>0</v>
      </c>
      <c r="K480" s="275">
        <v>0</v>
      </c>
      <c r="L480" s="274">
        <v>0</v>
      </c>
      <c r="M480" s="274">
        <v>0</v>
      </c>
      <c r="N480" s="274">
        <v>0</v>
      </c>
      <c r="O480" s="274">
        <v>190801.84</v>
      </c>
      <c r="P480" s="274">
        <v>0</v>
      </c>
      <c r="Q480" s="274">
        <v>0</v>
      </c>
      <c r="R480" s="274">
        <v>0</v>
      </c>
      <c r="S480" s="274">
        <v>0</v>
      </c>
      <c r="T480" s="274">
        <v>0</v>
      </c>
      <c r="U480" s="274">
        <v>0</v>
      </c>
      <c r="V480" s="274">
        <v>0</v>
      </c>
      <c r="W480" s="274">
        <v>0</v>
      </c>
      <c r="X480" s="274">
        <v>0</v>
      </c>
      <c r="Y480" s="274">
        <v>0</v>
      </c>
      <c r="Z480" s="274">
        <v>0</v>
      </c>
      <c r="AA480" s="274">
        <v>0</v>
      </c>
      <c r="AB480" s="276">
        <v>2020</v>
      </c>
    </row>
    <row r="481" spans="1:28" s="6" customFormat="1" ht="35.25" x14ac:dyDescent="0.5">
      <c r="A481" s="6">
        <v>1</v>
      </c>
      <c r="B481" s="135">
        <f>SUBTOTAL(103,$A$7:A481)</f>
        <v>450</v>
      </c>
      <c r="C481" s="270" t="s">
        <v>2282</v>
      </c>
      <c r="D481" s="271">
        <f t="shared" si="40"/>
        <v>78045.73</v>
      </c>
      <c r="E481" s="274">
        <v>0</v>
      </c>
      <c r="F481" s="274">
        <v>0</v>
      </c>
      <c r="G481" s="274">
        <v>0</v>
      </c>
      <c r="H481" s="274">
        <v>0</v>
      </c>
      <c r="I481" s="274">
        <v>0</v>
      </c>
      <c r="J481" s="274">
        <v>0</v>
      </c>
      <c r="K481" s="275">
        <v>0</v>
      </c>
      <c r="L481" s="274">
        <v>0</v>
      </c>
      <c r="M481" s="274">
        <v>0</v>
      </c>
      <c r="N481" s="274">
        <v>78045.73</v>
      </c>
      <c r="O481" s="274">
        <v>0</v>
      </c>
      <c r="P481" s="274">
        <v>0</v>
      </c>
      <c r="Q481" s="274">
        <v>0</v>
      </c>
      <c r="R481" s="274">
        <v>0</v>
      </c>
      <c r="S481" s="274">
        <v>0</v>
      </c>
      <c r="T481" s="274">
        <v>0</v>
      </c>
      <c r="U481" s="274">
        <v>0</v>
      </c>
      <c r="V481" s="274">
        <v>0</v>
      </c>
      <c r="W481" s="274">
        <v>0</v>
      </c>
      <c r="X481" s="274">
        <v>0</v>
      </c>
      <c r="Y481" s="274">
        <v>0</v>
      </c>
      <c r="Z481" s="274">
        <v>0</v>
      </c>
      <c r="AA481" s="274">
        <v>0</v>
      </c>
      <c r="AB481" s="276">
        <v>2020</v>
      </c>
    </row>
    <row r="482" spans="1:28" s="6" customFormat="1" ht="35.25" x14ac:dyDescent="0.5">
      <c r="A482" s="6">
        <v>1</v>
      </c>
      <c r="B482" s="135">
        <f>SUBTOTAL(103,$A$7:A482)</f>
        <v>451</v>
      </c>
      <c r="C482" s="270" t="s">
        <v>2283</v>
      </c>
      <c r="D482" s="271">
        <f t="shared" si="40"/>
        <v>282509.7</v>
      </c>
      <c r="E482" s="274">
        <v>0</v>
      </c>
      <c r="F482" s="274">
        <v>0</v>
      </c>
      <c r="G482" s="274">
        <v>0</v>
      </c>
      <c r="H482" s="274">
        <v>0</v>
      </c>
      <c r="I482" s="274">
        <v>0</v>
      </c>
      <c r="J482" s="274">
        <v>0</v>
      </c>
      <c r="K482" s="275">
        <v>0</v>
      </c>
      <c r="L482" s="274">
        <v>0</v>
      </c>
      <c r="M482" s="274">
        <v>0</v>
      </c>
      <c r="N482" s="274">
        <v>0</v>
      </c>
      <c r="O482" s="274">
        <v>282509.7</v>
      </c>
      <c r="P482" s="274">
        <v>0</v>
      </c>
      <c r="Q482" s="274">
        <v>0</v>
      </c>
      <c r="R482" s="274">
        <v>0</v>
      </c>
      <c r="S482" s="274">
        <v>0</v>
      </c>
      <c r="T482" s="274">
        <v>0</v>
      </c>
      <c r="U482" s="274">
        <v>0</v>
      </c>
      <c r="V482" s="274">
        <v>0</v>
      </c>
      <c r="W482" s="274">
        <v>0</v>
      </c>
      <c r="X482" s="274">
        <v>0</v>
      </c>
      <c r="Y482" s="274">
        <v>0</v>
      </c>
      <c r="Z482" s="274">
        <v>0</v>
      </c>
      <c r="AA482" s="274">
        <v>0</v>
      </c>
      <c r="AB482" s="276">
        <v>2020</v>
      </c>
    </row>
    <row r="483" spans="1:28" s="6" customFormat="1" ht="35.25" x14ac:dyDescent="0.5">
      <c r="A483" s="6">
        <v>1</v>
      </c>
      <c r="B483" s="135">
        <f>SUBTOTAL(103,$A$7:A483)</f>
        <v>452</v>
      </c>
      <c r="C483" s="270" t="s">
        <v>2284</v>
      </c>
      <c r="D483" s="271">
        <f t="shared" si="40"/>
        <v>711071</v>
      </c>
      <c r="E483" s="274">
        <v>0</v>
      </c>
      <c r="F483" s="274">
        <v>0</v>
      </c>
      <c r="G483" s="274">
        <v>0</v>
      </c>
      <c r="H483" s="274">
        <v>0</v>
      </c>
      <c r="I483" s="274">
        <v>400852</v>
      </c>
      <c r="J483" s="274">
        <v>0</v>
      </c>
      <c r="K483" s="275">
        <v>0</v>
      </c>
      <c r="L483" s="274">
        <v>0</v>
      </c>
      <c r="M483" s="274">
        <v>0</v>
      </c>
      <c r="N483" s="274">
        <v>0</v>
      </c>
      <c r="O483" s="274">
        <v>310219</v>
      </c>
      <c r="P483" s="274">
        <v>0</v>
      </c>
      <c r="Q483" s="274">
        <v>0</v>
      </c>
      <c r="R483" s="274">
        <v>0</v>
      </c>
      <c r="S483" s="274">
        <v>0</v>
      </c>
      <c r="T483" s="274">
        <v>0</v>
      </c>
      <c r="U483" s="274">
        <v>0</v>
      </c>
      <c r="V483" s="274">
        <v>0</v>
      </c>
      <c r="W483" s="274">
        <v>0</v>
      </c>
      <c r="X483" s="274">
        <v>0</v>
      </c>
      <c r="Y483" s="274">
        <v>0</v>
      </c>
      <c r="Z483" s="274">
        <v>0</v>
      </c>
      <c r="AA483" s="274">
        <v>0</v>
      </c>
      <c r="AB483" s="276">
        <v>2020</v>
      </c>
    </row>
    <row r="484" spans="1:28" s="6" customFormat="1" ht="35.25" x14ac:dyDescent="0.5">
      <c r="A484" s="6">
        <v>1</v>
      </c>
      <c r="B484" s="135">
        <f>SUBTOTAL(103,$A$7:A484)</f>
        <v>453</v>
      </c>
      <c r="C484" s="270" t="s">
        <v>2285</v>
      </c>
      <c r="D484" s="271">
        <f t="shared" si="40"/>
        <v>658163.96</v>
      </c>
      <c r="E484" s="274">
        <v>0</v>
      </c>
      <c r="F484" s="274">
        <v>0</v>
      </c>
      <c r="G484" s="274">
        <v>0</v>
      </c>
      <c r="H484" s="274">
        <v>0</v>
      </c>
      <c r="I484" s="274">
        <v>0</v>
      </c>
      <c r="J484" s="274">
        <v>0</v>
      </c>
      <c r="K484" s="275">
        <v>0</v>
      </c>
      <c r="L484" s="274">
        <v>0</v>
      </c>
      <c r="M484" s="274">
        <v>0</v>
      </c>
      <c r="N484" s="274">
        <v>0</v>
      </c>
      <c r="O484" s="274">
        <v>658163.96</v>
      </c>
      <c r="P484" s="274">
        <v>0</v>
      </c>
      <c r="Q484" s="274">
        <v>0</v>
      </c>
      <c r="R484" s="274">
        <v>0</v>
      </c>
      <c r="S484" s="274">
        <v>0</v>
      </c>
      <c r="T484" s="274">
        <v>0</v>
      </c>
      <c r="U484" s="274">
        <v>0</v>
      </c>
      <c r="V484" s="274">
        <v>0</v>
      </c>
      <c r="W484" s="274">
        <v>0</v>
      </c>
      <c r="X484" s="274">
        <v>0</v>
      </c>
      <c r="Y484" s="274">
        <v>0</v>
      </c>
      <c r="Z484" s="274">
        <v>0</v>
      </c>
      <c r="AA484" s="274">
        <v>0</v>
      </c>
      <c r="AB484" s="276">
        <v>2020</v>
      </c>
    </row>
    <row r="485" spans="1:28" s="6" customFormat="1" ht="35.25" x14ac:dyDescent="0.5">
      <c r="A485" s="6">
        <v>1</v>
      </c>
      <c r="B485" s="135">
        <f>SUBTOTAL(103,$A$7:A485)</f>
        <v>454</v>
      </c>
      <c r="C485" s="270" t="s">
        <v>2286</v>
      </c>
      <c r="D485" s="271">
        <f t="shared" si="40"/>
        <v>164029.79999999999</v>
      </c>
      <c r="E485" s="274">
        <v>0</v>
      </c>
      <c r="F485" s="274">
        <v>0</v>
      </c>
      <c r="G485" s="274">
        <v>0</v>
      </c>
      <c r="H485" s="274">
        <v>0</v>
      </c>
      <c r="I485" s="274">
        <v>0</v>
      </c>
      <c r="J485" s="274">
        <v>0</v>
      </c>
      <c r="K485" s="275">
        <v>0</v>
      </c>
      <c r="L485" s="274">
        <v>0</v>
      </c>
      <c r="M485" s="274">
        <v>0</v>
      </c>
      <c r="N485" s="274">
        <v>0</v>
      </c>
      <c r="O485" s="274">
        <v>0</v>
      </c>
      <c r="P485" s="274">
        <v>164029.79999999999</v>
      </c>
      <c r="Q485" s="274">
        <v>0</v>
      </c>
      <c r="R485" s="274">
        <v>0</v>
      </c>
      <c r="S485" s="274">
        <v>0</v>
      </c>
      <c r="T485" s="274">
        <v>0</v>
      </c>
      <c r="U485" s="274">
        <v>0</v>
      </c>
      <c r="V485" s="274">
        <v>0</v>
      </c>
      <c r="W485" s="274">
        <v>0</v>
      </c>
      <c r="X485" s="274">
        <v>0</v>
      </c>
      <c r="Y485" s="274">
        <v>0</v>
      </c>
      <c r="Z485" s="274">
        <v>0</v>
      </c>
      <c r="AA485" s="274">
        <v>0</v>
      </c>
      <c r="AB485" s="276">
        <v>2020</v>
      </c>
    </row>
    <row r="486" spans="1:28" s="6" customFormat="1" ht="35.25" customHeight="1" x14ac:dyDescent="0.5">
      <c r="B486" s="269" t="s">
        <v>2287</v>
      </c>
      <c r="C486" s="270"/>
      <c r="D486" s="271">
        <f t="shared" ref="D486:AA486" si="41">SUM(D487:D488)</f>
        <v>526489.5</v>
      </c>
      <c r="E486" s="271">
        <f t="shared" si="41"/>
        <v>0</v>
      </c>
      <c r="F486" s="271">
        <f t="shared" si="41"/>
        <v>0</v>
      </c>
      <c r="G486" s="271">
        <f t="shared" si="41"/>
        <v>526489.5</v>
      </c>
      <c r="H486" s="271">
        <f t="shared" si="41"/>
        <v>0</v>
      </c>
      <c r="I486" s="271">
        <f t="shared" si="41"/>
        <v>0</v>
      </c>
      <c r="J486" s="271">
        <f t="shared" si="41"/>
        <v>0</v>
      </c>
      <c r="K486" s="272">
        <f t="shared" si="41"/>
        <v>0</v>
      </c>
      <c r="L486" s="271">
        <f t="shared" si="41"/>
        <v>0</v>
      </c>
      <c r="M486" s="271">
        <f t="shared" si="41"/>
        <v>0</v>
      </c>
      <c r="N486" s="271">
        <f t="shared" si="41"/>
        <v>0</v>
      </c>
      <c r="O486" s="271">
        <f t="shared" si="41"/>
        <v>0</v>
      </c>
      <c r="P486" s="271">
        <f t="shared" si="41"/>
        <v>0</v>
      </c>
      <c r="Q486" s="271">
        <f t="shared" si="41"/>
        <v>0</v>
      </c>
      <c r="R486" s="271">
        <f t="shared" si="41"/>
        <v>0</v>
      </c>
      <c r="S486" s="271">
        <f t="shared" si="41"/>
        <v>0</v>
      </c>
      <c r="T486" s="271">
        <f t="shared" si="41"/>
        <v>0</v>
      </c>
      <c r="U486" s="271">
        <f t="shared" si="41"/>
        <v>0</v>
      </c>
      <c r="V486" s="271">
        <f t="shared" si="41"/>
        <v>0</v>
      </c>
      <c r="W486" s="271">
        <f t="shared" si="41"/>
        <v>0</v>
      </c>
      <c r="X486" s="271">
        <f t="shared" si="41"/>
        <v>0</v>
      </c>
      <c r="Y486" s="271">
        <f t="shared" si="41"/>
        <v>0</v>
      </c>
      <c r="Z486" s="271">
        <f t="shared" si="41"/>
        <v>0</v>
      </c>
      <c r="AA486" s="271">
        <f t="shared" si="41"/>
        <v>0</v>
      </c>
      <c r="AB486" s="273" t="s">
        <v>896</v>
      </c>
    </row>
    <row r="487" spans="1:28" s="6" customFormat="1" ht="35.25" x14ac:dyDescent="0.5">
      <c r="A487" s="6">
        <v>1</v>
      </c>
      <c r="B487" s="135">
        <f>SUBTOTAL(103,$A$7:A487)</f>
        <v>455</v>
      </c>
      <c r="C487" s="270" t="s">
        <v>2288</v>
      </c>
      <c r="D487" s="271">
        <f>E487+F487+G487+H487+I487+J487+L487+M487+N487+O487+P487+Q487+R487+S487+T487+U487+V487+W487+X487+Y487+Z487+AA487</f>
        <v>230565</v>
      </c>
      <c r="E487" s="274">
        <v>0</v>
      </c>
      <c r="F487" s="274">
        <v>0</v>
      </c>
      <c r="G487" s="274">
        <v>230565</v>
      </c>
      <c r="H487" s="274">
        <v>0</v>
      </c>
      <c r="I487" s="274">
        <v>0</v>
      </c>
      <c r="J487" s="274">
        <v>0</v>
      </c>
      <c r="K487" s="275">
        <v>0</v>
      </c>
      <c r="L487" s="274">
        <v>0</v>
      </c>
      <c r="M487" s="274">
        <v>0</v>
      </c>
      <c r="N487" s="274">
        <v>0</v>
      </c>
      <c r="O487" s="274">
        <v>0</v>
      </c>
      <c r="P487" s="274">
        <v>0</v>
      </c>
      <c r="Q487" s="274">
        <v>0</v>
      </c>
      <c r="R487" s="274">
        <v>0</v>
      </c>
      <c r="S487" s="274">
        <v>0</v>
      </c>
      <c r="T487" s="274">
        <v>0</v>
      </c>
      <c r="U487" s="274">
        <v>0</v>
      </c>
      <c r="V487" s="274">
        <v>0</v>
      </c>
      <c r="W487" s="274">
        <v>0</v>
      </c>
      <c r="X487" s="274">
        <v>0</v>
      </c>
      <c r="Y487" s="274">
        <v>0</v>
      </c>
      <c r="Z487" s="274">
        <v>0</v>
      </c>
      <c r="AA487" s="274">
        <v>0</v>
      </c>
      <c r="AB487" s="276">
        <v>2020</v>
      </c>
    </row>
    <row r="488" spans="1:28" s="6" customFormat="1" ht="35.25" x14ac:dyDescent="0.5">
      <c r="A488" s="6">
        <v>1</v>
      </c>
      <c r="B488" s="135">
        <f>SUBTOTAL(103,$A$7:A488)</f>
        <v>456</v>
      </c>
      <c r="C488" s="270" t="s">
        <v>2289</v>
      </c>
      <c r="D488" s="271">
        <f>E488+F488+G488+H488+I488+J488+L488+M488+N488+O488+P488+Q488+R488+S488+T488+U488+V488+W488+X488+Y488+Z488+AA488</f>
        <v>295924.5</v>
      </c>
      <c r="E488" s="274">
        <v>0</v>
      </c>
      <c r="F488" s="274">
        <v>0</v>
      </c>
      <c r="G488" s="274">
        <v>295924.5</v>
      </c>
      <c r="H488" s="274">
        <v>0</v>
      </c>
      <c r="I488" s="274">
        <v>0</v>
      </c>
      <c r="J488" s="274">
        <v>0</v>
      </c>
      <c r="K488" s="275">
        <v>0</v>
      </c>
      <c r="L488" s="274">
        <v>0</v>
      </c>
      <c r="M488" s="274">
        <v>0</v>
      </c>
      <c r="N488" s="274">
        <v>0</v>
      </c>
      <c r="O488" s="274">
        <v>0</v>
      </c>
      <c r="P488" s="274">
        <v>0</v>
      </c>
      <c r="Q488" s="274">
        <v>0</v>
      </c>
      <c r="R488" s="274">
        <v>0</v>
      </c>
      <c r="S488" s="274">
        <v>0</v>
      </c>
      <c r="T488" s="274">
        <v>0</v>
      </c>
      <c r="U488" s="274">
        <v>0</v>
      </c>
      <c r="V488" s="274">
        <v>0</v>
      </c>
      <c r="W488" s="274">
        <v>0</v>
      </c>
      <c r="X488" s="274">
        <v>0</v>
      </c>
      <c r="Y488" s="274">
        <v>0</v>
      </c>
      <c r="Z488" s="274">
        <v>0</v>
      </c>
      <c r="AA488" s="274">
        <v>0</v>
      </c>
      <c r="AB488" s="276">
        <v>2020</v>
      </c>
    </row>
    <row r="489" spans="1:28" s="6" customFormat="1" ht="35.25" customHeight="1" x14ac:dyDescent="0.5">
      <c r="B489" s="270" t="s">
        <v>886</v>
      </c>
      <c r="C489" s="270"/>
      <c r="D489" s="271">
        <f>SUM(D490:D491)</f>
        <v>414508.1</v>
      </c>
      <c r="E489" s="271">
        <f t="shared" ref="E489:AA489" si="42">SUM(E490:E491)</f>
        <v>0</v>
      </c>
      <c r="F489" s="271">
        <f t="shared" si="42"/>
        <v>0</v>
      </c>
      <c r="G489" s="271">
        <f t="shared" si="42"/>
        <v>37496.1</v>
      </c>
      <c r="H489" s="271">
        <f t="shared" si="42"/>
        <v>0</v>
      </c>
      <c r="I489" s="271">
        <f t="shared" si="42"/>
        <v>0</v>
      </c>
      <c r="J489" s="271">
        <f t="shared" si="42"/>
        <v>0</v>
      </c>
      <c r="K489" s="272">
        <f t="shared" si="42"/>
        <v>0</v>
      </c>
      <c r="L489" s="271">
        <f t="shared" si="42"/>
        <v>0</v>
      </c>
      <c r="M489" s="271">
        <f t="shared" si="42"/>
        <v>0</v>
      </c>
      <c r="N489" s="271">
        <f t="shared" si="42"/>
        <v>0</v>
      </c>
      <c r="O489" s="271">
        <f t="shared" si="42"/>
        <v>0</v>
      </c>
      <c r="P489" s="271">
        <f t="shared" si="42"/>
        <v>377012</v>
      </c>
      <c r="Q489" s="271">
        <f t="shared" si="42"/>
        <v>0</v>
      </c>
      <c r="R489" s="271">
        <f t="shared" si="42"/>
        <v>0</v>
      </c>
      <c r="S489" s="271">
        <f t="shared" si="42"/>
        <v>0</v>
      </c>
      <c r="T489" s="271">
        <f t="shared" si="42"/>
        <v>0</v>
      </c>
      <c r="U489" s="271">
        <f t="shared" si="42"/>
        <v>0</v>
      </c>
      <c r="V489" s="271">
        <f t="shared" si="42"/>
        <v>0</v>
      </c>
      <c r="W489" s="271">
        <f t="shared" si="42"/>
        <v>0</v>
      </c>
      <c r="X489" s="271">
        <f t="shared" si="42"/>
        <v>0</v>
      </c>
      <c r="Y489" s="271">
        <f t="shared" si="42"/>
        <v>0</v>
      </c>
      <c r="Z489" s="271">
        <f t="shared" si="42"/>
        <v>0</v>
      </c>
      <c r="AA489" s="271">
        <f t="shared" si="42"/>
        <v>0</v>
      </c>
      <c r="AB489" s="273" t="s">
        <v>896</v>
      </c>
    </row>
    <row r="490" spans="1:28" s="6" customFormat="1" ht="35.25" x14ac:dyDescent="0.5">
      <c r="A490" s="6">
        <v>1</v>
      </c>
      <c r="B490" s="135">
        <f>SUBTOTAL(103,$A$7:A490)</f>
        <v>457</v>
      </c>
      <c r="C490" s="270" t="s">
        <v>2290</v>
      </c>
      <c r="D490" s="271">
        <f>E490+F490+G490+H490+I490+J490+L490+M490+N490+O490+P490+Q490+R490+S490+T490+U490+V490+W490+X490+Y490+Z490+AA490</f>
        <v>37496.1</v>
      </c>
      <c r="E490" s="274">
        <v>0</v>
      </c>
      <c r="F490" s="274">
        <v>0</v>
      </c>
      <c r="G490" s="274">
        <v>37496.1</v>
      </c>
      <c r="H490" s="274">
        <v>0</v>
      </c>
      <c r="I490" s="274">
        <v>0</v>
      </c>
      <c r="J490" s="274">
        <v>0</v>
      </c>
      <c r="K490" s="275">
        <v>0</v>
      </c>
      <c r="L490" s="274">
        <v>0</v>
      </c>
      <c r="M490" s="274">
        <v>0</v>
      </c>
      <c r="N490" s="274">
        <v>0</v>
      </c>
      <c r="O490" s="274">
        <v>0</v>
      </c>
      <c r="P490" s="274">
        <v>0</v>
      </c>
      <c r="Q490" s="274">
        <v>0</v>
      </c>
      <c r="R490" s="274">
        <v>0</v>
      </c>
      <c r="S490" s="274">
        <v>0</v>
      </c>
      <c r="T490" s="274">
        <v>0</v>
      </c>
      <c r="U490" s="274">
        <v>0</v>
      </c>
      <c r="V490" s="274">
        <v>0</v>
      </c>
      <c r="W490" s="274">
        <v>0</v>
      </c>
      <c r="X490" s="274">
        <v>0</v>
      </c>
      <c r="Y490" s="274">
        <v>0</v>
      </c>
      <c r="Z490" s="274">
        <v>0</v>
      </c>
      <c r="AA490" s="274">
        <v>0</v>
      </c>
      <c r="AB490" s="276">
        <v>2020</v>
      </c>
    </row>
    <row r="491" spans="1:28" s="6" customFormat="1" ht="35.25" x14ac:dyDescent="0.5">
      <c r="A491" s="6">
        <v>1</v>
      </c>
      <c r="B491" s="135">
        <f>SUBTOTAL(103,$A$7:A491)</f>
        <v>458</v>
      </c>
      <c r="C491" s="270" t="s">
        <v>2291</v>
      </c>
      <c r="D491" s="271">
        <f>E491+F491+G491+H491+I491+J491+L491+M491+N491+O491+P491+Q491+R491+S491+T491+U491+V491+W491+X491+Y491+Z491+AA491</f>
        <v>377012</v>
      </c>
      <c r="E491" s="274">
        <v>0</v>
      </c>
      <c r="F491" s="274">
        <v>0</v>
      </c>
      <c r="G491" s="274">
        <v>0</v>
      </c>
      <c r="H491" s="274">
        <v>0</v>
      </c>
      <c r="I491" s="274">
        <v>0</v>
      </c>
      <c r="J491" s="274">
        <v>0</v>
      </c>
      <c r="K491" s="275">
        <v>0</v>
      </c>
      <c r="L491" s="274">
        <v>0</v>
      </c>
      <c r="M491" s="274">
        <v>0</v>
      </c>
      <c r="N491" s="274">
        <v>0</v>
      </c>
      <c r="O491" s="274">
        <v>0</v>
      </c>
      <c r="P491" s="274">
        <v>377012</v>
      </c>
      <c r="Q491" s="274">
        <v>0</v>
      </c>
      <c r="R491" s="274">
        <v>0</v>
      </c>
      <c r="S491" s="274">
        <v>0</v>
      </c>
      <c r="T491" s="274">
        <v>0</v>
      </c>
      <c r="U491" s="274">
        <v>0</v>
      </c>
      <c r="V491" s="274">
        <v>0</v>
      </c>
      <c r="W491" s="274">
        <v>0</v>
      </c>
      <c r="X491" s="274">
        <v>0</v>
      </c>
      <c r="Y491" s="274">
        <v>0</v>
      </c>
      <c r="Z491" s="274">
        <v>0</v>
      </c>
      <c r="AA491" s="274">
        <v>0</v>
      </c>
      <c r="AB491" s="276">
        <v>2020</v>
      </c>
    </row>
  </sheetData>
  <autoFilter ref="A7:AB490" xr:uid="{00000000-0009-0000-0000-000004000000}"/>
  <mergeCells count="24">
    <mergeCell ref="Z3:Z4"/>
    <mergeCell ref="AA3:AA4"/>
    <mergeCell ref="T3:T4"/>
    <mergeCell ref="U3:U4"/>
    <mergeCell ref="V3:V4"/>
    <mergeCell ref="W3:W4"/>
    <mergeCell ref="X3:X4"/>
    <mergeCell ref="Y3:Y4"/>
    <mergeCell ref="S3:S4"/>
    <mergeCell ref="A1:AB1"/>
    <mergeCell ref="B2:B5"/>
    <mergeCell ref="C2:C5"/>
    <mergeCell ref="D2:D4"/>
    <mergeCell ref="E2:P2"/>
    <mergeCell ref="Q2:AA2"/>
    <mergeCell ref="AB2:AB5"/>
    <mergeCell ref="E3:J3"/>
    <mergeCell ref="K3:L4"/>
    <mergeCell ref="M3:M4"/>
    <mergeCell ref="N3:N4"/>
    <mergeCell ref="O3:O4"/>
    <mergeCell ref="P3:P4"/>
    <mergeCell ref="Q3:Q4"/>
    <mergeCell ref="R3:R4"/>
  </mergeCells>
  <conditionalFormatting sqref="C492:C65537">
    <cfRule type="duplicateValues" dxfId="27" priority="49" stopIfTrue="1"/>
  </conditionalFormatting>
  <conditionalFormatting sqref="C372:C376 C7:C8 C230 C232 C241:C243 C234:C239 C378:C387 C389:C424 C183:C228 C330:C334 C337:C344">
    <cfRule type="duplicateValues" dxfId="26" priority="25" stopIfTrue="1"/>
  </conditionalFormatting>
  <conditionalFormatting sqref="C345:C346">
    <cfRule type="duplicateValues" dxfId="25" priority="24" stopIfTrue="1"/>
  </conditionalFormatting>
  <conditionalFormatting sqref="C352">
    <cfRule type="duplicateValues" dxfId="24" priority="23" stopIfTrue="1"/>
  </conditionalFormatting>
  <conditionalFormatting sqref="C351">
    <cfRule type="duplicateValues" dxfId="23" priority="22" stopIfTrue="1"/>
  </conditionalFormatting>
  <conditionalFormatting sqref="C350">
    <cfRule type="duplicateValues" dxfId="22" priority="21" stopIfTrue="1"/>
  </conditionalFormatting>
  <conditionalFormatting sqref="C349">
    <cfRule type="duplicateValues" dxfId="21" priority="20" stopIfTrue="1"/>
  </conditionalFormatting>
  <conditionalFormatting sqref="C348">
    <cfRule type="duplicateValues" dxfId="20" priority="19" stopIfTrue="1"/>
  </conditionalFormatting>
  <conditionalFormatting sqref="C347">
    <cfRule type="duplicateValues" dxfId="19" priority="18" stopIfTrue="1"/>
  </conditionalFormatting>
  <conditionalFormatting sqref="C229">
    <cfRule type="duplicateValues" dxfId="18" priority="17" stopIfTrue="1"/>
  </conditionalFormatting>
  <conditionalFormatting sqref="C231">
    <cfRule type="duplicateValues" dxfId="17" priority="16" stopIfTrue="1"/>
  </conditionalFormatting>
  <conditionalFormatting sqref="C240">
    <cfRule type="duplicateValues" dxfId="16" priority="15" stopIfTrue="1"/>
  </conditionalFormatting>
  <conditionalFormatting sqref="C233">
    <cfRule type="duplicateValues" dxfId="15" priority="14" stopIfTrue="1"/>
  </conditionalFormatting>
  <conditionalFormatting sqref="C377">
    <cfRule type="duplicateValues" dxfId="14" priority="13" stopIfTrue="1"/>
  </conditionalFormatting>
  <conditionalFormatting sqref="C388">
    <cfRule type="duplicateValues" dxfId="13" priority="12" stopIfTrue="1"/>
  </conditionalFormatting>
  <conditionalFormatting sqref="C22">
    <cfRule type="duplicateValues" dxfId="12" priority="9" stopIfTrue="1"/>
  </conditionalFormatting>
  <conditionalFormatting sqref="C40">
    <cfRule type="duplicateValues" dxfId="11" priority="8" stopIfTrue="1"/>
  </conditionalFormatting>
  <conditionalFormatting sqref="C26">
    <cfRule type="duplicateValues" dxfId="10" priority="7" stopIfTrue="1"/>
  </conditionalFormatting>
  <conditionalFormatting sqref="C29">
    <cfRule type="duplicateValues" dxfId="9" priority="6" stopIfTrue="1"/>
  </conditionalFormatting>
  <conditionalFormatting sqref="C182 C75:C104">
    <cfRule type="duplicateValues" dxfId="8" priority="10" stopIfTrue="1"/>
  </conditionalFormatting>
  <conditionalFormatting sqref="C182 C9:C104">
    <cfRule type="duplicateValues" dxfId="7" priority="11" stopIfTrue="1"/>
  </conditionalFormatting>
  <conditionalFormatting sqref="C7:C104 C182:C280 C282:C334 C337:C353 C371:C439">
    <cfRule type="duplicateValues" dxfId="6" priority="5" stopIfTrue="1"/>
  </conditionalFormatting>
  <conditionalFormatting sqref="C281">
    <cfRule type="duplicateValues" dxfId="5" priority="4" stopIfTrue="1"/>
  </conditionalFormatting>
  <conditionalFormatting sqref="C281">
    <cfRule type="duplicateValues" dxfId="4" priority="3" stopIfTrue="1"/>
  </conditionalFormatting>
  <conditionalFormatting sqref="C244:C280 C282:C329">
    <cfRule type="duplicateValues" dxfId="3" priority="26" stopIfTrue="1"/>
  </conditionalFormatting>
  <conditionalFormatting sqref="C335:C336">
    <cfRule type="duplicateValues" dxfId="2" priority="2" stopIfTrue="1"/>
  </conditionalFormatting>
  <conditionalFormatting sqref="C335:C336">
    <cfRule type="duplicateValues" dxfId="1" priority="1" stopIfTrue="1"/>
  </conditionalFormatting>
  <conditionalFormatting sqref="C41:C74 C23:C25 C27:C28 C30:C39 C9:C21">
    <cfRule type="duplicateValues" dxfId="0" priority="27" stopIfTrue="1"/>
  </conditionalFormatting>
  <pageMargins left="0.25" right="0.25" top="0.75" bottom="0.75" header="0.3" footer="0.3"/>
  <pageSetup paperSize="9" scale="1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C16"/>
  <sheetViews>
    <sheetView view="pageBreakPreview" topLeftCell="C1" zoomScale="30" zoomScaleNormal="55" zoomScaleSheetLayoutView="30" workbookViewId="0">
      <selection activeCell="D37" sqref="D37"/>
    </sheetView>
  </sheetViews>
  <sheetFormatPr defaultRowHeight="15" x14ac:dyDescent="0.25"/>
  <cols>
    <col min="1" max="2" width="0" style="153" hidden="1" customWidth="1"/>
    <col min="3" max="3" width="15.7109375" style="153" customWidth="1"/>
    <col min="4" max="4" width="106.85546875" style="153" customWidth="1"/>
    <col min="5" max="5" width="32.28515625" style="153" customWidth="1"/>
    <col min="6" max="6" width="23.7109375" style="153" customWidth="1"/>
    <col min="7" max="7" width="26.42578125" style="153" customWidth="1"/>
    <col min="8" max="8" width="26.5703125" style="153" customWidth="1"/>
    <col min="9" max="9" width="27.85546875" style="153" customWidth="1"/>
    <col min="10" max="10" width="28.140625" style="153" customWidth="1"/>
    <col min="11" max="11" width="24.28515625" style="153" customWidth="1"/>
    <col min="12" max="12" width="13.140625" style="153" customWidth="1"/>
    <col min="13" max="13" width="19.85546875" style="153" customWidth="1"/>
    <col min="14" max="14" width="34.42578125" style="153" customWidth="1"/>
    <col min="15" max="15" width="18.140625" style="153" customWidth="1"/>
    <col min="16" max="16" width="24.7109375" style="153" customWidth="1"/>
    <col min="17" max="17" width="23.28515625" style="153" customWidth="1"/>
    <col min="18" max="18" width="18.42578125" style="153" customWidth="1"/>
    <col min="19" max="19" width="27.85546875" style="153" customWidth="1"/>
    <col min="20" max="20" width="49.42578125" style="153" customWidth="1"/>
    <col min="21" max="21" width="32.140625" style="153" customWidth="1"/>
    <col min="22" max="22" width="22.42578125" style="153" customWidth="1"/>
    <col min="23" max="23" width="33" style="153" customWidth="1"/>
    <col min="24" max="24" width="58.85546875" style="153" customWidth="1"/>
    <col min="25" max="25" width="37.85546875" style="153" customWidth="1"/>
    <col min="26" max="26" width="17.5703125" style="153" customWidth="1"/>
    <col min="27" max="27" width="16.5703125" style="153" customWidth="1"/>
    <col min="28" max="28" width="28.7109375" style="153" customWidth="1"/>
    <col min="29" max="29" width="23.85546875" style="153" customWidth="1"/>
    <col min="30" max="256" width="9.140625" style="153"/>
    <col min="257" max="258" width="0" style="153" hidden="1" customWidth="1"/>
    <col min="259" max="259" width="15.7109375" style="153" customWidth="1"/>
    <col min="260" max="260" width="93.42578125" style="153" customWidth="1"/>
    <col min="261" max="261" width="32.28515625" style="153" customWidth="1"/>
    <col min="262" max="262" width="23.7109375" style="153" customWidth="1"/>
    <col min="263" max="263" width="26.42578125" style="153" customWidth="1"/>
    <col min="264" max="264" width="26.5703125" style="153" customWidth="1"/>
    <col min="265" max="265" width="27.85546875" style="153" customWidth="1"/>
    <col min="266" max="266" width="28.140625" style="153" customWidth="1"/>
    <col min="267" max="267" width="24.28515625" style="153" customWidth="1"/>
    <col min="268" max="268" width="13.140625" style="153" customWidth="1"/>
    <col min="269" max="269" width="19.85546875" style="153" customWidth="1"/>
    <col min="270" max="270" width="34.42578125" style="153" customWidth="1"/>
    <col min="271" max="271" width="18.140625" style="153" customWidth="1"/>
    <col min="272" max="272" width="24.7109375" style="153" customWidth="1"/>
    <col min="273" max="273" width="23.28515625" style="153" customWidth="1"/>
    <col min="274" max="274" width="18.42578125" style="153" customWidth="1"/>
    <col min="275" max="275" width="27.85546875" style="153" customWidth="1"/>
    <col min="276" max="276" width="49.42578125" style="153" customWidth="1"/>
    <col min="277" max="277" width="32.140625" style="153" customWidth="1"/>
    <col min="278" max="278" width="22.42578125" style="153" customWidth="1"/>
    <col min="279" max="279" width="33" style="153" customWidth="1"/>
    <col min="280" max="280" width="58.85546875" style="153" customWidth="1"/>
    <col min="281" max="281" width="37.85546875" style="153" customWidth="1"/>
    <col min="282" max="282" width="17.5703125" style="153" customWidth="1"/>
    <col min="283" max="283" width="16.5703125" style="153" customWidth="1"/>
    <col min="284" max="284" width="28.7109375" style="153" customWidth="1"/>
    <col min="285" max="285" width="23.85546875" style="153" customWidth="1"/>
    <col min="286" max="512" width="9.140625" style="153"/>
    <col min="513" max="514" width="0" style="153" hidden="1" customWidth="1"/>
    <col min="515" max="515" width="15.7109375" style="153" customWidth="1"/>
    <col min="516" max="516" width="93.42578125" style="153" customWidth="1"/>
    <col min="517" max="517" width="32.28515625" style="153" customWidth="1"/>
    <col min="518" max="518" width="23.7109375" style="153" customWidth="1"/>
    <col min="519" max="519" width="26.42578125" style="153" customWidth="1"/>
    <col min="520" max="520" width="26.5703125" style="153" customWidth="1"/>
    <col min="521" max="521" width="27.85546875" style="153" customWidth="1"/>
    <col min="522" max="522" width="28.140625" style="153" customWidth="1"/>
    <col min="523" max="523" width="24.28515625" style="153" customWidth="1"/>
    <col min="524" max="524" width="13.140625" style="153" customWidth="1"/>
    <col min="525" max="525" width="19.85546875" style="153" customWidth="1"/>
    <col min="526" max="526" width="34.42578125" style="153" customWidth="1"/>
    <col min="527" max="527" width="18.140625" style="153" customWidth="1"/>
    <col min="528" max="528" width="24.7109375" style="153" customWidth="1"/>
    <col min="529" max="529" width="23.28515625" style="153" customWidth="1"/>
    <col min="530" max="530" width="18.42578125" style="153" customWidth="1"/>
    <col min="531" max="531" width="27.85546875" style="153" customWidth="1"/>
    <col min="532" max="532" width="49.42578125" style="153" customWidth="1"/>
    <col min="533" max="533" width="32.140625" style="153" customWidth="1"/>
    <col min="534" max="534" width="22.42578125" style="153" customWidth="1"/>
    <col min="535" max="535" width="33" style="153" customWidth="1"/>
    <col min="536" max="536" width="58.85546875" style="153" customWidth="1"/>
    <col min="537" max="537" width="37.85546875" style="153" customWidth="1"/>
    <col min="538" max="538" width="17.5703125" style="153" customWidth="1"/>
    <col min="539" max="539" width="16.5703125" style="153" customWidth="1"/>
    <col min="540" max="540" width="28.7109375" style="153" customWidth="1"/>
    <col min="541" max="541" width="23.85546875" style="153" customWidth="1"/>
    <col min="542" max="768" width="9.140625" style="153"/>
    <col min="769" max="770" width="0" style="153" hidden="1" customWidth="1"/>
    <col min="771" max="771" width="15.7109375" style="153" customWidth="1"/>
    <col min="772" max="772" width="93.42578125" style="153" customWidth="1"/>
    <col min="773" max="773" width="32.28515625" style="153" customWidth="1"/>
    <col min="774" max="774" width="23.7109375" style="153" customWidth="1"/>
    <col min="775" max="775" width="26.42578125" style="153" customWidth="1"/>
    <col min="776" max="776" width="26.5703125" style="153" customWidth="1"/>
    <col min="777" max="777" width="27.85546875" style="153" customWidth="1"/>
    <col min="778" max="778" width="28.140625" style="153" customWidth="1"/>
    <col min="779" max="779" width="24.28515625" style="153" customWidth="1"/>
    <col min="780" max="780" width="13.140625" style="153" customWidth="1"/>
    <col min="781" max="781" width="19.85546875" style="153" customWidth="1"/>
    <col min="782" max="782" width="34.42578125" style="153" customWidth="1"/>
    <col min="783" max="783" width="18.140625" style="153" customWidth="1"/>
    <col min="784" max="784" width="24.7109375" style="153" customWidth="1"/>
    <col min="785" max="785" width="23.28515625" style="153" customWidth="1"/>
    <col min="786" max="786" width="18.42578125" style="153" customWidth="1"/>
    <col min="787" max="787" width="27.85546875" style="153" customWidth="1"/>
    <col min="788" max="788" width="49.42578125" style="153" customWidth="1"/>
    <col min="789" max="789" width="32.140625" style="153" customWidth="1"/>
    <col min="790" max="790" width="22.42578125" style="153" customWidth="1"/>
    <col min="791" max="791" width="33" style="153" customWidth="1"/>
    <col min="792" max="792" width="58.85546875" style="153" customWidth="1"/>
    <col min="793" max="793" width="37.85546875" style="153" customWidth="1"/>
    <col min="794" max="794" width="17.5703125" style="153" customWidth="1"/>
    <col min="795" max="795" width="16.5703125" style="153" customWidth="1"/>
    <col min="796" max="796" width="28.7109375" style="153" customWidth="1"/>
    <col min="797" max="797" width="23.85546875" style="153" customWidth="1"/>
    <col min="798" max="1024" width="9.140625" style="153"/>
    <col min="1025" max="1026" width="0" style="153" hidden="1" customWidth="1"/>
    <col min="1027" max="1027" width="15.7109375" style="153" customWidth="1"/>
    <col min="1028" max="1028" width="93.42578125" style="153" customWidth="1"/>
    <col min="1029" max="1029" width="32.28515625" style="153" customWidth="1"/>
    <col min="1030" max="1030" width="23.7109375" style="153" customWidth="1"/>
    <col min="1031" max="1031" width="26.42578125" style="153" customWidth="1"/>
    <col min="1032" max="1032" width="26.5703125" style="153" customWidth="1"/>
    <col min="1033" max="1033" width="27.85546875" style="153" customWidth="1"/>
    <col min="1034" max="1034" width="28.140625" style="153" customWidth="1"/>
    <col min="1035" max="1035" width="24.28515625" style="153" customWidth="1"/>
    <col min="1036" max="1036" width="13.140625" style="153" customWidth="1"/>
    <col min="1037" max="1037" width="19.85546875" style="153" customWidth="1"/>
    <col min="1038" max="1038" width="34.42578125" style="153" customWidth="1"/>
    <col min="1039" max="1039" width="18.140625" style="153" customWidth="1"/>
    <col min="1040" max="1040" width="24.7109375" style="153" customWidth="1"/>
    <col min="1041" max="1041" width="23.28515625" style="153" customWidth="1"/>
    <col min="1042" max="1042" width="18.42578125" style="153" customWidth="1"/>
    <col min="1043" max="1043" width="27.85546875" style="153" customWidth="1"/>
    <col min="1044" max="1044" width="49.42578125" style="153" customWidth="1"/>
    <col min="1045" max="1045" width="32.140625" style="153" customWidth="1"/>
    <col min="1046" max="1046" width="22.42578125" style="153" customWidth="1"/>
    <col min="1047" max="1047" width="33" style="153" customWidth="1"/>
    <col min="1048" max="1048" width="58.85546875" style="153" customWidth="1"/>
    <col min="1049" max="1049" width="37.85546875" style="153" customWidth="1"/>
    <col min="1050" max="1050" width="17.5703125" style="153" customWidth="1"/>
    <col min="1051" max="1051" width="16.5703125" style="153" customWidth="1"/>
    <col min="1052" max="1052" width="28.7109375" style="153" customWidth="1"/>
    <col min="1053" max="1053" width="23.85546875" style="153" customWidth="1"/>
    <col min="1054" max="1280" width="9.140625" style="153"/>
    <col min="1281" max="1282" width="0" style="153" hidden="1" customWidth="1"/>
    <col min="1283" max="1283" width="15.7109375" style="153" customWidth="1"/>
    <col min="1284" max="1284" width="93.42578125" style="153" customWidth="1"/>
    <col min="1285" max="1285" width="32.28515625" style="153" customWidth="1"/>
    <col min="1286" max="1286" width="23.7109375" style="153" customWidth="1"/>
    <col min="1287" max="1287" width="26.42578125" style="153" customWidth="1"/>
    <col min="1288" max="1288" width="26.5703125" style="153" customWidth="1"/>
    <col min="1289" max="1289" width="27.85546875" style="153" customWidth="1"/>
    <col min="1290" max="1290" width="28.140625" style="153" customWidth="1"/>
    <col min="1291" max="1291" width="24.28515625" style="153" customWidth="1"/>
    <col min="1292" max="1292" width="13.140625" style="153" customWidth="1"/>
    <col min="1293" max="1293" width="19.85546875" style="153" customWidth="1"/>
    <col min="1294" max="1294" width="34.42578125" style="153" customWidth="1"/>
    <col min="1295" max="1295" width="18.140625" style="153" customWidth="1"/>
    <col min="1296" max="1296" width="24.7109375" style="153" customWidth="1"/>
    <col min="1297" max="1297" width="23.28515625" style="153" customWidth="1"/>
    <col min="1298" max="1298" width="18.42578125" style="153" customWidth="1"/>
    <col min="1299" max="1299" width="27.85546875" style="153" customWidth="1"/>
    <col min="1300" max="1300" width="49.42578125" style="153" customWidth="1"/>
    <col min="1301" max="1301" width="32.140625" style="153" customWidth="1"/>
    <col min="1302" max="1302" width="22.42578125" style="153" customWidth="1"/>
    <col min="1303" max="1303" width="33" style="153" customWidth="1"/>
    <col min="1304" max="1304" width="58.85546875" style="153" customWidth="1"/>
    <col min="1305" max="1305" width="37.85546875" style="153" customWidth="1"/>
    <col min="1306" max="1306" width="17.5703125" style="153" customWidth="1"/>
    <col min="1307" max="1307" width="16.5703125" style="153" customWidth="1"/>
    <col min="1308" max="1308" width="28.7109375" style="153" customWidth="1"/>
    <col min="1309" max="1309" width="23.85546875" style="153" customWidth="1"/>
    <col min="1310" max="1536" width="9.140625" style="153"/>
    <col min="1537" max="1538" width="0" style="153" hidden="1" customWidth="1"/>
    <col min="1539" max="1539" width="15.7109375" style="153" customWidth="1"/>
    <col min="1540" max="1540" width="93.42578125" style="153" customWidth="1"/>
    <col min="1541" max="1541" width="32.28515625" style="153" customWidth="1"/>
    <col min="1542" max="1542" width="23.7109375" style="153" customWidth="1"/>
    <col min="1543" max="1543" width="26.42578125" style="153" customWidth="1"/>
    <col min="1544" max="1544" width="26.5703125" style="153" customWidth="1"/>
    <col min="1545" max="1545" width="27.85546875" style="153" customWidth="1"/>
    <col min="1546" max="1546" width="28.140625" style="153" customWidth="1"/>
    <col min="1547" max="1547" width="24.28515625" style="153" customWidth="1"/>
    <col min="1548" max="1548" width="13.140625" style="153" customWidth="1"/>
    <col min="1549" max="1549" width="19.85546875" style="153" customWidth="1"/>
    <col min="1550" max="1550" width="34.42578125" style="153" customWidth="1"/>
    <col min="1551" max="1551" width="18.140625" style="153" customWidth="1"/>
    <col min="1552" max="1552" width="24.7109375" style="153" customWidth="1"/>
    <col min="1553" max="1553" width="23.28515625" style="153" customWidth="1"/>
    <col min="1554" max="1554" width="18.42578125" style="153" customWidth="1"/>
    <col min="1555" max="1555" width="27.85546875" style="153" customWidth="1"/>
    <col min="1556" max="1556" width="49.42578125" style="153" customWidth="1"/>
    <col min="1557" max="1557" width="32.140625" style="153" customWidth="1"/>
    <col min="1558" max="1558" width="22.42578125" style="153" customWidth="1"/>
    <col min="1559" max="1559" width="33" style="153" customWidth="1"/>
    <col min="1560" max="1560" width="58.85546875" style="153" customWidth="1"/>
    <col min="1561" max="1561" width="37.85546875" style="153" customWidth="1"/>
    <col min="1562" max="1562" width="17.5703125" style="153" customWidth="1"/>
    <col min="1563" max="1563" width="16.5703125" style="153" customWidth="1"/>
    <col min="1564" max="1564" width="28.7109375" style="153" customWidth="1"/>
    <col min="1565" max="1565" width="23.85546875" style="153" customWidth="1"/>
    <col min="1566" max="1792" width="9.140625" style="153"/>
    <col min="1793" max="1794" width="0" style="153" hidden="1" customWidth="1"/>
    <col min="1795" max="1795" width="15.7109375" style="153" customWidth="1"/>
    <col min="1796" max="1796" width="93.42578125" style="153" customWidth="1"/>
    <col min="1797" max="1797" width="32.28515625" style="153" customWidth="1"/>
    <col min="1798" max="1798" width="23.7109375" style="153" customWidth="1"/>
    <col min="1799" max="1799" width="26.42578125" style="153" customWidth="1"/>
    <col min="1800" max="1800" width="26.5703125" style="153" customWidth="1"/>
    <col min="1801" max="1801" width="27.85546875" style="153" customWidth="1"/>
    <col min="1802" max="1802" width="28.140625" style="153" customWidth="1"/>
    <col min="1803" max="1803" width="24.28515625" style="153" customWidth="1"/>
    <col min="1804" max="1804" width="13.140625" style="153" customWidth="1"/>
    <col min="1805" max="1805" width="19.85546875" style="153" customWidth="1"/>
    <col min="1806" max="1806" width="34.42578125" style="153" customWidth="1"/>
    <col min="1807" max="1807" width="18.140625" style="153" customWidth="1"/>
    <col min="1808" max="1808" width="24.7109375" style="153" customWidth="1"/>
    <col min="1809" max="1809" width="23.28515625" style="153" customWidth="1"/>
    <col min="1810" max="1810" width="18.42578125" style="153" customWidth="1"/>
    <col min="1811" max="1811" width="27.85546875" style="153" customWidth="1"/>
    <col min="1812" max="1812" width="49.42578125" style="153" customWidth="1"/>
    <col min="1813" max="1813" width="32.140625" style="153" customWidth="1"/>
    <col min="1814" max="1814" width="22.42578125" style="153" customWidth="1"/>
    <col min="1815" max="1815" width="33" style="153" customWidth="1"/>
    <col min="1816" max="1816" width="58.85546875" style="153" customWidth="1"/>
    <col min="1817" max="1817" width="37.85546875" style="153" customWidth="1"/>
    <col min="1818" max="1818" width="17.5703125" style="153" customWidth="1"/>
    <col min="1819" max="1819" width="16.5703125" style="153" customWidth="1"/>
    <col min="1820" max="1820" width="28.7109375" style="153" customWidth="1"/>
    <col min="1821" max="1821" width="23.85546875" style="153" customWidth="1"/>
    <col min="1822" max="2048" width="9.140625" style="153"/>
    <col min="2049" max="2050" width="0" style="153" hidden="1" customWidth="1"/>
    <col min="2051" max="2051" width="15.7109375" style="153" customWidth="1"/>
    <col min="2052" max="2052" width="93.42578125" style="153" customWidth="1"/>
    <col min="2053" max="2053" width="32.28515625" style="153" customWidth="1"/>
    <col min="2054" max="2054" width="23.7109375" style="153" customWidth="1"/>
    <col min="2055" max="2055" width="26.42578125" style="153" customWidth="1"/>
    <col min="2056" max="2056" width="26.5703125" style="153" customWidth="1"/>
    <col min="2057" max="2057" width="27.85546875" style="153" customWidth="1"/>
    <col min="2058" max="2058" width="28.140625" style="153" customWidth="1"/>
    <col min="2059" max="2059" width="24.28515625" style="153" customWidth="1"/>
    <col min="2060" max="2060" width="13.140625" style="153" customWidth="1"/>
    <col min="2061" max="2061" width="19.85546875" style="153" customWidth="1"/>
    <col min="2062" max="2062" width="34.42578125" style="153" customWidth="1"/>
    <col min="2063" max="2063" width="18.140625" style="153" customWidth="1"/>
    <col min="2064" max="2064" width="24.7109375" style="153" customWidth="1"/>
    <col min="2065" max="2065" width="23.28515625" style="153" customWidth="1"/>
    <col min="2066" max="2066" width="18.42578125" style="153" customWidth="1"/>
    <col min="2067" max="2067" width="27.85546875" style="153" customWidth="1"/>
    <col min="2068" max="2068" width="49.42578125" style="153" customWidth="1"/>
    <col min="2069" max="2069" width="32.140625" style="153" customWidth="1"/>
    <col min="2070" max="2070" width="22.42578125" style="153" customWidth="1"/>
    <col min="2071" max="2071" width="33" style="153" customWidth="1"/>
    <col min="2072" max="2072" width="58.85546875" style="153" customWidth="1"/>
    <col min="2073" max="2073" width="37.85546875" style="153" customWidth="1"/>
    <col min="2074" max="2074" width="17.5703125" style="153" customWidth="1"/>
    <col min="2075" max="2075" width="16.5703125" style="153" customWidth="1"/>
    <col min="2076" max="2076" width="28.7109375" style="153" customWidth="1"/>
    <col min="2077" max="2077" width="23.85546875" style="153" customWidth="1"/>
    <col min="2078" max="2304" width="9.140625" style="153"/>
    <col min="2305" max="2306" width="0" style="153" hidden="1" customWidth="1"/>
    <col min="2307" max="2307" width="15.7109375" style="153" customWidth="1"/>
    <col min="2308" max="2308" width="93.42578125" style="153" customWidth="1"/>
    <col min="2309" max="2309" width="32.28515625" style="153" customWidth="1"/>
    <col min="2310" max="2310" width="23.7109375" style="153" customWidth="1"/>
    <col min="2311" max="2311" width="26.42578125" style="153" customWidth="1"/>
    <col min="2312" max="2312" width="26.5703125" style="153" customWidth="1"/>
    <col min="2313" max="2313" width="27.85546875" style="153" customWidth="1"/>
    <col min="2314" max="2314" width="28.140625" style="153" customWidth="1"/>
    <col min="2315" max="2315" width="24.28515625" style="153" customWidth="1"/>
    <col min="2316" max="2316" width="13.140625" style="153" customWidth="1"/>
    <col min="2317" max="2317" width="19.85546875" style="153" customWidth="1"/>
    <col min="2318" max="2318" width="34.42578125" style="153" customWidth="1"/>
    <col min="2319" max="2319" width="18.140625" style="153" customWidth="1"/>
    <col min="2320" max="2320" width="24.7109375" style="153" customWidth="1"/>
    <col min="2321" max="2321" width="23.28515625" style="153" customWidth="1"/>
    <col min="2322" max="2322" width="18.42578125" style="153" customWidth="1"/>
    <col min="2323" max="2323" width="27.85546875" style="153" customWidth="1"/>
    <col min="2324" max="2324" width="49.42578125" style="153" customWidth="1"/>
    <col min="2325" max="2325" width="32.140625" style="153" customWidth="1"/>
    <col min="2326" max="2326" width="22.42578125" style="153" customWidth="1"/>
    <col min="2327" max="2327" width="33" style="153" customWidth="1"/>
    <col min="2328" max="2328" width="58.85546875" style="153" customWidth="1"/>
    <col min="2329" max="2329" width="37.85546875" style="153" customWidth="1"/>
    <col min="2330" max="2330" width="17.5703125" style="153" customWidth="1"/>
    <col min="2331" max="2331" width="16.5703125" style="153" customWidth="1"/>
    <col min="2332" max="2332" width="28.7109375" style="153" customWidth="1"/>
    <col min="2333" max="2333" width="23.85546875" style="153" customWidth="1"/>
    <col min="2334" max="2560" width="9.140625" style="153"/>
    <col min="2561" max="2562" width="0" style="153" hidden="1" customWidth="1"/>
    <col min="2563" max="2563" width="15.7109375" style="153" customWidth="1"/>
    <col min="2564" max="2564" width="93.42578125" style="153" customWidth="1"/>
    <col min="2565" max="2565" width="32.28515625" style="153" customWidth="1"/>
    <col min="2566" max="2566" width="23.7109375" style="153" customWidth="1"/>
    <col min="2567" max="2567" width="26.42578125" style="153" customWidth="1"/>
    <col min="2568" max="2568" width="26.5703125" style="153" customWidth="1"/>
    <col min="2569" max="2569" width="27.85546875" style="153" customWidth="1"/>
    <col min="2570" max="2570" width="28.140625" style="153" customWidth="1"/>
    <col min="2571" max="2571" width="24.28515625" style="153" customWidth="1"/>
    <col min="2572" max="2572" width="13.140625" style="153" customWidth="1"/>
    <col min="2573" max="2573" width="19.85546875" style="153" customWidth="1"/>
    <col min="2574" max="2574" width="34.42578125" style="153" customWidth="1"/>
    <col min="2575" max="2575" width="18.140625" style="153" customWidth="1"/>
    <col min="2576" max="2576" width="24.7109375" style="153" customWidth="1"/>
    <col min="2577" max="2577" width="23.28515625" style="153" customWidth="1"/>
    <col min="2578" max="2578" width="18.42578125" style="153" customWidth="1"/>
    <col min="2579" max="2579" width="27.85546875" style="153" customWidth="1"/>
    <col min="2580" max="2580" width="49.42578125" style="153" customWidth="1"/>
    <col min="2581" max="2581" width="32.140625" style="153" customWidth="1"/>
    <col min="2582" max="2582" width="22.42578125" style="153" customWidth="1"/>
    <col min="2583" max="2583" width="33" style="153" customWidth="1"/>
    <col min="2584" max="2584" width="58.85546875" style="153" customWidth="1"/>
    <col min="2585" max="2585" width="37.85546875" style="153" customWidth="1"/>
    <col min="2586" max="2586" width="17.5703125" style="153" customWidth="1"/>
    <col min="2587" max="2587" width="16.5703125" style="153" customWidth="1"/>
    <col min="2588" max="2588" width="28.7109375" style="153" customWidth="1"/>
    <col min="2589" max="2589" width="23.85546875" style="153" customWidth="1"/>
    <col min="2590" max="2816" width="9.140625" style="153"/>
    <col min="2817" max="2818" width="0" style="153" hidden="1" customWidth="1"/>
    <col min="2819" max="2819" width="15.7109375" style="153" customWidth="1"/>
    <col min="2820" max="2820" width="93.42578125" style="153" customWidth="1"/>
    <col min="2821" max="2821" width="32.28515625" style="153" customWidth="1"/>
    <col min="2822" max="2822" width="23.7109375" style="153" customWidth="1"/>
    <col min="2823" max="2823" width="26.42578125" style="153" customWidth="1"/>
    <col min="2824" max="2824" width="26.5703125" style="153" customWidth="1"/>
    <col min="2825" max="2825" width="27.85546875" style="153" customWidth="1"/>
    <col min="2826" max="2826" width="28.140625" style="153" customWidth="1"/>
    <col min="2827" max="2827" width="24.28515625" style="153" customWidth="1"/>
    <col min="2828" max="2828" width="13.140625" style="153" customWidth="1"/>
    <col min="2829" max="2829" width="19.85546875" style="153" customWidth="1"/>
    <col min="2830" max="2830" width="34.42578125" style="153" customWidth="1"/>
    <col min="2831" max="2831" width="18.140625" style="153" customWidth="1"/>
    <col min="2832" max="2832" width="24.7109375" style="153" customWidth="1"/>
    <col min="2833" max="2833" width="23.28515625" style="153" customWidth="1"/>
    <col min="2834" max="2834" width="18.42578125" style="153" customWidth="1"/>
    <col min="2835" max="2835" width="27.85546875" style="153" customWidth="1"/>
    <col min="2836" max="2836" width="49.42578125" style="153" customWidth="1"/>
    <col min="2837" max="2837" width="32.140625" style="153" customWidth="1"/>
    <col min="2838" max="2838" width="22.42578125" style="153" customWidth="1"/>
    <col min="2839" max="2839" width="33" style="153" customWidth="1"/>
    <col min="2840" max="2840" width="58.85546875" style="153" customWidth="1"/>
    <col min="2841" max="2841" width="37.85546875" style="153" customWidth="1"/>
    <col min="2842" max="2842" width="17.5703125" style="153" customWidth="1"/>
    <col min="2843" max="2843" width="16.5703125" style="153" customWidth="1"/>
    <col min="2844" max="2844" width="28.7109375" style="153" customWidth="1"/>
    <col min="2845" max="2845" width="23.85546875" style="153" customWidth="1"/>
    <col min="2846" max="3072" width="9.140625" style="153"/>
    <col min="3073" max="3074" width="0" style="153" hidden="1" customWidth="1"/>
    <col min="3075" max="3075" width="15.7109375" style="153" customWidth="1"/>
    <col min="3076" max="3076" width="93.42578125" style="153" customWidth="1"/>
    <col min="3077" max="3077" width="32.28515625" style="153" customWidth="1"/>
    <col min="3078" max="3078" width="23.7109375" style="153" customWidth="1"/>
    <col min="3079" max="3079" width="26.42578125" style="153" customWidth="1"/>
    <col min="3080" max="3080" width="26.5703125" style="153" customWidth="1"/>
    <col min="3081" max="3081" width="27.85546875" style="153" customWidth="1"/>
    <col min="3082" max="3082" width="28.140625" style="153" customWidth="1"/>
    <col min="3083" max="3083" width="24.28515625" style="153" customWidth="1"/>
    <col min="3084" max="3084" width="13.140625" style="153" customWidth="1"/>
    <col min="3085" max="3085" width="19.85546875" style="153" customWidth="1"/>
    <col min="3086" max="3086" width="34.42578125" style="153" customWidth="1"/>
    <col min="3087" max="3087" width="18.140625" style="153" customWidth="1"/>
    <col min="3088" max="3088" width="24.7109375" style="153" customWidth="1"/>
    <col min="3089" max="3089" width="23.28515625" style="153" customWidth="1"/>
    <col min="3090" max="3090" width="18.42578125" style="153" customWidth="1"/>
    <col min="3091" max="3091" width="27.85546875" style="153" customWidth="1"/>
    <col min="3092" max="3092" width="49.42578125" style="153" customWidth="1"/>
    <col min="3093" max="3093" width="32.140625" style="153" customWidth="1"/>
    <col min="3094" max="3094" width="22.42578125" style="153" customWidth="1"/>
    <col min="3095" max="3095" width="33" style="153" customWidth="1"/>
    <col min="3096" max="3096" width="58.85546875" style="153" customWidth="1"/>
    <col min="3097" max="3097" width="37.85546875" style="153" customWidth="1"/>
    <col min="3098" max="3098" width="17.5703125" style="153" customWidth="1"/>
    <col min="3099" max="3099" width="16.5703125" style="153" customWidth="1"/>
    <col min="3100" max="3100" width="28.7109375" style="153" customWidth="1"/>
    <col min="3101" max="3101" width="23.85546875" style="153" customWidth="1"/>
    <col min="3102" max="3328" width="9.140625" style="153"/>
    <col min="3329" max="3330" width="0" style="153" hidden="1" customWidth="1"/>
    <col min="3331" max="3331" width="15.7109375" style="153" customWidth="1"/>
    <col min="3332" max="3332" width="93.42578125" style="153" customWidth="1"/>
    <col min="3333" max="3333" width="32.28515625" style="153" customWidth="1"/>
    <col min="3334" max="3334" width="23.7109375" style="153" customWidth="1"/>
    <col min="3335" max="3335" width="26.42578125" style="153" customWidth="1"/>
    <col min="3336" max="3336" width="26.5703125" style="153" customWidth="1"/>
    <col min="3337" max="3337" width="27.85546875" style="153" customWidth="1"/>
    <col min="3338" max="3338" width="28.140625" style="153" customWidth="1"/>
    <col min="3339" max="3339" width="24.28515625" style="153" customWidth="1"/>
    <col min="3340" max="3340" width="13.140625" style="153" customWidth="1"/>
    <col min="3341" max="3341" width="19.85546875" style="153" customWidth="1"/>
    <col min="3342" max="3342" width="34.42578125" style="153" customWidth="1"/>
    <col min="3343" max="3343" width="18.140625" style="153" customWidth="1"/>
    <col min="3344" max="3344" width="24.7109375" style="153" customWidth="1"/>
    <col min="3345" max="3345" width="23.28515625" style="153" customWidth="1"/>
    <col min="3346" max="3346" width="18.42578125" style="153" customWidth="1"/>
    <col min="3347" max="3347" width="27.85546875" style="153" customWidth="1"/>
    <col min="3348" max="3348" width="49.42578125" style="153" customWidth="1"/>
    <col min="3349" max="3349" width="32.140625" style="153" customWidth="1"/>
    <col min="3350" max="3350" width="22.42578125" style="153" customWidth="1"/>
    <col min="3351" max="3351" width="33" style="153" customWidth="1"/>
    <col min="3352" max="3352" width="58.85546875" style="153" customWidth="1"/>
    <col min="3353" max="3353" width="37.85546875" style="153" customWidth="1"/>
    <col min="3354" max="3354" width="17.5703125" style="153" customWidth="1"/>
    <col min="3355" max="3355" width="16.5703125" style="153" customWidth="1"/>
    <col min="3356" max="3356" width="28.7109375" style="153" customWidth="1"/>
    <col min="3357" max="3357" width="23.85546875" style="153" customWidth="1"/>
    <col min="3358" max="3584" width="9.140625" style="153"/>
    <col min="3585" max="3586" width="0" style="153" hidden="1" customWidth="1"/>
    <col min="3587" max="3587" width="15.7109375" style="153" customWidth="1"/>
    <col min="3588" max="3588" width="93.42578125" style="153" customWidth="1"/>
    <col min="3589" max="3589" width="32.28515625" style="153" customWidth="1"/>
    <col min="3590" max="3590" width="23.7109375" style="153" customWidth="1"/>
    <col min="3591" max="3591" width="26.42578125" style="153" customWidth="1"/>
    <col min="3592" max="3592" width="26.5703125" style="153" customWidth="1"/>
    <col min="3593" max="3593" width="27.85546875" style="153" customWidth="1"/>
    <col min="3594" max="3594" width="28.140625" style="153" customWidth="1"/>
    <col min="3595" max="3595" width="24.28515625" style="153" customWidth="1"/>
    <col min="3596" max="3596" width="13.140625" style="153" customWidth="1"/>
    <col min="3597" max="3597" width="19.85546875" style="153" customWidth="1"/>
    <col min="3598" max="3598" width="34.42578125" style="153" customWidth="1"/>
    <col min="3599" max="3599" width="18.140625" style="153" customWidth="1"/>
    <col min="3600" max="3600" width="24.7109375" style="153" customWidth="1"/>
    <col min="3601" max="3601" width="23.28515625" style="153" customWidth="1"/>
    <col min="3602" max="3602" width="18.42578125" style="153" customWidth="1"/>
    <col min="3603" max="3603" width="27.85546875" style="153" customWidth="1"/>
    <col min="3604" max="3604" width="49.42578125" style="153" customWidth="1"/>
    <col min="3605" max="3605" width="32.140625" style="153" customWidth="1"/>
    <col min="3606" max="3606" width="22.42578125" style="153" customWidth="1"/>
    <col min="3607" max="3607" width="33" style="153" customWidth="1"/>
    <col min="3608" max="3608" width="58.85546875" style="153" customWidth="1"/>
    <col min="3609" max="3609" width="37.85546875" style="153" customWidth="1"/>
    <col min="3610" max="3610" width="17.5703125" style="153" customWidth="1"/>
    <col min="3611" max="3611" width="16.5703125" style="153" customWidth="1"/>
    <col min="3612" max="3612" width="28.7109375" style="153" customWidth="1"/>
    <col min="3613" max="3613" width="23.85546875" style="153" customWidth="1"/>
    <col min="3614" max="3840" width="9.140625" style="153"/>
    <col min="3841" max="3842" width="0" style="153" hidden="1" customWidth="1"/>
    <col min="3843" max="3843" width="15.7109375" style="153" customWidth="1"/>
    <col min="3844" max="3844" width="93.42578125" style="153" customWidth="1"/>
    <col min="3845" max="3845" width="32.28515625" style="153" customWidth="1"/>
    <col min="3846" max="3846" width="23.7109375" style="153" customWidth="1"/>
    <col min="3847" max="3847" width="26.42578125" style="153" customWidth="1"/>
    <col min="3848" max="3848" width="26.5703125" style="153" customWidth="1"/>
    <col min="3849" max="3849" width="27.85546875" style="153" customWidth="1"/>
    <col min="3850" max="3850" width="28.140625" style="153" customWidth="1"/>
    <col min="3851" max="3851" width="24.28515625" style="153" customWidth="1"/>
    <col min="3852" max="3852" width="13.140625" style="153" customWidth="1"/>
    <col min="3853" max="3853" width="19.85546875" style="153" customWidth="1"/>
    <col min="3854" max="3854" width="34.42578125" style="153" customWidth="1"/>
    <col min="3855" max="3855" width="18.140625" style="153" customWidth="1"/>
    <col min="3856" max="3856" width="24.7109375" style="153" customWidth="1"/>
    <col min="3857" max="3857" width="23.28515625" style="153" customWidth="1"/>
    <col min="3858" max="3858" width="18.42578125" style="153" customWidth="1"/>
    <col min="3859" max="3859" width="27.85546875" style="153" customWidth="1"/>
    <col min="3860" max="3860" width="49.42578125" style="153" customWidth="1"/>
    <col min="3861" max="3861" width="32.140625" style="153" customWidth="1"/>
    <col min="3862" max="3862" width="22.42578125" style="153" customWidth="1"/>
    <col min="3863" max="3863" width="33" style="153" customWidth="1"/>
    <col min="3864" max="3864" width="58.85546875" style="153" customWidth="1"/>
    <col min="3865" max="3865" width="37.85546875" style="153" customWidth="1"/>
    <col min="3866" max="3866" width="17.5703125" style="153" customWidth="1"/>
    <col min="3867" max="3867" width="16.5703125" style="153" customWidth="1"/>
    <col min="3868" max="3868" width="28.7109375" style="153" customWidth="1"/>
    <col min="3869" max="3869" width="23.85546875" style="153" customWidth="1"/>
    <col min="3870" max="4096" width="9.140625" style="153"/>
    <col min="4097" max="4098" width="0" style="153" hidden="1" customWidth="1"/>
    <col min="4099" max="4099" width="15.7109375" style="153" customWidth="1"/>
    <col min="4100" max="4100" width="93.42578125" style="153" customWidth="1"/>
    <col min="4101" max="4101" width="32.28515625" style="153" customWidth="1"/>
    <col min="4102" max="4102" width="23.7109375" style="153" customWidth="1"/>
    <col min="4103" max="4103" width="26.42578125" style="153" customWidth="1"/>
    <col min="4104" max="4104" width="26.5703125" style="153" customWidth="1"/>
    <col min="4105" max="4105" width="27.85546875" style="153" customWidth="1"/>
    <col min="4106" max="4106" width="28.140625" style="153" customWidth="1"/>
    <col min="4107" max="4107" width="24.28515625" style="153" customWidth="1"/>
    <col min="4108" max="4108" width="13.140625" style="153" customWidth="1"/>
    <col min="4109" max="4109" width="19.85546875" style="153" customWidth="1"/>
    <col min="4110" max="4110" width="34.42578125" style="153" customWidth="1"/>
    <col min="4111" max="4111" width="18.140625" style="153" customWidth="1"/>
    <col min="4112" max="4112" width="24.7109375" style="153" customWidth="1"/>
    <col min="4113" max="4113" width="23.28515625" style="153" customWidth="1"/>
    <col min="4114" max="4114" width="18.42578125" style="153" customWidth="1"/>
    <col min="4115" max="4115" width="27.85546875" style="153" customWidth="1"/>
    <col min="4116" max="4116" width="49.42578125" style="153" customWidth="1"/>
    <col min="4117" max="4117" width="32.140625" style="153" customWidth="1"/>
    <col min="4118" max="4118" width="22.42578125" style="153" customWidth="1"/>
    <col min="4119" max="4119" width="33" style="153" customWidth="1"/>
    <col min="4120" max="4120" width="58.85546875" style="153" customWidth="1"/>
    <col min="4121" max="4121" width="37.85546875" style="153" customWidth="1"/>
    <col min="4122" max="4122" width="17.5703125" style="153" customWidth="1"/>
    <col min="4123" max="4123" width="16.5703125" style="153" customWidth="1"/>
    <col min="4124" max="4124" width="28.7109375" style="153" customWidth="1"/>
    <col min="4125" max="4125" width="23.85546875" style="153" customWidth="1"/>
    <col min="4126" max="4352" width="9.140625" style="153"/>
    <col min="4353" max="4354" width="0" style="153" hidden="1" customWidth="1"/>
    <col min="4355" max="4355" width="15.7109375" style="153" customWidth="1"/>
    <col min="4356" max="4356" width="93.42578125" style="153" customWidth="1"/>
    <col min="4357" max="4357" width="32.28515625" style="153" customWidth="1"/>
    <col min="4358" max="4358" width="23.7109375" style="153" customWidth="1"/>
    <col min="4359" max="4359" width="26.42578125" style="153" customWidth="1"/>
    <col min="4360" max="4360" width="26.5703125" style="153" customWidth="1"/>
    <col min="4361" max="4361" width="27.85546875" style="153" customWidth="1"/>
    <col min="4362" max="4362" width="28.140625" style="153" customWidth="1"/>
    <col min="4363" max="4363" width="24.28515625" style="153" customWidth="1"/>
    <col min="4364" max="4364" width="13.140625" style="153" customWidth="1"/>
    <col min="4365" max="4365" width="19.85546875" style="153" customWidth="1"/>
    <col min="4366" max="4366" width="34.42578125" style="153" customWidth="1"/>
    <col min="4367" max="4367" width="18.140625" style="153" customWidth="1"/>
    <col min="4368" max="4368" width="24.7109375" style="153" customWidth="1"/>
    <col min="4369" max="4369" width="23.28515625" style="153" customWidth="1"/>
    <col min="4370" max="4370" width="18.42578125" style="153" customWidth="1"/>
    <col min="4371" max="4371" width="27.85546875" style="153" customWidth="1"/>
    <col min="4372" max="4372" width="49.42578125" style="153" customWidth="1"/>
    <col min="4373" max="4373" width="32.140625" style="153" customWidth="1"/>
    <col min="4374" max="4374" width="22.42578125" style="153" customWidth="1"/>
    <col min="4375" max="4375" width="33" style="153" customWidth="1"/>
    <col min="4376" max="4376" width="58.85546875" style="153" customWidth="1"/>
    <col min="4377" max="4377" width="37.85546875" style="153" customWidth="1"/>
    <col min="4378" max="4378" width="17.5703125" style="153" customWidth="1"/>
    <col min="4379" max="4379" width="16.5703125" style="153" customWidth="1"/>
    <col min="4380" max="4380" width="28.7109375" style="153" customWidth="1"/>
    <col min="4381" max="4381" width="23.85546875" style="153" customWidth="1"/>
    <col min="4382" max="4608" width="9.140625" style="153"/>
    <col min="4609" max="4610" width="0" style="153" hidden="1" customWidth="1"/>
    <col min="4611" max="4611" width="15.7109375" style="153" customWidth="1"/>
    <col min="4612" max="4612" width="93.42578125" style="153" customWidth="1"/>
    <col min="4613" max="4613" width="32.28515625" style="153" customWidth="1"/>
    <col min="4614" max="4614" width="23.7109375" style="153" customWidth="1"/>
    <col min="4615" max="4615" width="26.42578125" style="153" customWidth="1"/>
    <col min="4616" max="4616" width="26.5703125" style="153" customWidth="1"/>
    <col min="4617" max="4617" width="27.85546875" style="153" customWidth="1"/>
    <col min="4618" max="4618" width="28.140625" style="153" customWidth="1"/>
    <col min="4619" max="4619" width="24.28515625" style="153" customWidth="1"/>
    <col min="4620" max="4620" width="13.140625" style="153" customWidth="1"/>
    <col min="4621" max="4621" width="19.85546875" style="153" customWidth="1"/>
    <col min="4622" max="4622" width="34.42578125" style="153" customWidth="1"/>
    <col min="4623" max="4623" width="18.140625" style="153" customWidth="1"/>
    <col min="4624" max="4624" width="24.7109375" style="153" customWidth="1"/>
    <col min="4625" max="4625" width="23.28515625" style="153" customWidth="1"/>
    <col min="4626" max="4626" width="18.42578125" style="153" customWidth="1"/>
    <col min="4627" max="4627" width="27.85546875" style="153" customWidth="1"/>
    <col min="4628" max="4628" width="49.42578125" style="153" customWidth="1"/>
    <col min="4629" max="4629" width="32.140625" style="153" customWidth="1"/>
    <col min="4630" max="4630" width="22.42578125" style="153" customWidth="1"/>
    <col min="4631" max="4631" width="33" style="153" customWidth="1"/>
    <col min="4632" max="4632" width="58.85546875" style="153" customWidth="1"/>
    <col min="4633" max="4633" width="37.85546875" style="153" customWidth="1"/>
    <col min="4634" max="4634" width="17.5703125" style="153" customWidth="1"/>
    <col min="4635" max="4635" width="16.5703125" style="153" customWidth="1"/>
    <col min="4636" max="4636" width="28.7109375" style="153" customWidth="1"/>
    <col min="4637" max="4637" width="23.85546875" style="153" customWidth="1"/>
    <col min="4638" max="4864" width="9.140625" style="153"/>
    <col min="4865" max="4866" width="0" style="153" hidden="1" customWidth="1"/>
    <col min="4867" max="4867" width="15.7109375" style="153" customWidth="1"/>
    <col min="4868" max="4868" width="93.42578125" style="153" customWidth="1"/>
    <col min="4869" max="4869" width="32.28515625" style="153" customWidth="1"/>
    <col min="4870" max="4870" width="23.7109375" style="153" customWidth="1"/>
    <col min="4871" max="4871" width="26.42578125" style="153" customWidth="1"/>
    <col min="4872" max="4872" width="26.5703125" style="153" customWidth="1"/>
    <col min="4873" max="4873" width="27.85546875" style="153" customWidth="1"/>
    <col min="4874" max="4874" width="28.140625" style="153" customWidth="1"/>
    <col min="4875" max="4875" width="24.28515625" style="153" customWidth="1"/>
    <col min="4876" max="4876" width="13.140625" style="153" customWidth="1"/>
    <col min="4877" max="4877" width="19.85546875" style="153" customWidth="1"/>
    <col min="4878" max="4878" width="34.42578125" style="153" customWidth="1"/>
    <col min="4879" max="4879" width="18.140625" style="153" customWidth="1"/>
    <col min="4880" max="4880" width="24.7109375" style="153" customWidth="1"/>
    <col min="4881" max="4881" width="23.28515625" style="153" customWidth="1"/>
    <col min="4882" max="4882" width="18.42578125" style="153" customWidth="1"/>
    <col min="4883" max="4883" width="27.85546875" style="153" customWidth="1"/>
    <col min="4884" max="4884" width="49.42578125" style="153" customWidth="1"/>
    <col min="4885" max="4885" width="32.140625" style="153" customWidth="1"/>
    <col min="4886" max="4886" width="22.42578125" style="153" customWidth="1"/>
    <col min="4887" max="4887" width="33" style="153" customWidth="1"/>
    <col min="4888" max="4888" width="58.85546875" style="153" customWidth="1"/>
    <col min="4889" max="4889" width="37.85546875" style="153" customWidth="1"/>
    <col min="4890" max="4890" width="17.5703125" style="153" customWidth="1"/>
    <col min="4891" max="4891" width="16.5703125" style="153" customWidth="1"/>
    <col min="4892" max="4892" width="28.7109375" style="153" customWidth="1"/>
    <col min="4893" max="4893" width="23.85546875" style="153" customWidth="1"/>
    <col min="4894" max="5120" width="9.140625" style="153"/>
    <col min="5121" max="5122" width="0" style="153" hidden="1" customWidth="1"/>
    <col min="5123" max="5123" width="15.7109375" style="153" customWidth="1"/>
    <col min="5124" max="5124" width="93.42578125" style="153" customWidth="1"/>
    <col min="5125" max="5125" width="32.28515625" style="153" customWidth="1"/>
    <col min="5126" max="5126" width="23.7109375" style="153" customWidth="1"/>
    <col min="5127" max="5127" width="26.42578125" style="153" customWidth="1"/>
    <col min="5128" max="5128" width="26.5703125" style="153" customWidth="1"/>
    <col min="5129" max="5129" width="27.85546875" style="153" customWidth="1"/>
    <col min="5130" max="5130" width="28.140625" style="153" customWidth="1"/>
    <col min="5131" max="5131" width="24.28515625" style="153" customWidth="1"/>
    <col min="5132" max="5132" width="13.140625" style="153" customWidth="1"/>
    <col min="5133" max="5133" width="19.85546875" style="153" customWidth="1"/>
    <col min="5134" max="5134" width="34.42578125" style="153" customWidth="1"/>
    <col min="5135" max="5135" width="18.140625" style="153" customWidth="1"/>
    <col min="5136" max="5136" width="24.7109375" style="153" customWidth="1"/>
    <col min="5137" max="5137" width="23.28515625" style="153" customWidth="1"/>
    <col min="5138" max="5138" width="18.42578125" style="153" customWidth="1"/>
    <col min="5139" max="5139" width="27.85546875" style="153" customWidth="1"/>
    <col min="5140" max="5140" width="49.42578125" style="153" customWidth="1"/>
    <col min="5141" max="5141" width="32.140625" style="153" customWidth="1"/>
    <col min="5142" max="5142" width="22.42578125" style="153" customWidth="1"/>
    <col min="5143" max="5143" width="33" style="153" customWidth="1"/>
    <col min="5144" max="5144" width="58.85546875" style="153" customWidth="1"/>
    <col min="5145" max="5145" width="37.85546875" style="153" customWidth="1"/>
    <col min="5146" max="5146" width="17.5703125" style="153" customWidth="1"/>
    <col min="5147" max="5147" width="16.5703125" style="153" customWidth="1"/>
    <col min="5148" max="5148" width="28.7109375" style="153" customWidth="1"/>
    <col min="5149" max="5149" width="23.85546875" style="153" customWidth="1"/>
    <col min="5150" max="5376" width="9.140625" style="153"/>
    <col min="5377" max="5378" width="0" style="153" hidden="1" customWidth="1"/>
    <col min="5379" max="5379" width="15.7109375" style="153" customWidth="1"/>
    <col min="5380" max="5380" width="93.42578125" style="153" customWidth="1"/>
    <col min="5381" max="5381" width="32.28515625" style="153" customWidth="1"/>
    <col min="5382" max="5382" width="23.7109375" style="153" customWidth="1"/>
    <col min="5383" max="5383" width="26.42578125" style="153" customWidth="1"/>
    <col min="5384" max="5384" width="26.5703125" style="153" customWidth="1"/>
    <col min="5385" max="5385" width="27.85546875" style="153" customWidth="1"/>
    <col min="5386" max="5386" width="28.140625" style="153" customWidth="1"/>
    <col min="5387" max="5387" width="24.28515625" style="153" customWidth="1"/>
    <col min="5388" max="5388" width="13.140625" style="153" customWidth="1"/>
    <col min="5389" max="5389" width="19.85546875" style="153" customWidth="1"/>
    <col min="5390" max="5390" width="34.42578125" style="153" customWidth="1"/>
    <col min="5391" max="5391" width="18.140625" style="153" customWidth="1"/>
    <col min="5392" max="5392" width="24.7109375" style="153" customWidth="1"/>
    <col min="5393" max="5393" width="23.28515625" style="153" customWidth="1"/>
    <col min="5394" max="5394" width="18.42578125" style="153" customWidth="1"/>
    <col min="5395" max="5395" width="27.85546875" style="153" customWidth="1"/>
    <col min="5396" max="5396" width="49.42578125" style="153" customWidth="1"/>
    <col min="5397" max="5397" width="32.140625" style="153" customWidth="1"/>
    <col min="5398" max="5398" width="22.42578125" style="153" customWidth="1"/>
    <col min="5399" max="5399" width="33" style="153" customWidth="1"/>
    <col min="5400" max="5400" width="58.85546875" style="153" customWidth="1"/>
    <col min="5401" max="5401" width="37.85546875" style="153" customWidth="1"/>
    <col min="5402" max="5402" width="17.5703125" style="153" customWidth="1"/>
    <col min="5403" max="5403" width="16.5703125" style="153" customWidth="1"/>
    <col min="5404" max="5404" width="28.7109375" style="153" customWidth="1"/>
    <col min="5405" max="5405" width="23.85546875" style="153" customWidth="1"/>
    <col min="5406" max="5632" width="9.140625" style="153"/>
    <col min="5633" max="5634" width="0" style="153" hidden="1" customWidth="1"/>
    <col min="5635" max="5635" width="15.7109375" style="153" customWidth="1"/>
    <col min="5636" max="5636" width="93.42578125" style="153" customWidth="1"/>
    <col min="5637" max="5637" width="32.28515625" style="153" customWidth="1"/>
    <col min="5638" max="5638" width="23.7109375" style="153" customWidth="1"/>
    <col min="5639" max="5639" width="26.42578125" style="153" customWidth="1"/>
    <col min="5640" max="5640" width="26.5703125" style="153" customWidth="1"/>
    <col min="5641" max="5641" width="27.85546875" style="153" customWidth="1"/>
    <col min="5642" max="5642" width="28.140625" style="153" customWidth="1"/>
    <col min="5643" max="5643" width="24.28515625" style="153" customWidth="1"/>
    <col min="5644" max="5644" width="13.140625" style="153" customWidth="1"/>
    <col min="5645" max="5645" width="19.85546875" style="153" customWidth="1"/>
    <col min="5646" max="5646" width="34.42578125" style="153" customWidth="1"/>
    <col min="5647" max="5647" width="18.140625" style="153" customWidth="1"/>
    <col min="5648" max="5648" width="24.7109375" style="153" customWidth="1"/>
    <col min="5649" max="5649" width="23.28515625" style="153" customWidth="1"/>
    <col min="5650" max="5650" width="18.42578125" style="153" customWidth="1"/>
    <col min="5651" max="5651" width="27.85546875" style="153" customWidth="1"/>
    <col min="5652" max="5652" width="49.42578125" style="153" customWidth="1"/>
    <col min="5653" max="5653" width="32.140625" style="153" customWidth="1"/>
    <col min="5654" max="5654" width="22.42578125" style="153" customWidth="1"/>
    <col min="5655" max="5655" width="33" style="153" customWidth="1"/>
    <col min="5656" max="5656" width="58.85546875" style="153" customWidth="1"/>
    <col min="5657" max="5657" width="37.85546875" style="153" customWidth="1"/>
    <col min="5658" max="5658" width="17.5703125" style="153" customWidth="1"/>
    <col min="5659" max="5659" width="16.5703125" style="153" customWidth="1"/>
    <col min="5660" max="5660" width="28.7109375" style="153" customWidth="1"/>
    <col min="5661" max="5661" width="23.85546875" style="153" customWidth="1"/>
    <col min="5662" max="5888" width="9.140625" style="153"/>
    <col min="5889" max="5890" width="0" style="153" hidden="1" customWidth="1"/>
    <col min="5891" max="5891" width="15.7109375" style="153" customWidth="1"/>
    <col min="5892" max="5892" width="93.42578125" style="153" customWidth="1"/>
    <col min="5893" max="5893" width="32.28515625" style="153" customWidth="1"/>
    <col min="5894" max="5894" width="23.7109375" style="153" customWidth="1"/>
    <col min="5895" max="5895" width="26.42578125" style="153" customWidth="1"/>
    <col min="5896" max="5896" width="26.5703125" style="153" customWidth="1"/>
    <col min="5897" max="5897" width="27.85546875" style="153" customWidth="1"/>
    <col min="5898" max="5898" width="28.140625" style="153" customWidth="1"/>
    <col min="5899" max="5899" width="24.28515625" style="153" customWidth="1"/>
    <col min="5900" max="5900" width="13.140625" style="153" customWidth="1"/>
    <col min="5901" max="5901" width="19.85546875" style="153" customWidth="1"/>
    <col min="5902" max="5902" width="34.42578125" style="153" customWidth="1"/>
    <col min="5903" max="5903" width="18.140625" style="153" customWidth="1"/>
    <col min="5904" max="5904" width="24.7109375" style="153" customWidth="1"/>
    <col min="5905" max="5905" width="23.28515625" style="153" customWidth="1"/>
    <col min="5906" max="5906" width="18.42578125" style="153" customWidth="1"/>
    <col min="5907" max="5907" width="27.85546875" style="153" customWidth="1"/>
    <col min="5908" max="5908" width="49.42578125" style="153" customWidth="1"/>
    <col min="5909" max="5909" width="32.140625" style="153" customWidth="1"/>
    <col min="5910" max="5910" width="22.42578125" style="153" customWidth="1"/>
    <col min="5911" max="5911" width="33" style="153" customWidth="1"/>
    <col min="5912" max="5912" width="58.85546875" style="153" customWidth="1"/>
    <col min="5913" max="5913" width="37.85546875" style="153" customWidth="1"/>
    <col min="5914" max="5914" width="17.5703125" style="153" customWidth="1"/>
    <col min="5915" max="5915" width="16.5703125" style="153" customWidth="1"/>
    <col min="5916" max="5916" width="28.7109375" style="153" customWidth="1"/>
    <col min="5917" max="5917" width="23.85546875" style="153" customWidth="1"/>
    <col min="5918" max="6144" width="9.140625" style="153"/>
    <col min="6145" max="6146" width="0" style="153" hidden="1" customWidth="1"/>
    <col min="6147" max="6147" width="15.7109375" style="153" customWidth="1"/>
    <col min="6148" max="6148" width="93.42578125" style="153" customWidth="1"/>
    <col min="6149" max="6149" width="32.28515625" style="153" customWidth="1"/>
    <col min="6150" max="6150" width="23.7109375" style="153" customWidth="1"/>
    <col min="6151" max="6151" width="26.42578125" style="153" customWidth="1"/>
    <col min="6152" max="6152" width="26.5703125" style="153" customWidth="1"/>
    <col min="6153" max="6153" width="27.85546875" style="153" customWidth="1"/>
    <col min="6154" max="6154" width="28.140625" style="153" customWidth="1"/>
    <col min="6155" max="6155" width="24.28515625" style="153" customWidth="1"/>
    <col min="6156" max="6156" width="13.140625" style="153" customWidth="1"/>
    <col min="6157" max="6157" width="19.85546875" style="153" customWidth="1"/>
    <col min="6158" max="6158" width="34.42578125" style="153" customWidth="1"/>
    <col min="6159" max="6159" width="18.140625" style="153" customWidth="1"/>
    <col min="6160" max="6160" width="24.7109375" style="153" customWidth="1"/>
    <col min="6161" max="6161" width="23.28515625" style="153" customWidth="1"/>
    <col min="6162" max="6162" width="18.42578125" style="153" customWidth="1"/>
    <col min="6163" max="6163" width="27.85546875" style="153" customWidth="1"/>
    <col min="6164" max="6164" width="49.42578125" style="153" customWidth="1"/>
    <col min="6165" max="6165" width="32.140625" style="153" customWidth="1"/>
    <col min="6166" max="6166" width="22.42578125" style="153" customWidth="1"/>
    <col min="6167" max="6167" width="33" style="153" customWidth="1"/>
    <col min="6168" max="6168" width="58.85546875" style="153" customWidth="1"/>
    <col min="6169" max="6169" width="37.85546875" style="153" customWidth="1"/>
    <col min="6170" max="6170" width="17.5703125" style="153" customWidth="1"/>
    <col min="6171" max="6171" width="16.5703125" style="153" customWidth="1"/>
    <col min="6172" max="6172" width="28.7109375" style="153" customWidth="1"/>
    <col min="6173" max="6173" width="23.85546875" style="153" customWidth="1"/>
    <col min="6174" max="6400" width="9.140625" style="153"/>
    <col min="6401" max="6402" width="0" style="153" hidden="1" customWidth="1"/>
    <col min="6403" max="6403" width="15.7109375" style="153" customWidth="1"/>
    <col min="6404" max="6404" width="93.42578125" style="153" customWidth="1"/>
    <col min="6405" max="6405" width="32.28515625" style="153" customWidth="1"/>
    <col min="6406" max="6406" width="23.7109375" style="153" customWidth="1"/>
    <col min="6407" max="6407" width="26.42578125" style="153" customWidth="1"/>
    <col min="6408" max="6408" width="26.5703125" style="153" customWidth="1"/>
    <col min="6409" max="6409" width="27.85546875" style="153" customWidth="1"/>
    <col min="6410" max="6410" width="28.140625" style="153" customWidth="1"/>
    <col min="6411" max="6411" width="24.28515625" style="153" customWidth="1"/>
    <col min="6412" max="6412" width="13.140625" style="153" customWidth="1"/>
    <col min="6413" max="6413" width="19.85546875" style="153" customWidth="1"/>
    <col min="6414" max="6414" width="34.42578125" style="153" customWidth="1"/>
    <col min="6415" max="6415" width="18.140625" style="153" customWidth="1"/>
    <col min="6416" max="6416" width="24.7109375" style="153" customWidth="1"/>
    <col min="6417" max="6417" width="23.28515625" style="153" customWidth="1"/>
    <col min="6418" max="6418" width="18.42578125" style="153" customWidth="1"/>
    <col min="6419" max="6419" width="27.85546875" style="153" customWidth="1"/>
    <col min="6420" max="6420" width="49.42578125" style="153" customWidth="1"/>
    <col min="6421" max="6421" width="32.140625" style="153" customWidth="1"/>
    <col min="6422" max="6422" width="22.42578125" style="153" customWidth="1"/>
    <col min="6423" max="6423" width="33" style="153" customWidth="1"/>
    <col min="6424" max="6424" width="58.85546875" style="153" customWidth="1"/>
    <col min="6425" max="6425" width="37.85546875" style="153" customWidth="1"/>
    <col min="6426" max="6426" width="17.5703125" style="153" customWidth="1"/>
    <col min="6427" max="6427" width="16.5703125" style="153" customWidth="1"/>
    <col min="6428" max="6428" width="28.7109375" style="153" customWidth="1"/>
    <col min="6429" max="6429" width="23.85546875" style="153" customWidth="1"/>
    <col min="6430" max="6656" width="9.140625" style="153"/>
    <col min="6657" max="6658" width="0" style="153" hidden="1" customWidth="1"/>
    <col min="6659" max="6659" width="15.7109375" style="153" customWidth="1"/>
    <col min="6660" max="6660" width="93.42578125" style="153" customWidth="1"/>
    <col min="6661" max="6661" width="32.28515625" style="153" customWidth="1"/>
    <col min="6662" max="6662" width="23.7109375" style="153" customWidth="1"/>
    <col min="6663" max="6663" width="26.42578125" style="153" customWidth="1"/>
    <col min="6664" max="6664" width="26.5703125" style="153" customWidth="1"/>
    <col min="6665" max="6665" width="27.85546875" style="153" customWidth="1"/>
    <col min="6666" max="6666" width="28.140625" style="153" customWidth="1"/>
    <col min="6667" max="6667" width="24.28515625" style="153" customWidth="1"/>
    <col min="6668" max="6668" width="13.140625" style="153" customWidth="1"/>
    <col min="6669" max="6669" width="19.85546875" style="153" customWidth="1"/>
    <col min="6670" max="6670" width="34.42578125" style="153" customWidth="1"/>
    <col min="6671" max="6671" width="18.140625" style="153" customWidth="1"/>
    <col min="6672" max="6672" width="24.7109375" style="153" customWidth="1"/>
    <col min="6673" max="6673" width="23.28515625" style="153" customWidth="1"/>
    <col min="6674" max="6674" width="18.42578125" style="153" customWidth="1"/>
    <col min="6675" max="6675" width="27.85546875" style="153" customWidth="1"/>
    <col min="6676" max="6676" width="49.42578125" style="153" customWidth="1"/>
    <col min="6677" max="6677" width="32.140625" style="153" customWidth="1"/>
    <col min="6678" max="6678" width="22.42578125" style="153" customWidth="1"/>
    <col min="6679" max="6679" width="33" style="153" customWidth="1"/>
    <col min="6680" max="6680" width="58.85546875" style="153" customWidth="1"/>
    <col min="6681" max="6681" width="37.85546875" style="153" customWidth="1"/>
    <col min="6682" max="6682" width="17.5703125" style="153" customWidth="1"/>
    <col min="6683" max="6683" width="16.5703125" style="153" customWidth="1"/>
    <col min="6684" max="6684" width="28.7109375" style="153" customWidth="1"/>
    <col min="6685" max="6685" width="23.85546875" style="153" customWidth="1"/>
    <col min="6686" max="6912" width="9.140625" style="153"/>
    <col min="6913" max="6914" width="0" style="153" hidden="1" customWidth="1"/>
    <col min="6915" max="6915" width="15.7109375" style="153" customWidth="1"/>
    <col min="6916" max="6916" width="93.42578125" style="153" customWidth="1"/>
    <col min="6917" max="6917" width="32.28515625" style="153" customWidth="1"/>
    <col min="6918" max="6918" width="23.7109375" style="153" customWidth="1"/>
    <col min="6919" max="6919" width="26.42578125" style="153" customWidth="1"/>
    <col min="6920" max="6920" width="26.5703125" style="153" customWidth="1"/>
    <col min="6921" max="6921" width="27.85546875" style="153" customWidth="1"/>
    <col min="6922" max="6922" width="28.140625" style="153" customWidth="1"/>
    <col min="6923" max="6923" width="24.28515625" style="153" customWidth="1"/>
    <col min="6924" max="6924" width="13.140625" style="153" customWidth="1"/>
    <col min="6925" max="6925" width="19.85546875" style="153" customWidth="1"/>
    <col min="6926" max="6926" width="34.42578125" style="153" customWidth="1"/>
    <col min="6927" max="6927" width="18.140625" style="153" customWidth="1"/>
    <col min="6928" max="6928" width="24.7109375" style="153" customWidth="1"/>
    <col min="6929" max="6929" width="23.28515625" style="153" customWidth="1"/>
    <col min="6930" max="6930" width="18.42578125" style="153" customWidth="1"/>
    <col min="6931" max="6931" width="27.85546875" style="153" customWidth="1"/>
    <col min="6932" max="6932" width="49.42578125" style="153" customWidth="1"/>
    <col min="6933" max="6933" width="32.140625" style="153" customWidth="1"/>
    <col min="6934" max="6934" width="22.42578125" style="153" customWidth="1"/>
    <col min="6935" max="6935" width="33" style="153" customWidth="1"/>
    <col min="6936" max="6936" width="58.85546875" style="153" customWidth="1"/>
    <col min="6937" max="6937" width="37.85546875" style="153" customWidth="1"/>
    <col min="6938" max="6938" width="17.5703125" style="153" customWidth="1"/>
    <col min="6939" max="6939" width="16.5703125" style="153" customWidth="1"/>
    <col min="6940" max="6940" width="28.7109375" style="153" customWidth="1"/>
    <col min="6941" max="6941" width="23.85546875" style="153" customWidth="1"/>
    <col min="6942" max="7168" width="9.140625" style="153"/>
    <col min="7169" max="7170" width="0" style="153" hidden="1" customWidth="1"/>
    <col min="7171" max="7171" width="15.7109375" style="153" customWidth="1"/>
    <col min="7172" max="7172" width="93.42578125" style="153" customWidth="1"/>
    <col min="7173" max="7173" width="32.28515625" style="153" customWidth="1"/>
    <col min="7174" max="7174" width="23.7109375" style="153" customWidth="1"/>
    <col min="7175" max="7175" width="26.42578125" style="153" customWidth="1"/>
    <col min="7176" max="7176" width="26.5703125" style="153" customWidth="1"/>
    <col min="7177" max="7177" width="27.85546875" style="153" customWidth="1"/>
    <col min="7178" max="7178" width="28.140625" style="153" customWidth="1"/>
    <col min="7179" max="7179" width="24.28515625" style="153" customWidth="1"/>
    <col min="7180" max="7180" width="13.140625" style="153" customWidth="1"/>
    <col min="7181" max="7181" width="19.85546875" style="153" customWidth="1"/>
    <col min="7182" max="7182" width="34.42578125" style="153" customWidth="1"/>
    <col min="7183" max="7183" width="18.140625" style="153" customWidth="1"/>
    <col min="7184" max="7184" width="24.7109375" style="153" customWidth="1"/>
    <col min="7185" max="7185" width="23.28515625" style="153" customWidth="1"/>
    <col min="7186" max="7186" width="18.42578125" style="153" customWidth="1"/>
    <col min="7187" max="7187" width="27.85546875" style="153" customWidth="1"/>
    <col min="7188" max="7188" width="49.42578125" style="153" customWidth="1"/>
    <col min="7189" max="7189" width="32.140625" style="153" customWidth="1"/>
    <col min="7190" max="7190" width="22.42578125" style="153" customWidth="1"/>
    <col min="7191" max="7191" width="33" style="153" customWidth="1"/>
    <col min="7192" max="7192" width="58.85546875" style="153" customWidth="1"/>
    <col min="7193" max="7193" width="37.85546875" style="153" customWidth="1"/>
    <col min="7194" max="7194" width="17.5703125" style="153" customWidth="1"/>
    <col min="7195" max="7195" width="16.5703125" style="153" customWidth="1"/>
    <col min="7196" max="7196" width="28.7109375" style="153" customWidth="1"/>
    <col min="7197" max="7197" width="23.85546875" style="153" customWidth="1"/>
    <col min="7198" max="7424" width="9.140625" style="153"/>
    <col min="7425" max="7426" width="0" style="153" hidden="1" customWidth="1"/>
    <col min="7427" max="7427" width="15.7109375" style="153" customWidth="1"/>
    <col min="7428" max="7428" width="93.42578125" style="153" customWidth="1"/>
    <col min="7429" max="7429" width="32.28515625" style="153" customWidth="1"/>
    <col min="7430" max="7430" width="23.7109375" style="153" customWidth="1"/>
    <col min="7431" max="7431" width="26.42578125" style="153" customWidth="1"/>
    <col min="7432" max="7432" width="26.5703125" style="153" customWidth="1"/>
    <col min="7433" max="7433" width="27.85546875" style="153" customWidth="1"/>
    <col min="7434" max="7434" width="28.140625" style="153" customWidth="1"/>
    <col min="7435" max="7435" width="24.28515625" style="153" customWidth="1"/>
    <col min="7436" max="7436" width="13.140625" style="153" customWidth="1"/>
    <col min="7437" max="7437" width="19.85546875" style="153" customWidth="1"/>
    <col min="7438" max="7438" width="34.42578125" style="153" customWidth="1"/>
    <col min="7439" max="7439" width="18.140625" style="153" customWidth="1"/>
    <col min="7440" max="7440" width="24.7109375" style="153" customWidth="1"/>
    <col min="7441" max="7441" width="23.28515625" style="153" customWidth="1"/>
    <col min="7442" max="7442" width="18.42578125" style="153" customWidth="1"/>
    <col min="7443" max="7443" width="27.85546875" style="153" customWidth="1"/>
    <col min="7444" max="7444" width="49.42578125" style="153" customWidth="1"/>
    <col min="7445" max="7445" width="32.140625" style="153" customWidth="1"/>
    <col min="7446" max="7446" width="22.42578125" style="153" customWidth="1"/>
    <col min="7447" max="7447" width="33" style="153" customWidth="1"/>
    <col min="7448" max="7448" width="58.85546875" style="153" customWidth="1"/>
    <col min="7449" max="7449" width="37.85546875" style="153" customWidth="1"/>
    <col min="7450" max="7450" width="17.5703125" style="153" customWidth="1"/>
    <col min="7451" max="7451" width="16.5703125" style="153" customWidth="1"/>
    <col min="7452" max="7452" width="28.7109375" style="153" customWidth="1"/>
    <col min="7453" max="7453" width="23.85546875" style="153" customWidth="1"/>
    <col min="7454" max="7680" width="9.140625" style="153"/>
    <col min="7681" max="7682" width="0" style="153" hidden="1" customWidth="1"/>
    <col min="7683" max="7683" width="15.7109375" style="153" customWidth="1"/>
    <col min="7684" max="7684" width="93.42578125" style="153" customWidth="1"/>
    <col min="7685" max="7685" width="32.28515625" style="153" customWidth="1"/>
    <col min="7686" max="7686" width="23.7109375" style="153" customWidth="1"/>
    <col min="7687" max="7687" width="26.42578125" style="153" customWidth="1"/>
    <col min="7688" max="7688" width="26.5703125" style="153" customWidth="1"/>
    <col min="7689" max="7689" width="27.85546875" style="153" customWidth="1"/>
    <col min="7690" max="7690" width="28.140625" style="153" customWidth="1"/>
    <col min="7691" max="7691" width="24.28515625" style="153" customWidth="1"/>
    <col min="7692" max="7692" width="13.140625" style="153" customWidth="1"/>
    <col min="7693" max="7693" width="19.85546875" style="153" customWidth="1"/>
    <col min="7694" max="7694" width="34.42578125" style="153" customWidth="1"/>
    <col min="7695" max="7695" width="18.140625" style="153" customWidth="1"/>
    <col min="7696" max="7696" width="24.7109375" style="153" customWidth="1"/>
    <col min="7697" max="7697" width="23.28515625" style="153" customWidth="1"/>
    <col min="7698" max="7698" width="18.42578125" style="153" customWidth="1"/>
    <col min="7699" max="7699" width="27.85546875" style="153" customWidth="1"/>
    <col min="7700" max="7700" width="49.42578125" style="153" customWidth="1"/>
    <col min="7701" max="7701" width="32.140625" style="153" customWidth="1"/>
    <col min="7702" max="7702" width="22.42578125" style="153" customWidth="1"/>
    <col min="7703" max="7703" width="33" style="153" customWidth="1"/>
    <col min="7704" max="7704" width="58.85546875" style="153" customWidth="1"/>
    <col min="7705" max="7705" width="37.85546875" style="153" customWidth="1"/>
    <col min="7706" max="7706" width="17.5703125" style="153" customWidth="1"/>
    <col min="7707" max="7707" width="16.5703125" style="153" customWidth="1"/>
    <col min="7708" max="7708" width="28.7109375" style="153" customWidth="1"/>
    <col min="7709" max="7709" width="23.85546875" style="153" customWidth="1"/>
    <col min="7710" max="7936" width="9.140625" style="153"/>
    <col min="7937" max="7938" width="0" style="153" hidden="1" customWidth="1"/>
    <col min="7939" max="7939" width="15.7109375" style="153" customWidth="1"/>
    <col min="7940" max="7940" width="93.42578125" style="153" customWidth="1"/>
    <col min="7941" max="7941" width="32.28515625" style="153" customWidth="1"/>
    <col min="7942" max="7942" width="23.7109375" style="153" customWidth="1"/>
    <col min="7943" max="7943" width="26.42578125" style="153" customWidth="1"/>
    <col min="7944" max="7944" width="26.5703125" style="153" customWidth="1"/>
    <col min="7945" max="7945" width="27.85546875" style="153" customWidth="1"/>
    <col min="7946" max="7946" width="28.140625" style="153" customWidth="1"/>
    <col min="7947" max="7947" width="24.28515625" style="153" customWidth="1"/>
    <col min="7948" max="7948" width="13.140625" style="153" customWidth="1"/>
    <col min="7949" max="7949" width="19.85546875" style="153" customWidth="1"/>
    <col min="7950" max="7950" width="34.42578125" style="153" customWidth="1"/>
    <col min="7951" max="7951" width="18.140625" style="153" customWidth="1"/>
    <col min="7952" max="7952" width="24.7109375" style="153" customWidth="1"/>
    <col min="7953" max="7953" width="23.28515625" style="153" customWidth="1"/>
    <col min="7954" max="7954" width="18.42578125" style="153" customWidth="1"/>
    <col min="7955" max="7955" width="27.85546875" style="153" customWidth="1"/>
    <col min="7956" max="7956" width="49.42578125" style="153" customWidth="1"/>
    <col min="7957" max="7957" width="32.140625" style="153" customWidth="1"/>
    <col min="7958" max="7958" width="22.42578125" style="153" customWidth="1"/>
    <col min="7959" max="7959" width="33" style="153" customWidth="1"/>
    <col min="7960" max="7960" width="58.85546875" style="153" customWidth="1"/>
    <col min="7961" max="7961" width="37.85546875" style="153" customWidth="1"/>
    <col min="7962" max="7962" width="17.5703125" style="153" customWidth="1"/>
    <col min="7963" max="7963" width="16.5703125" style="153" customWidth="1"/>
    <col min="7964" max="7964" width="28.7109375" style="153" customWidth="1"/>
    <col min="7965" max="7965" width="23.85546875" style="153" customWidth="1"/>
    <col min="7966" max="8192" width="9.140625" style="153"/>
    <col min="8193" max="8194" width="0" style="153" hidden="1" customWidth="1"/>
    <col min="8195" max="8195" width="15.7109375" style="153" customWidth="1"/>
    <col min="8196" max="8196" width="93.42578125" style="153" customWidth="1"/>
    <col min="8197" max="8197" width="32.28515625" style="153" customWidth="1"/>
    <col min="8198" max="8198" width="23.7109375" style="153" customWidth="1"/>
    <col min="8199" max="8199" width="26.42578125" style="153" customWidth="1"/>
    <col min="8200" max="8200" width="26.5703125" style="153" customWidth="1"/>
    <col min="8201" max="8201" width="27.85546875" style="153" customWidth="1"/>
    <col min="8202" max="8202" width="28.140625" style="153" customWidth="1"/>
    <col min="8203" max="8203" width="24.28515625" style="153" customWidth="1"/>
    <col min="8204" max="8204" width="13.140625" style="153" customWidth="1"/>
    <col min="8205" max="8205" width="19.85546875" style="153" customWidth="1"/>
    <col min="8206" max="8206" width="34.42578125" style="153" customWidth="1"/>
    <col min="8207" max="8207" width="18.140625" style="153" customWidth="1"/>
    <col min="8208" max="8208" width="24.7109375" style="153" customWidth="1"/>
    <col min="8209" max="8209" width="23.28515625" style="153" customWidth="1"/>
    <col min="8210" max="8210" width="18.42578125" style="153" customWidth="1"/>
    <col min="8211" max="8211" width="27.85546875" style="153" customWidth="1"/>
    <col min="8212" max="8212" width="49.42578125" style="153" customWidth="1"/>
    <col min="8213" max="8213" width="32.140625" style="153" customWidth="1"/>
    <col min="8214" max="8214" width="22.42578125" style="153" customWidth="1"/>
    <col min="8215" max="8215" width="33" style="153" customWidth="1"/>
    <col min="8216" max="8216" width="58.85546875" style="153" customWidth="1"/>
    <col min="8217" max="8217" width="37.85546875" style="153" customWidth="1"/>
    <col min="8218" max="8218" width="17.5703125" style="153" customWidth="1"/>
    <col min="8219" max="8219" width="16.5703125" style="153" customWidth="1"/>
    <col min="8220" max="8220" width="28.7109375" style="153" customWidth="1"/>
    <col min="8221" max="8221" width="23.85546875" style="153" customWidth="1"/>
    <col min="8222" max="8448" width="9.140625" style="153"/>
    <col min="8449" max="8450" width="0" style="153" hidden="1" customWidth="1"/>
    <col min="8451" max="8451" width="15.7109375" style="153" customWidth="1"/>
    <col min="8452" max="8452" width="93.42578125" style="153" customWidth="1"/>
    <col min="8453" max="8453" width="32.28515625" style="153" customWidth="1"/>
    <col min="8454" max="8454" width="23.7109375" style="153" customWidth="1"/>
    <col min="8455" max="8455" width="26.42578125" style="153" customWidth="1"/>
    <col min="8456" max="8456" width="26.5703125" style="153" customWidth="1"/>
    <col min="8457" max="8457" width="27.85546875" style="153" customWidth="1"/>
    <col min="8458" max="8458" width="28.140625" style="153" customWidth="1"/>
    <col min="8459" max="8459" width="24.28515625" style="153" customWidth="1"/>
    <col min="8460" max="8460" width="13.140625" style="153" customWidth="1"/>
    <col min="8461" max="8461" width="19.85546875" style="153" customWidth="1"/>
    <col min="8462" max="8462" width="34.42578125" style="153" customWidth="1"/>
    <col min="8463" max="8463" width="18.140625" style="153" customWidth="1"/>
    <col min="8464" max="8464" width="24.7109375" style="153" customWidth="1"/>
    <col min="8465" max="8465" width="23.28515625" style="153" customWidth="1"/>
    <col min="8466" max="8466" width="18.42578125" style="153" customWidth="1"/>
    <col min="8467" max="8467" width="27.85546875" style="153" customWidth="1"/>
    <col min="8468" max="8468" width="49.42578125" style="153" customWidth="1"/>
    <col min="8469" max="8469" width="32.140625" style="153" customWidth="1"/>
    <col min="8470" max="8470" width="22.42578125" style="153" customWidth="1"/>
    <col min="8471" max="8471" width="33" style="153" customWidth="1"/>
    <col min="8472" max="8472" width="58.85546875" style="153" customWidth="1"/>
    <col min="8473" max="8473" width="37.85546875" style="153" customWidth="1"/>
    <col min="8474" max="8474" width="17.5703125" style="153" customWidth="1"/>
    <col min="8475" max="8475" width="16.5703125" style="153" customWidth="1"/>
    <col min="8476" max="8476" width="28.7109375" style="153" customWidth="1"/>
    <col min="8477" max="8477" width="23.85546875" style="153" customWidth="1"/>
    <col min="8478" max="8704" width="9.140625" style="153"/>
    <col min="8705" max="8706" width="0" style="153" hidden="1" customWidth="1"/>
    <col min="8707" max="8707" width="15.7109375" style="153" customWidth="1"/>
    <col min="8708" max="8708" width="93.42578125" style="153" customWidth="1"/>
    <col min="8709" max="8709" width="32.28515625" style="153" customWidth="1"/>
    <col min="8710" max="8710" width="23.7109375" style="153" customWidth="1"/>
    <col min="8711" max="8711" width="26.42578125" style="153" customWidth="1"/>
    <col min="8712" max="8712" width="26.5703125" style="153" customWidth="1"/>
    <col min="8713" max="8713" width="27.85546875" style="153" customWidth="1"/>
    <col min="8714" max="8714" width="28.140625" style="153" customWidth="1"/>
    <col min="8715" max="8715" width="24.28515625" style="153" customWidth="1"/>
    <col min="8716" max="8716" width="13.140625" style="153" customWidth="1"/>
    <col min="8717" max="8717" width="19.85546875" style="153" customWidth="1"/>
    <col min="8718" max="8718" width="34.42578125" style="153" customWidth="1"/>
    <col min="8719" max="8719" width="18.140625" style="153" customWidth="1"/>
    <col min="8720" max="8720" width="24.7109375" style="153" customWidth="1"/>
    <col min="8721" max="8721" width="23.28515625" style="153" customWidth="1"/>
    <col min="8722" max="8722" width="18.42578125" style="153" customWidth="1"/>
    <col min="8723" max="8723" width="27.85546875" style="153" customWidth="1"/>
    <col min="8724" max="8724" width="49.42578125" style="153" customWidth="1"/>
    <col min="8725" max="8725" width="32.140625" style="153" customWidth="1"/>
    <col min="8726" max="8726" width="22.42578125" style="153" customWidth="1"/>
    <col min="8727" max="8727" width="33" style="153" customWidth="1"/>
    <col min="8728" max="8728" width="58.85546875" style="153" customWidth="1"/>
    <col min="8729" max="8729" width="37.85546875" style="153" customWidth="1"/>
    <col min="8730" max="8730" width="17.5703125" style="153" customWidth="1"/>
    <col min="8731" max="8731" width="16.5703125" style="153" customWidth="1"/>
    <col min="8732" max="8732" width="28.7109375" style="153" customWidth="1"/>
    <col min="8733" max="8733" width="23.85546875" style="153" customWidth="1"/>
    <col min="8734" max="8960" width="9.140625" style="153"/>
    <col min="8961" max="8962" width="0" style="153" hidden="1" customWidth="1"/>
    <col min="8963" max="8963" width="15.7109375" style="153" customWidth="1"/>
    <col min="8964" max="8964" width="93.42578125" style="153" customWidth="1"/>
    <col min="8965" max="8965" width="32.28515625" style="153" customWidth="1"/>
    <col min="8966" max="8966" width="23.7109375" style="153" customWidth="1"/>
    <col min="8967" max="8967" width="26.42578125" style="153" customWidth="1"/>
    <col min="8968" max="8968" width="26.5703125" style="153" customWidth="1"/>
    <col min="8969" max="8969" width="27.85546875" style="153" customWidth="1"/>
    <col min="8970" max="8970" width="28.140625" style="153" customWidth="1"/>
    <col min="8971" max="8971" width="24.28515625" style="153" customWidth="1"/>
    <col min="8972" max="8972" width="13.140625" style="153" customWidth="1"/>
    <col min="8973" max="8973" width="19.85546875" style="153" customWidth="1"/>
    <col min="8974" max="8974" width="34.42578125" style="153" customWidth="1"/>
    <col min="8975" max="8975" width="18.140625" style="153" customWidth="1"/>
    <col min="8976" max="8976" width="24.7109375" style="153" customWidth="1"/>
    <col min="8977" max="8977" width="23.28515625" style="153" customWidth="1"/>
    <col min="8978" max="8978" width="18.42578125" style="153" customWidth="1"/>
    <col min="8979" max="8979" width="27.85546875" style="153" customWidth="1"/>
    <col min="8980" max="8980" width="49.42578125" style="153" customWidth="1"/>
    <col min="8981" max="8981" width="32.140625" style="153" customWidth="1"/>
    <col min="8982" max="8982" width="22.42578125" style="153" customWidth="1"/>
    <col min="8983" max="8983" width="33" style="153" customWidth="1"/>
    <col min="8984" max="8984" width="58.85546875" style="153" customWidth="1"/>
    <col min="8985" max="8985" width="37.85546875" style="153" customWidth="1"/>
    <col min="8986" max="8986" width="17.5703125" style="153" customWidth="1"/>
    <col min="8987" max="8987" width="16.5703125" style="153" customWidth="1"/>
    <col min="8988" max="8988" width="28.7109375" style="153" customWidth="1"/>
    <col min="8989" max="8989" width="23.85546875" style="153" customWidth="1"/>
    <col min="8990" max="9216" width="9.140625" style="153"/>
    <col min="9217" max="9218" width="0" style="153" hidden="1" customWidth="1"/>
    <col min="9219" max="9219" width="15.7109375" style="153" customWidth="1"/>
    <col min="9220" max="9220" width="93.42578125" style="153" customWidth="1"/>
    <col min="9221" max="9221" width="32.28515625" style="153" customWidth="1"/>
    <col min="9222" max="9222" width="23.7109375" style="153" customWidth="1"/>
    <col min="9223" max="9223" width="26.42578125" style="153" customWidth="1"/>
    <col min="9224" max="9224" width="26.5703125" style="153" customWidth="1"/>
    <col min="9225" max="9225" width="27.85546875" style="153" customWidth="1"/>
    <col min="9226" max="9226" width="28.140625" style="153" customWidth="1"/>
    <col min="9227" max="9227" width="24.28515625" style="153" customWidth="1"/>
    <col min="9228" max="9228" width="13.140625" style="153" customWidth="1"/>
    <col min="9229" max="9229" width="19.85546875" style="153" customWidth="1"/>
    <col min="9230" max="9230" width="34.42578125" style="153" customWidth="1"/>
    <col min="9231" max="9231" width="18.140625" style="153" customWidth="1"/>
    <col min="9232" max="9232" width="24.7109375" style="153" customWidth="1"/>
    <col min="9233" max="9233" width="23.28515625" style="153" customWidth="1"/>
    <col min="9234" max="9234" width="18.42578125" style="153" customWidth="1"/>
    <col min="9235" max="9235" width="27.85546875" style="153" customWidth="1"/>
    <col min="9236" max="9236" width="49.42578125" style="153" customWidth="1"/>
    <col min="9237" max="9237" width="32.140625" style="153" customWidth="1"/>
    <col min="9238" max="9238" width="22.42578125" style="153" customWidth="1"/>
    <col min="9239" max="9239" width="33" style="153" customWidth="1"/>
    <col min="9240" max="9240" width="58.85546875" style="153" customWidth="1"/>
    <col min="9241" max="9241" width="37.85546875" style="153" customWidth="1"/>
    <col min="9242" max="9242" width="17.5703125" style="153" customWidth="1"/>
    <col min="9243" max="9243" width="16.5703125" style="153" customWidth="1"/>
    <col min="9244" max="9244" width="28.7109375" style="153" customWidth="1"/>
    <col min="9245" max="9245" width="23.85546875" style="153" customWidth="1"/>
    <col min="9246" max="9472" width="9.140625" style="153"/>
    <col min="9473" max="9474" width="0" style="153" hidden="1" customWidth="1"/>
    <col min="9475" max="9475" width="15.7109375" style="153" customWidth="1"/>
    <col min="9476" max="9476" width="93.42578125" style="153" customWidth="1"/>
    <col min="9477" max="9477" width="32.28515625" style="153" customWidth="1"/>
    <col min="9478" max="9478" width="23.7109375" style="153" customWidth="1"/>
    <col min="9479" max="9479" width="26.42578125" style="153" customWidth="1"/>
    <col min="9480" max="9480" width="26.5703125" style="153" customWidth="1"/>
    <col min="9481" max="9481" width="27.85546875" style="153" customWidth="1"/>
    <col min="9482" max="9482" width="28.140625" style="153" customWidth="1"/>
    <col min="9483" max="9483" width="24.28515625" style="153" customWidth="1"/>
    <col min="9484" max="9484" width="13.140625" style="153" customWidth="1"/>
    <col min="9485" max="9485" width="19.85546875" style="153" customWidth="1"/>
    <col min="9486" max="9486" width="34.42578125" style="153" customWidth="1"/>
    <col min="9487" max="9487" width="18.140625" style="153" customWidth="1"/>
    <col min="9488" max="9488" width="24.7109375" style="153" customWidth="1"/>
    <col min="9489" max="9489" width="23.28515625" style="153" customWidth="1"/>
    <col min="9490" max="9490" width="18.42578125" style="153" customWidth="1"/>
    <col min="9491" max="9491" width="27.85546875" style="153" customWidth="1"/>
    <col min="9492" max="9492" width="49.42578125" style="153" customWidth="1"/>
    <col min="9493" max="9493" width="32.140625" style="153" customWidth="1"/>
    <col min="9494" max="9494" width="22.42578125" style="153" customWidth="1"/>
    <col min="9495" max="9495" width="33" style="153" customWidth="1"/>
    <col min="9496" max="9496" width="58.85546875" style="153" customWidth="1"/>
    <col min="9497" max="9497" width="37.85546875" style="153" customWidth="1"/>
    <col min="9498" max="9498" width="17.5703125" style="153" customWidth="1"/>
    <col min="9499" max="9499" width="16.5703125" style="153" customWidth="1"/>
    <col min="9500" max="9500" width="28.7109375" style="153" customWidth="1"/>
    <col min="9501" max="9501" width="23.85546875" style="153" customWidth="1"/>
    <col min="9502" max="9728" width="9.140625" style="153"/>
    <col min="9729" max="9730" width="0" style="153" hidden="1" customWidth="1"/>
    <col min="9731" max="9731" width="15.7109375" style="153" customWidth="1"/>
    <col min="9732" max="9732" width="93.42578125" style="153" customWidth="1"/>
    <col min="9733" max="9733" width="32.28515625" style="153" customWidth="1"/>
    <col min="9734" max="9734" width="23.7109375" style="153" customWidth="1"/>
    <col min="9735" max="9735" width="26.42578125" style="153" customWidth="1"/>
    <col min="9736" max="9736" width="26.5703125" style="153" customWidth="1"/>
    <col min="9737" max="9737" width="27.85546875" style="153" customWidth="1"/>
    <col min="9738" max="9738" width="28.140625" style="153" customWidth="1"/>
    <col min="9739" max="9739" width="24.28515625" style="153" customWidth="1"/>
    <col min="9740" max="9740" width="13.140625" style="153" customWidth="1"/>
    <col min="9741" max="9741" width="19.85546875" style="153" customWidth="1"/>
    <col min="9742" max="9742" width="34.42578125" style="153" customWidth="1"/>
    <col min="9743" max="9743" width="18.140625" style="153" customWidth="1"/>
    <col min="9744" max="9744" width="24.7109375" style="153" customWidth="1"/>
    <col min="9745" max="9745" width="23.28515625" style="153" customWidth="1"/>
    <col min="9746" max="9746" width="18.42578125" style="153" customWidth="1"/>
    <col min="9747" max="9747" width="27.85546875" style="153" customWidth="1"/>
    <col min="9748" max="9748" width="49.42578125" style="153" customWidth="1"/>
    <col min="9749" max="9749" width="32.140625" style="153" customWidth="1"/>
    <col min="9750" max="9750" width="22.42578125" style="153" customWidth="1"/>
    <col min="9751" max="9751" width="33" style="153" customWidth="1"/>
    <col min="9752" max="9752" width="58.85546875" style="153" customWidth="1"/>
    <col min="9753" max="9753" width="37.85546875" style="153" customWidth="1"/>
    <col min="9754" max="9754" width="17.5703125" style="153" customWidth="1"/>
    <col min="9755" max="9755" width="16.5703125" style="153" customWidth="1"/>
    <col min="9756" max="9756" width="28.7109375" style="153" customWidth="1"/>
    <col min="9757" max="9757" width="23.85546875" style="153" customWidth="1"/>
    <col min="9758" max="9984" width="9.140625" style="153"/>
    <col min="9985" max="9986" width="0" style="153" hidden="1" customWidth="1"/>
    <col min="9987" max="9987" width="15.7109375" style="153" customWidth="1"/>
    <col min="9988" max="9988" width="93.42578125" style="153" customWidth="1"/>
    <col min="9989" max="9989" width="32.28515625" style="153" customWidth="1"/>
    <col min="9990" max="9990" width="23.7109375" style="153" customWidth="1"/>
    <col min="9991" max="9991" width="26.42578125" style="153" customWidth="1"/>
    <col min="9992" max="9992" width="26.5703125" style="153" customWidth="1"/>
    <col min="9993" max="9993" width="27.85546875" style="153" customWidth="1"/>
    <col min="9994" max="9994" width="28.140625" style="153" customWidth="1"/>
    <col min="9995" max="9995" width="24.28515625" style="153" customWidth="1"/>
    <col min="9996" max="9996" width="13.140625" style="153" customWidth="1"/>
    <col min="9997" max="9997" width="19.85546875" style="153" customWidth="1"/>
    <col min="9998" max="9998" width="34.42578125" style="153" customWidth="1"/>
    <col min="9999" max="9999" width="18.140625" style="153" customWidth="1"/>
    <col min="10000" max="10000" width="24.7109375" style="153" customWidth="1"/>
    <col min="10001" max="10001" width="23.28515625" style="153" customWidth="1"/>
    <col min="10002" max="10002" width="18.42578125" style="153" customWidth="1"/>
    <col min="10003" max="10003" width="27.85546875" style="153" customWidth="1"/>
    <col min="10004" max="10004" width="49.42578125" style="153" customWidth="1"/>
    <col min="10005" max="10005" width="32.140625" style="153" customWidth="1"/>
    <col min="10006" max="10006" width="22.42578125" style="153" customWidth="1"/>
    <col min="10007" max="10007" width="33" style="153" customWidth="1"/>
    <col min="10008" max="10008" width="58.85546875" style="153" customWidth="1"/>
    <col min="10009" max="10009" width="37.85546875" style="153" customWidth="1"/>
    <col min="10010" max="10010" width="17.5703125" style="153" customWidth="1"/>
    <col min="10011" max="10011" width="16.5703125" style="153" customWidth="1"/>
    <col min="10012" max="10012" width="28.7109375" style="153" customWidth="1"/>
    <col min="10013" max="10013" width="23.85546875" style="153" customWidth="1"/>
    <col min="10014" max="10240" width="9.140625" style="153"/>
    <col min="10241" max="10242" width="0" style="153" hidden="1" customWidth="1"/>
    <col min="10243" max="10243" width="15.7109375" style="153" customWidth="1"/>
    <col min="10244" max="10244" width="93.42578125" style="153" customWidth="1"/>
    <col min="10245" max="10245" width="32.28515625" style="153" customWidth="1"/>
    <col min="10246" max="10246" width="23.7109375" style="153" customWidth="1"/>
    <col min="10247" max="10247" width="26.42578125" style="153" customWidth="1"/>
    <col min="10248" max="10248" width="26.5703125" style="153" customWidth="1"/>
    <col min="10249" max="10249" width="27.85546875" style="153" customWidth="1"/>
    <col min="10250" max="10250" width="28.140625" style="153" customWidth="1"/>
    <col min="10251" max="10251" width="24.28515625" style="153" customWidth="1"/>
    <col min="10252" max="10252" width="13.140625" style="153" customWidth="1"/>
    <col min="10253" max="10253" width="19.85546875" style="153" customWidth="1"/>
    <col min="10254" max="10254" width="34.42578125" style="153" customWidth="1"/>
    <col min="10255" max="10255" width="18.140625" style="153" customWidth="1"/>
    <col min="10256" max="10256" width="24.7109375" style="153" customWidth="1"/>
    <col min="10257" max="10257" width="23.28515625" style="153" customWidth="1"/>
    <col min="10258" max="10258" width="18.42578125" style="153" customWidth="1"/>
    <col min="10259" max="10259" width="27.85546875" style="153" customWidth="1"/>
    <col min="10260" max="10260" width="49.42578125" style="153" customWidth="1"/>
    <col min="10261" max="10261" width="32.140625" style="153" customWidth="1"/>
    <col min="10262" max="10262" width="22.42578125" style="153" customWidth="1"/>
    <col min="10263" max="10263" width="33" style="153" customWidth="1"/>
    <col min="10264" max="10264" width="58.85546875" style="153" customWidth="1"/>
    <col min="10265" max="10265" width="37.85546875" style="153" customWidth="1"/>
    <col min="10266" max="10266" width="17.5703125" style="153" customWidth="1"/>
    <col min="10267" max="10267" width="16.5703125" style="153" customWidth="1"/>
    <col min="10268" max="10268" width="28.7109375" style="153" customWidth="1"/>
    <col min="10269" max="10269" width="23.85546875" style="153" customWidth="1"/>
    <col min="10270" max="10496" width="9.140625" style="153"/>
    <col min="10497" max="10498" width="0" style="153" hidden="1" customWidth="1"/>
    <col min="10499" max="10499" width="15.7109375" style="153" customWidth="1"/>
    <col min="10500" max="10500" width="93.42578125" style="153" customWidth="1"/>
    <col min="10501" max="10501" width="32.28515625" style="153" customWidth="1"/>
    <col min="10502" max="10502" width="23.7109375" style="153" customWidth="1"/>
    <col min="10503" max="10503" width="26.42578125" style="153" customWidth="1"/>
    <col min="10504" max="10504" width="26.5703125" style="153" customWidth="1"/>
    <col min="10505" max="10505" width="27.85546875" style="153" customWidth="1"/>
    <col min="10506" max="10506" width="28.140625" style="153" customWidth="1"/>
    <col min="10507" max="10507" width="24.28515625" style="153" customWidth="1"/>
    <col min="10508" max="10508" width="13.140625" style="153" customWidth="1"/>
    <col min="10509" max="10509" width="19.85546875" style="153" customWidth="1"/>
    <col min="10510" max="10510" width="34.42578125" style="153" customWidth="1"/>
    <col min="10511" max="10511" width="18.140625" style="153" customWidth="1"/>
    <col min="10512" max="10512" width="24.7109375" style="153" customWidth="1"/>
    <col min="10513" max="10513" width="23.28515625" style="153" customWidth="1"/>
    <col min="10514" max="10514" width="18.42578125" style="153" customWidth="1"/>
    <col min="10515" max="10515" width="27.85546875" style="153" customWidth="1"/>
    <col min="10516" max="10516" width="49.42578125" style="153" customWidth="1"/>
    <col min="10517" max="10517" width="32.140625" style="153" customWidth="1"/>
    <col min="10518" max="10518" width="22.42578125" style="153" customWidth="1"/>
    <col min="10519" max="10519" width="33" style="153" customWidth="1"/>
    <col min="10520" max="10520" width="58.85546875" style="153" customWidth="1"/>
    <col min="10521" max="10521" width="37.85546875" style="153" customWidth="1"/>
    <col min="10522" max="10522" width="17.5703125" style="153" customWidth="1"/>
    <col min="10523" max="10523" width="16.5703125" style="153" customWidth="1"/>
    <col min="10524" max="10524" width="28.7109375" style="153" customWidth="1"/>
    <col min="10525" max="10525" width="23.85546875" style="153" customWidth="1"/>
    <col min="10526" max="10752" width="9.140625" style="153"/>
    <col min="10753" max="10754" width="0" style="153" hidden="1" customWidth="1"/>
    <col min="10755" max="10755" width="15.7109375" style="153" customWidth="1"/>
    <col min="10756" max="10756" width="93.42578125" style="153" customWidth="1"/>
    <col min="10757" max="10757" width="32.28515625" style="153" customWidth="1"/>
    <col min="10758" max="10758" width="23.7109375" style="153" customWidth="1"/>
    <col min="10759" max="10759" width="26.42578125" style="153" customWidth="1"/>
    <col min="10760" max="10760" width="26.5703125" style="153" customWidth="1"/>
    <col min="10761" max="10761" width="27.85546875" style="153" customWidth="1"/>
    <col min="10762" max="10762" width="28.140625" style="153" customWidth="1"/>
    <col min="10763" max="10763" width="24.28515625" style="153" customWidth="1"/>
    <col min="10764" max="10764" width="13.140625" style="153" customWidth="1"/>
    <col min="10765" max="10765" width="19.85546875" style="153" customWidth="1"/>
    <col min="10766" max="10766" width="34.42578125" style="153" customWidth="1"/>
    <col min="10767" max="10767" width="18.140625" style="153" customWidth="1"/>
    <col min="10768" max="10768" width="24.7109375" style="153" customWidth="1"/>
    <col min="10769" max="10769" width="23.28515625" style="153" customWidth="1"/>
    <col min="10770" max="10770" width="18.42578125" style="153" customWidth="1"/>
    <col min="10771" max="10771" width="27.85546875" style="153" customWidth="1"/>
    <col min="10772" max="10772" width="49.42578125" style="153" customWidth="1"/>
    <col min="10773" max="10773" width="32.140625" style="153" customWidth="1"/>
    <col min="10774" max="10774" width="22.42578125" style="153" customWidth="1"/>
    <col min="10775" max="10775" width="33" style="153" customWidth="1"/>
    <col min="10776" max="10776" width="58.85546875" style="153" customWidth="1"/>
    <col min="10777" max="10777" width="37.85546875" style="153" customWidth="1"/>
    <col min="10778" max="10778" width="17.5703125" style="153" customWidth="1"/>
    <col min="10779" max="10779" width="16.5703125" style="153" customWidth="1"/>
    <col min="10780" max="10780" width="28.7109375" style="153" customWidth="1"/>
    <col min="10781" max="10781" width="23.85546875" style="153" customWidth="1"/>
    <col min="10782" max="11008" width="9.140625" style="153"/>
    <col min="11009" max="11010" width="0" style="153" hidden="1" customWidth="1"/>
    <col min="11011" max="11011" width="15.7109375" style="153" customWidth="1"/>
    <col min="11012" max="11012" width="93.42578125" style="153" customWidth="1"/>
    <col min="11013" max="11013" width="32.28515625" style="153" customWidth="1"/>
    <col min="11014" max="11014" width="23.7109375" style="153" customWidth="1"/>
    <col min="11015" max="11015" width="26.42578125" style="153" customWidth="1"/>
    <col min="11016" max="11016" width="26.5703125" style="153" customWidth="1"/>
    <col min="11017" max="11017" width="27.85546875" style="153" customWidth="1"/>
    <col min="11018" max="11018" width="28.140625" style="153" customWidth="1"/>
    <col min="11019" max="11019" width="24.28515625" style="153" customWidth="1"/>
    <col min="11020" max="11020" width="13.140625" style="153" customWidth="1"/>
    <col min="11021" max="11021" width="19.85546875" style="153" customWidth="1"/>
    <col min="11022" max="11022" width="34.42578125" style="153" customWidth="1"/>
    <col min="11023" max="11023" width="18.140625" style="153" customWidth="1"/>
    <col min="11024" max="11024" width="24.7109375" style="153" customWidth="1"/>
    <col min="11025" max="11025" width="23.28515625" style="153" customWidth="1"/>
    <col min="11026" max="11026" width="18.42578125" style="153" customWidth="1"/>
    <col min="11027" max="11027" width="27.85546875" style="153" customWidth="1"/>
    <col min="11028" max="11028" width="49.42578125" style="153" customWidth="1"/>
    <col min="11029" max="11029" width="32.140625" style="153" customWidth="1"/>
    <col min="11030" max="11030" width="22.42578125" style="153" customWidth="1"/>
    <col min="11031" max="11031" width="33" style="153" customWidth="1"/>
    <col min="11032" max="11032" width="58.85546875" style="153" customWidth="1"/>
    <col min="11033" max="11033" width="37.85546875" style="153" customWidth="1"/>
    <col min="11034" max="11034" width="17.5703125" style="153" customWidth="1"/>
    <col min="11035" max="11035" width="16.5703125" style="153" customWidth="1"/>
    <col min="11036" max="11036" width="28.7109375" style="153" customWidth="1"/>
    <col min="11037" max="11037" width="23.85546875" style="153" customWidth="1"/>
    <col min="11038" max="11264" width="9.140625" style="153"/>
    <col min="11265" max="11266" width="0" style="153" hidden="1" customWidth="1"/>
    <col min="11267" max="11267" width="15.7109375" style="153" customWidth="1"/>
    <col min="11268" max="11268" width="93.42578125" style="153" customWidth="1"/>
    <col min="11269" max="11269" width="32.28515625" style="153" customWidth="1"/>
    <col min="11270" max="11270" width="23.7109375" style="153" customWidth="1"/>
    <col min="11271" max="11271" width="26.42578125" style="153" customWidth="1"/>
    <col min="11272" max="11272" width="26.5703125" style="153" customWidth="1"/>
    <col min="11273" max="11273" width="27.85546875" style="153" customWidth="1"/>
    <col min="11274" max="11274" width="28.140625" style="153" customWidth="1"/>
    <col min="11275" max="11275" width="24.28515625" style="153" customWidth="1"/>
    <col min="11276" max="11276" width="13.140625" style="153" customWidth="1"/>
    <col min="11277" max="11277" width="19.85546875" style="153" customWidth="1"/>
    <col min="11278" max="11278" width="34.42578125" style="153" customWidth="1"/>
    <col min="11279" max="11279" width="18.140625" style="153" customWidth="1"/>
    <col min="11280" max="11280" width="24.7109375" style="153" customWidth="1"/>
    <col min="11281" max="11281" width="23.28515625" style="153" customWidth="1"/>
    <col min="11282" max="11282" width="18.42578125" style="153" customWidth="1"/>
    <col min="11283" max="11283" width="27.85546875" style="153" customWidth="1"/>
    <col min="11284" max="11284" width="49.42578125" style="153" customWidth="1"/>
    <col min="11285" max="11285" width="32.140625" style="153" customWidth="1"/>
    <col min="11286" max="11286" width="22.42578125" style="153" customWidth="1"/>
    <col min="11287" max="11287" width="33" style="153" customWidth="1"/>
    <col min="11288" max="11288" width="58.85546875" style="153" customWidth="1"/>
    <col min="11289" max="11289" width="37.85546875" style="153" customWidth="1"/>
    <col min="11290" max="11290" width="17.5703125" style="153" customWidth="1"/>
    <col min="11291" max="11291" width="16.5703125" style="153" customWidth="1"/>
    <col min="11292" max="11292" width="28.7109375" style="153" customWidth="1"/>
    <col min="11293" max="11293" width="23.85546875" style="153" customWidth="1"/>
    <col min="11294" max="11520" width="9.140625" style="153"/>
    <col min="11521" max="11522" width="0" style="153" hidden="1" customWidth="1"/>
    <col min="11523" max="11523" width="15.7109375" style="153" customWidth="1"/>
    <col min="11524" max="11524" width="93.42578125" style="153" customWidth="1"/>
    <col min="11525" max="11525" width="32.28515625" style="153" customWidth="1"/>
    <col min="11526" max="11526" width="23.7109375" style="153" customWidth="1"/>
    <col min="11527" max="11527" width="26.42578125" style="153" customWidth="1"/>
    <col min="11528" max="11528" width="26.5703125" style="153" customWidth="1"/>
    <col min="11529" max="11529" width="27.85546875" style="153" customWidth="1"/>
    <col min="11530" max="11530" width="28.140625" style="153" customWidth="1"/>
    <col min="11531" max="11531" width="24.28515625" style="153" customWidth="1"/>
    <col min="11532" max="11532" width="13.140625" style="153" customWidth="1"/>
    <col min="11533" max="11533" width="19.85546875" style="153" customWidth="1"/>
    <col min="11534" max="11534" width="34.42578125" style="153" customWidth="1"/>
    <col min="11535" max="11535" width="18.140625" style="153" customWidth="1"/>
    <col min="11536" max="11536" width="24.7109375" style="153" customWidth="1"/>
    <col min="11537" max="11537" width="23.28515625" style="153" customWidth="1"/>
    <col min="11538" max="11538" width="18.42578125" style="153" customWidth="1"/>
    <col min="11539" max="11539" width="27.85546875" style="153" customWidth="1"/>
    <col min="11540" max="11540" width="49.42578125" style="153" customWidth="1"/>
    <col min="11541" max="11541" width="32.140625" style="153" customWidth="1"/>
    <col min="11542" max="11542" width="22.42578125" style="153" customWidth="1"/>
    <col min="11543" max="11543" width="33" style="153" customWidth="1"/>
    <col min="11544" max="11544" width="58.85546875" style="153" customWidth="1"/>
    <col min="11545" max="11545" width="37.85546875" style="153" customWidth="1"/>
    <col min="11546" max="11546" width="17.5703125" style="153" customWidth="1"/>
    <col min="11547" max="11547" width="16.5703125" style="153" customWidth="1"/>
    <col min="11548" max="11548" width="28.7109375" style="153" customWidth="1"/>
    <col min="11549" max="11549" width="23.85546875" style="153" customWidth="1"/>
    <col min="11550" max="11776" width="9.140625" style="153"/>
    <col min="11777" max="11778" width="0" style="153" hidden="1" customWidth="1"/>
    <col min="11779" max="11779" width="15.7109375" style="153" customWidth="1"/>
    <col min="11780" max="11780" width="93.42578125" style="153" customWidth="1"/>
    <col min="11781" max="11781" width="32.28515625" style="153" customWidth="1"/>
    <col min="11782" max="11782" width="23.7109375" style="153" customWidth="1"/>
    <col min="11783" max="11783" width="26.42578125" style="153" customWidth="1"/>
    <col min="11784" max="11784" width="26.5703125" style="153" customWidth="1"/>
    <col min="11785" max="11785" width="27.85546875" style="153" customWidth="1"/>
    <col min="11786" max="11786" width="28.140625" style="153" customWidth="1"/>
    <col min="11787" max="11787" width="24.28515625" style="153" customWidth="1"/>
    <col min="11788" max="11788" width="13.140625" style="153" customWidth="1"/>
    <col min="11789" max="11789" width="19.85546875" style="153" customWidth="1"/>
    <col min="11790" max="11790" width="34.42578125" style="153" customWidth="1"/>
    <col min="11791" max="11791" width="18.140625" style="153" customWidth="1"/>
    <col min="11792" max="11792" width="24.7109375" style="153" customWidth="1"/>
    <col min="11793" max="11793" width="23.28515625" style="153" customWidth="1"/>
    <col min="11794" max="11794" width="18.42578125" style="153" customWidth="1"/>
    <col min="11795" max="11795" width="27.85546875" style="153" customWidth="1"/>
    <col min="11796" max="11796" width="49.42578125" style="153" customWidth="1"/>
    <col min="11797" max="11797" width="32.140625" style="153" customWidth="1"/>
    <col min="11798" max="11798" width="22.42578125" style="153" customWidth="1"/>
    <col min="11799" max="11799" width="33" style="153" customWidth="1"/>
    <col min="11800" max="11800" width="58.85546875" style="153" customWidth="1"/>
    <col min="11801" max="11801" width="37.85546875" style="153" customWidth="1"/>
    <col min="11802" max="11802" width="17.5703125" style="153" customWidth="1"/>
    <col min="11803" max="11803" width="16.5703125" style="153" customWidth="1"/>
    <col min="11804" max="11804" width="28.7109375" style="153" customWidth="1"/>
    <col min="11805" max="11805" width="23.85546875" style="153" customWidth="1"/>
    <col min="11806" max="12032" width="9.140625" style="153"/>
    <col min="12033" max="12034" width="0" style="153" hidden="1" customWidth="1"/>
    <col min="12035" max="12035" width="15.7109375" style="153" customWidth="1"/>
    <col min="12036" max="12036" width="93.42578125" style="153" customWidth="1"/>
    <col min="12037" max="12037" width="32.28515625" style="153" customWidth="1"/>
    <col min="12038" max="12038" width="23.7109375" style="153" customWidth="1"/>
    <col min="12039" max="12039" width="26.42578125" style="153" customWidth="1"/>
    <col min="12040" max="12040" width="26.5703125" style="153" customWidth="1"/>
    <col min="12041" max="12041" width="27.85546875" style="153" customWidth="1"/>
    <col min="12042" max="12042" width="28.140625" style="153" customWidth="1"/>
    <col min="12043" max="12043" width="24.28515625" style="153" customWidth="1"/>
    <col min="12044" max="12044" width="13.140625" style="153" customWidth="1"/>
    <col min="12045" max="12045" width="19.85546875" style="153" customWidth="1"/>
    <col min="12046" max="12046" width="34.42578125" style="153" customWidth="1"/>
    <col min="12047" max="12047" width="18.140625" style="153" customWidth="1"/>
    <col min="12048" max="12048" width="24.7109375" style="153" customWidth="1"/>
    <col min="12049" max="12049" width="23.28515625" style="153" customWidth="1"/>
    <col min="12050" max="12050" width="18.42578125" style="153" customWidth="1"/>
    <col min="12051" max="12051" width="27.85546875" style="153" customWidth="1"/>
    <col min="12052" max="12052" width="49.42578125" style="153" customWidth="1"/>
    <col min="12053" max="12053" width="32.140625" style="153" customWidth="1"/>
    <col min="12054" max="12054" width="22.42578125" style="153" customWidth="1"/>
    <col min="12055" max="12055" width="33" style="153" customWidth="1"/>
    <col min="12056" max="12056" width="58.85546875" style="153" customWidth="1"/>
    <col min="12057" max="12057" width="37.85546875" style="153" customWidth="1"/>
    <col min="12058" max="12058" width="17.5703125" style="153" customWidth="1"/>
    <col min="12059" max="12059" width="16.5703125" style="153" customWidth="1"/>
    <col min="12060" max="12060" width="28.7109375" style="153" customWidth="1"/>
    <col min="12061" max="12061" width="23.85546875" style="153" customWidth="1"/>
    <col min="12062" max="12288" width="9.140625" style="153"/>
    <col min="12289" max="12290" width="0" style="153" hidden="1" customWidth="1"/>
    <col min="12291" max="12291" width="15.7109375" style="153" customWidth="1"/>
    <col min="12292" max="12292" width="93.42578125" style="153" customWidth="1"/>
    <col min="12293" max="12293" width="32.28515625" style="153" customWidth="1"/>
    <col min="12294" max="12294" width="23.7109375" style="153" customWidth="1"/>
    <col min="12295" max="12295" width="26.42578125" style="153" customWidth="1"/>
    <col min="12296" max="12296" width="26.5703125" style="153" customWidth="1"/>
    <col min="12297" max="12297" width="27.85546875" style="153" customWidth="1"/>
    <col min="12298" max="12298" width="28.140625" style="153" customWidth="1"/>
    <col min="12299" max="12299" width="24.28515625" style="153" customWidth="1"/>
    <col min="12300" max="12300" width="13.140625" style="153" customWidth="1"/>
    <col min="12301" max="12301" width="19.85546875" style="153" customWidth="1"/>
    <col min="12302" max="12302" width="34.42578125" style="153" customWidth="1"/>
    <col min="12303" max="12303" width="18.140625" style="153" customWidth="1"/>
    <col min="12304" max="12304" width="24.7109375" style="153" customWidth="1"/>
    <col min="12305" max="12305" width="23.28515625" style="153" customWidth="1"/>
    <col min="12306" max="12306" width="18.42578125" style="153" customWidth="1"/>
    <col min="12307" max="12307" width="27.85546875" style="153" customWidth="1"/>
    <col min="12308" max="12308" width="49.42578125" style="153" customWidth="1"/>
    <col min="12309" max="12309" width="32.140625" style="153" customWidth="1"/>
    <col min="12310" max="12310" width="22.42578125" style="153" customWidth="1"/>
    <col min="12311" max="12311" width="33" style="153" customWidth="1"/>
    <col min="12312" max="12312" width="58.85546875" style="153" customWidth="1"/>
    <col min="12313" max="12313" width="37.85546875" style="153" customWidth="1"/>
    <col min="12314" max="12314" width="17.5703125" style="153" customWidth="1"/>
    <col min="12315" max="12315" width="16.5703125" style="153" customWidth="1"/>
    <col min="12316" max="12316" width="28.7109375" style="153" customWidth="1"/>
    <col min="12317" max="12317" width="23.85546875" style="153" customWidth="1"/>
    <col min="12318" max="12544" width="9.140625" style="153"/>
    <col min="12545" max="12546" width="0" style="153" hidden="1" customWidth="1"/>
    <col min="12547" max="12547" width="15.7109375" style="153" customWidth="1"/>
    <col min="12548" max="12548" width="93.42578125" style="153" customWidth="1"/>
    <col min="12549" max="12549" width="32.28515625" style="153" customWidth="1"/>
    <col min="12550" max="12550" width="23.7109375" style="153" customWidth="1"/>
    <col min="12551" max="12551" width="26.42578125" style="153" customWidth="1"/>
    <col min="12552" max="12552" width="26.5703125" style="153" customWidth="1"/>
    <col min="12553" max="12553" width="27.85546875" style="153" customWidth="1"/>
    <col min="12554" max="12554" width="28.140625" style="153" customWidth="1"/>
    <col min="12555" max="12555" width="24.28515625" style="153" customWidth="1"/>
    <col min="12556" max="12556" width="13.140625" style="153" customWidth="1"/>
    <col min="12557" max="12557" width="19.85546875" style="153" customWidth="1"/>
    <col min="12558" max="12558" width="34.42578125" style="153" customWidth="1"/>
    <col min="12559" max="12559" width="18.140625" style="153" customWidth="1"/>
    <col min="12560" max="12560" width="24.7109375" style="153" customWidth="1"/>
    <col min="12561" max="12561" width="23.28515625" style="153" customWidth="1"/>
    <col min="12562" max="12562" width="18.42578125" style="153" customWidth="1"/>
    <col min="12563" max="12563" width="27.85546875" style="153" customWidth="1"/>
    <col min="12564" max="12564" width="49.42578125" style="153" customWidth="1"/>
    <col min="12565" max="12565" width="32.140625" style="153" customWidth="1"/>
    <col min="12566" max="12566" width="22.42578125" style="153" customWidth="1"/>
    <col min="12567" max="12567" width="33" style="153" customWidth="1"/>
    <col min="12568" max="12568" width="58.85546875" style="153" customWidth="1"/>
    <col min="12569" max="12569" width="37.85546875" style="153" customWidth="1"/>
    <col min="12570" max="12570" width="17.5703125" style="153" customWidth="1"/>
    <col min="12571" max="12571" width="16.5703125" style="153" customWidth="1"/>
    <col min="12572" max="12572" width="28.7109375" style="153" customWidth="1"/>
    <col min="12573" max="12573" width="23.85546875" style="153" customWidth="1"/>
    <col min="12574" max="12800" width="9.140625" style="153"/>
    <col min="12801" max="12802" width="0" style="153" hidden="1" customWidth="1"/>
    <col min="12803" max="12803" width="15.7109375" style="153" customWidth="1"/>
    <col min="12804" max="12804" width="93.42578125" style="153" customWidth="1"/>
    <col min="12805" max="12805" width="32.28515625" style="153" customWidth="1"/>
    <col min="12806" max="12806" width="23.7109375" style="153" customWidth="1"/>
    <col min="12807" max="12807" width="26.42578125" style="153" customWidth="1"/>
    <col min="12808" max="12808" width="26.5703125" style="153" customWidth="1"/>
    <col min="12809" max="12809" width="27.85546875" style="153" customWidth="1"/>
    <col min="12810" max="12810" width="28.140625" style="153" customWidth="1"/>
    <col min="12811" max="12811" width="24.28515625" style="153" customWidth="1"/>
    <col min="12812" max="12812" width="13.140625" style="153" customWidth="1"/>
    <col min="12813" max="12813" width="19.85546875" style="153" customWidth="1"/>
    <col min="12814" max="12814" width="34.42578125" style="153" customWidth="1"/>
    <col min="12815" max="12815" width="18.140625" style="153" customWidth="1"/>
    <col min="12816" max="12816" width="24.7109375" style="153" customWidth="1"/>
    <col min="12817" max="12817" width="23.28515625" style="153" customWidth="1"/>
    <col min="12818" max="12818" width="18.42578125" style="153" customWidth="1"/>
    <col min="12819" max="12819" width="27.85546875" style="153" customWidth="1"/>
    <col min="12820" max="12820" width="49.42578125" style="153" customWidth="1"/>
    <col min="12821" max="12821" width="32.140625" style="153" customWidth="1"/>
    <col min="12822" max="12822" width="22.42578125" style="153" customWidth="1"/>
    <col min="12823" max="12823" width="33" style="153" customWidth="1"/>
    <col min="12824" max="12824" width="58.85546875" style="153" customWidth="1"/>
    <col min="12825" max="12825" width="37.85546875" style="153" customWidth="1"/>
    <col min="12826" max="12826" width="17.5703125" style="153" customWidth="1"/>
    <col min="12827" max="12827" width="16.5703125" style="153" customWidth="1"/>
    <col min="12828" max="12828" width="28.7109375" style="153" customWidth="1"/>
    <col min="12829" max="12829" width="23.85546875" style="153" customWidth="1"/>
    <col min="12830" max="13056" width="9.140625" style="153"/>
    <col min="13057" max="13058" width="0" style="153" hidden="1" customWidth="1"/>
    <col min="13059" max="13059" width="15.7109375" style="153" customWidth="1"/>
    <col min="13060" max="13060" width="93.42578125" style="153" customWidth="1"/>
    <col min="13061" max="13061" width="32.28515625" style="153" customWidth="1"/>
    <col min="13062" max="13062" width="23.7109375" style="153" customWidth="1"/>
    <col min="13063" max="13063" width="26.42578125" style="153" customWidth="1"/>
    <col min="13064" max="13064" width="26.5703125" style="153" customWidth="1"/>
    <col min="13065" max="13065" width="27.85546875" style="153" customWidth="1"/>
    <col min="13066" max="13066" width="28.140625" style="153" customWidth="1"/>
    <col min="13067" max="13067" width="24.28515625" style="153" customWidth="1"/>
    <col min="13068" max="13068" width="13.140625" style="153" customWidth="1"/>
    <col min="13069" max="13069" width="19.85546875" style="153" customWidth="1"/>
    <col min="13070" max="13070" width="34.42578125" style="153" customWidth="1"/>
    <col min="13071" max="13071" width="18.140625" style="153" customWidth="1"/>
    <col min="13072" max="13072" width="24.7109375" style="153" customWidth="1"/>
    <col min="13073" max="13073" width="23.28515625" style="153" customWidth="1"/>
    <col min="13074" max="13074" width="18.42578125" style="153" customWidth="1"/>
    <col min="13075" max="13075" width="27.85546875" style="153" customWidth="1"/>
    <col min="13076" max="13076" width="49.42578125" style="153" customWidth="1"/>
    <col min="13077" max="13077" width="32.140625" style="153" customWidth="1"/>
    <col min="13078" max="13078" width="22.42578125" style="153" customWidth="1"/>
    <col min="13079" max="13079" width="33" style="153" customWidth="1"/>
    <col min="13080" max="13080" width="58.85546875" style="153" customWidth="1"/>
    <col min="13081" max="13081" width="37.85546875" style="153" customWidth="1"/>
    <col min="13082" max="13082" width="17.5703125" style="153" customWidth="1"/>
    <col min="13083" max="13083" width="16.5703125" style="153" customWidth="1"/>
    <col min="13084" max="13084" width="28.7109375" style="153" customWidth="1"/>
    <col min="13085" max="13085" width="23.85546875" style="153" customWidth="1"/>
    <col min="13086" max="13312" width="9.140625" style="153"/>
    <col min="13313" max="13314" width="0" style="153" hidden="1" customWidth="1"/>
    <col min="13315" max="13315" width="15.7109375" style="153" customWidth="1"/>
    <col min="13316" max="13316" width="93.42578125" style="153" customWidth="1"/>
    <col min="13317" max="13317" width="32.28515625" style="153" customWidth="1"/>
    <col min="13318" max="13318" width="23.7109375" style="153" customWidth="1"/>
    <col min="13319" max="13319" width="26.42578125" style="153" customWidth="1"/>
    <col min="13320" max="13320" width="26.5703125" style="153" customWidth="1"/>
    <col min="13321" max="13321" width="27.85546875" style="153" customWidth="1"/>
    <col min="13322" max="13322" width="28.140625" style="153" customWidth="1"/>
    <col min="13323" max="13323" width="24.28515625" style="153" customWidth="1"/>
    <col min="13324" max="13324" width="13.140625" style="153" customWidth="1"/>
    <col min="13325" max="13325" width="19.85546875" style="153" customWidth="1"/>
    <col min="13326" max="13326" width="34.42578125" style="153" customWidth="1"/>
    <col min="13327" max="13327" width="18.140625" style="153" customWidth="1"/>
    <col min="13328" max="13328" width="24.7109375" style="153" customWidth="1"/>
    <col min="13329" max="13329" width="23.28515625" style="153" customWidth="1"/>
    <col min="13330" max="13330" width="18.42578125" style="153" customWidth="1"/>
    <col min="13331" max="13331" width="27.85546875" style="153" customWidth="1"/>
    <col min="13332" max="13332" width="49.42578125" style="153" customWidth="1"/>
    <col min="13333" max="13333" width="32.140625" style="153" customWidth="1"/>
    <col min="13334" max="13334" width="22.42578125" style="153" customWidth="1"/>
    <col min="13335" max="13335" width="33" style="153" customWidth="1"/>
    <col min="13336" max="13336" width="58.85546875" style="153" customWidth="1"/>
    <col min="13337" max="13337" width="37.85546875" style="153" customWidth="1"/>
    <col min="13338" max="13338" width="17.5703125" style="153" customWidth="1"/>
    <col min="13339" max="13339" width="16.5703125" style="153" customWidth="1"/>
    <col min="13340" max="13340" width="28.7109375" style="153" customWidth="1"/>
    <col min="13341" max="13341" width="23.85546875" style="153" customWidth="1"/>
    <col min="13342" max="13568" width="9.140625" style="153"/>
    <col min="13569" max="13570" width="0" style="153" hidden="1" customWidth="1"/>
    <col min="13571" max="13571" width="15.7109375" style="153" customWidth="1"/>
    <col min="13572" max="13572" width="93.42578125" style="153" customWidth="1"/>
    <col min="13573" max="13573" width="32.28515625" style="153" customWidth="1"/>
    <col min="13574" max="13574" width="23.7109375" style="153" customWidth="1"/>
    <col min="13575" max="13575" width="26.42578125" style="153" customWidth="1"/>
    <col min="13576" max="13576" width="26.5703125" style="153" customWidth="1"/>
    <col min="13577" max="13577" width="27.85546875" style="153" customWidth="1"/>
    <col min="13578" max="13578" width="28.140625" style="153" customWidth="1"/>
    <col min="13579" max="13579" width="24.28515625" style="153" customWidth="1"/>
    <col min="13580" max="13580" width="13.140625" style="153" customWidth="1"/>
    <col min="13581" max="13581" width="19.85546875" style="153" customWidth="1"/>
    <col min="13582" max="13582" width="34.42578125" style="153" customWidth="1"/>
    <col min="13583" max="13583" width="18.140625" style="153" customWidth="1"/>
    <col min="13584" max="13584" width="24.7109375" style="153" customWidth="1"/>
    <col min="13585" max="13585" width="23.28515625" style="153" customWidth="1"/>
    <col min="13586" max="13586" width="18.42578125" style="153" customWidth="1"/>
    <col min="13587" max="13587" width="27.85546875" style="153" customWidth="1"/>
    <col min="13588" max="13588" width="49.42578125" style="153" customWidth="1"/>
    <col min="13589" max="13589" width="32.140625" style="153" customWidth="1"/>
    <col min="13590" max="13590" width="22.42578125" style="153" customWidth="1"/>
    <col min="13591" max="13591" width="33" style="153" customWidth="1"/>
    <col min="13592" max="13592" width="58.85546875" style="153" customWidth="1"/>
    <col min="13593" max="13593" width="37.85546875" style="153" customWidth="1"/>
    <col min="13594" max="13594" width="17.5703125" style="153" customWidth="1"/>
    <col min="13595" max="13595" width="16.5703125" style="153" customWidth="1"/>
    <col min="13596" max="13596" width="28.7109375" style="153" customWidth="1"/>
    <col min="13597" max="13597" width="23.85546875" style="153" customWidth="1"/>
    <col min="13598" max="13824" width="9.140625" style="153"/>
    <col min="13825" max="13826" width="0" style="153" hidden="1" customWidth="1"/>
    <col min="13827" max="13827" width="15.7109375" style="153" customWidth="1"/>
    <col min="13828" max="13828" width="93.42578125" style="153" customWidth="1"/>
    <col min="13829" max="13829" width="32.28515625" style="153" customWidth="1"/>
    <col min="13830" max="13830" width="23.7109375" style="153" customWidth="1"/>
    <col min="13831" max="13831" width="26.42578125" style="153" customWidth="1"/>
    <col min="13832" max="13832" width="26.5703125" style="153" customWidth="1"/>
    <col min="13833" max="13833" width="27.85546875" style="153" customWidth="1"/>
    <col min="13834" max="13834" width="28.140625" style="153" customWidth="1"/>
    <col min="13835" max="13835" width="24.28515625" style="153" customWidth="1"/>
    <col min="13836" max="13836" width="13.140625" style="153" customWidth="1"/>
    <col min="13837" max="13837" width="19.85546875" style="153" customWidth="1"/>
    <col min="13838" max="13838" width="34.42578125" style="153" customWidth="1"/>
    <col min="13839" max="13839" width="18.140625" style="153" customWidth="1"/>
    <col min="13840" max="13840" width="24.7109375" style="153" customWidth="1"/>
    <col min="13841" max="13841" width="23.28515625" style="153" customWidth="1"/>
    <col min="13842" max="13842" width="18.42578125" style="153" customWidth="1"/>
    <col min="13843" max="13843" width="27.85546875" style="153" customWidth="1"/>
    <col min="13844" max="13844" width="49.42578125" style="153" customWidth="1"/>
    <col min="13845" max="13845" width="32.140625" style="153" customWidth="1"/>
    <col min="13846" max="13846" width="22.42578125" style="153" customWidth="1"/>
    <col min="13847" max="13847" width="33" style="153" customWidth="1"/>
    <col min="13848" max="13848" width="58.85546875" style="153" customWidth="1"/>
    <col min="13849" max="13849" width="37.85546875" style="153" customWidth="1"/>
    <col min="13850" max="13850" width="17.5703125" style="153" customWidth="1"/>
    <col min="13851" max="13851" width="16.5703125" style="153" customWidth="1"/>
    <col min="13852" max="13852" width="28.7109375" style="153" customWidth="1"/>
    <col min="13853" max="13853" width="23.85546875" style="153" customWidth="1"/>
    <col min="13854" max="14080" width="9.140625" style="153"/>
    <col min="14081" max="14082" width="0" style="153" hidden="1" customWidth="1"/>
    <col min="14083" max="14083" width="15.7109375" style="153" customWidth="1"/>
    <col min="14084" max="14084" width="93.42578125" style="153" customWidth="1"/>
    <col min="14085" max="14085" width="32.28515625" style="153" customWidth="1"/>
    <col min="14086" max="14086" width="23.7109375" style="153" customWidth="1"/>
    <col min="14087" max="14087" width="26.42578125" style="153" customWidth="1"/>
    <col min="14088" max="14088" width="26.5703125" style="153" customWidth="1"/>
    <col min="14089" max="14089" width="27.85546875" style="153" customWidth="1"/>
    <col min="14090" max="14090" width="28.140625" style="153" customWidth="1"/>
    <col min="14091" max="14091" width="24.28515625" style="153" customWidth="1"/>
    <col min="14092" max="14092" width="13.140625" style="153" customWidth="1"/>
    <col min="14093" max="14093" width="19.85546875" style="153" customWidth="1"/>
    <col min="14094" max="14094" width="34.42578125" style="153" customWidth="1"/>
    <col min="14095" max="14095" width="18.140625" style="153" customWidth="1"/>
    <col min="14096" max="14096" width="24.7109375" style="153" customWidth="1"/>
    <col min="14097" max="14097" width="23.28515625" style="153" customWidth="1"/>
    <col min="14098" max="14098" width="18.42578125" style="153" customWidth="1"/>
    <col min="14099" max="14099" width="27.85546875" style="153" customWidth="1"/>
    <col min="14100" max="14100" width="49.42578125" style="153" customWidth="1"/>
    <col min="14101" max="14101" width="32.140625" style="153" customWidth="1"/>
    <col min="14102" max="14102" width="22.42578125" style="153" customWidth="1"/>
    <col min="14103" max="14103" width="33" style="153" customWidth="1"/>
    <col min="14104" max="14104" width="58.85546875" style="153" customWidth="1"/>
    <col min="14105" max="14105" width="37.85546875" style="153" customWidth="1"/>
    <col min="14106" max="14106" width="17.5703125" style="153" customWidth="1"/>
    <col min="14107" max="14107" width="16.5703125" style="153" customWidth="1"/>
    <col min="14108" max="14108" width="28.7109375" style="153" customWidth="1"/>
    <col min="14109" max="14109" width="23.85546875" style="153" customWidth="1"/>
    <col min="14110" max="14336" width="9.140625" style="153"/>
    <col min="14337" max="14338" width="0" style="153" hidden="1" customWidth="1"/>
    <col min="14339" max="14339" width="15.7109375" style="153" customWidth="1"/>
    <col min="14340" max="14340" width="93.42578125" style="153" customWidth="1"/>
    <col min="14341" max="14341" width="32.28515625" style="153" customWidth="1"/>
    <col min="14342" max="14342" width="23.7109375" style="153" customWidth="1"/>
    <col min="14343" max="14343" width="26.42578125" style="153" customWidth="1"/>
    <col min="14344" max="14344" width="26.5703125" style="153" customWidth="1"/>
    <col min="14345" max="14345" width="27.85546875" style="153" customWidth="1"/>
    <col min="14346" max="14346" width="28.140625" style="153" customWidth="1"/>
    <col min="14347" max="14347" width="24.28515625" style="153" customWidth="1"/>
    <col min="14348" max="14348" width="13.140625" style="153" customWidth="1"/>
    <col min="14349" max="14349" width="19.85546875" style="153" customWidth="1"/>
    <col min="14350" max="14350" width="34.42578125" style="153" customWidth="1"/>
    <col min="14351" max="14351" width="18.140625" style="153" customWidth="1"/>
    <col min="14352" max="14352" width="24.7109375" style="153" customWidth="1"/>
    <col min="14353" max="14353" width="23.28515625" style="153" customWidth="1"/>
    <col min="14354" max="14354" width="18.42578125" style="153" customWidth="1"/>
    <col min="14355" max="14355" width="27.85546875" style="153" customWidth="1"/>
    <col min="14356" max="14356" width="49.42578125" style="153" customWidth="1"/>
    <col min="14357" max="14357" width="32.140625" style="153" customWidth="1"/>
    <col min="14358" max="14358" width="22.42578125" style="153" customWidth="1"/>
    <col min="14359" max="14359" width="33" style="153" customWidth="1"/>
    <col min="14360" max="14360" width="58.85546875" style="153" customWidth="1"/>
    <col min="14361" max="14361" width="37.85546875" style="153" customWidth="1"/>
    <col min="14362" max="14362" width="17.5703125" style="153" customWidth="1"/>
    <col min="14363" max="14363" width="16.5703125" style="153" customWidth="1"/>
    <col min="14364" max="14364" width="28.7109375" style="153" customWidth="1"/>
    <col min="14365" max="14365" width="23.85546875" style="153" customWidth="1"/>
    <col min="14366" max="14592" width="9.140625" style="153"/>
    <col min="14593" max="14594" width="0" style="153" hidden="1" customWidth="1"/>
    <col min="14595" max="14595" width="15.7109375" style="153" customWidth="1"/>
    <col min="14596" max="14596" width="93.42578125" style="153" customWidth="1"/>
    <col min="14597" max="14597" width="32.28515625" style="153" customWidth="1"/>
    <col min="14598" max="14598" width="23.7109375" style="153" customWidth="1"/>
    <col min="14599" max="14599" width="26.42578125" style="153" customWidth="1"/>
    <col min="14600" max="14600" width="26.5703125" style="153" customWidth="1"/>
    <col min="14601" max="14601" width="27.85546875" style="153" customWidth="1"/>
    <col min="14602" max="14602" width="28.140625" style="153" customWidth="1"/>
    <col min="14603" max="14603" width="24.28515625" style="153" customWidth="1"/>
    <col min="14604" max="14604" width="13.140625" style="153" customWidth="1"/>
    <col min="14605" max="14605" width="19.85546875" style="153" customWidth="1"/>
    <col min="14606" max="14606" width="34.42578125" style="153" customWidth="1"/>
    <col min="14607" max="14607" width="18.140625" style="153" customWidth="1"/>
    <col min="14608" max="14608" width="24.7109375" style="153" customWidth="1"/>
    <col min="14609" max="14609" width="23.28515625" style="153" customWidth="1"/>
    <col min="14610" max="14610" width="18.42578125" style="153" customWidth="1"/>
    <col min="14611" max="14611" width="27.85546875" style="153" customWidth="1"/>
    <col min="14612" max="14612" width="49.42578125" style="153" customWidth="1"/>
    <col min="14613" max="14613" width="32.140625" style="153" customWidth="1"/>
    <col min="14614" max="14614" width="22.42578125" style="153" customWidth="1"/>
    <col min="14615" max="14615" width="33" style="153" customWidth="1"/>
    <col min="14616" max="14616" width="58.85546875" style="153" customWidth="1"/>
    <col min="14617" max="14617" width="37.85546875" style="153" customWidth="1"/>
    <col min="14618" max="14618" width="17.5703125" style="153" customWidth="1"/>
    <col min="14619" max="14619" width="16.5703125" style="153" customWidth="1"/>
    <col min="14620" max="14620" width="28.7109375" style="153" customWidth="1"/>
    <col min="14621" max="14621" width="23.85546875" style="153" customWidth="1"/>
    <col min="14622" max="14848" width="9.140625" style="153"/>
    <col min="14849" max="14850" width="0" style="153" hidden="1" customWidth="1"/>
    <col min="14851" max="14851" width="15.7109375" style="153" customWidth="1"/>
    <col min="14852" max="14852" width="93.42578125" style="153" customWidth="1"/>
    <col min="14853" max="14853" width="32.28515625" style="153" customWidth="1"/>
    <col min="14854" max="14854" width="23.7109375" style="153" customWidth="1"/>
    <col min="14855" max="14855" width="26.42578125" style="153" customWidth="1"/>
    <col min="14856" max="14856" width="26.5703125" style="153" customWidth="1"/>
    <col min="14857" max="14857" width="27.85546875" style="153" customWidth="1"/>
    <col min="14858" max="14858" width="28.140625" style="153" customWidth="1"/>
    <col min="14859" max="14859" width="24.28515625" style="153" customWidth="1"/>
    <col min="14860" max="14860" width="13.140625" style="153" customWidth="1"/>
    <col min="14861" max="14861" width="19.85546875" style="153" customWidth="1"/>
    <col min="14862" max="14862" width="34.42578125" style="153" customWidth="1"/>
    <col min="14863" max="14863" width="18.140625" style="153" customWidth="1"/>
    <col min="14864" max="14864" width="24.7109375" style="153" customWidth="1"/>
    <col min="14865" max="14865" width="23.28515625" style="153" customWidth="1"/>
    <col min="14866" max="14866" width="18.42578125" style="153" customWidth="1"/>
    <col min="14867" max="14867" width="27.85546875" style="153" customWidth="1"/>
    <col min="14868" max="14868" width="49.42578125" style="153" customWidth="1"/>
    <col min="14869" max="14869" width="32.140625" style="153" customWidth="1"/>
    <col min="14870" max="14870" width="22.42578125" style="153" customWidth="1"/>
    <col min="14871" max="14871" width="33" style="153" customWidth="1"/>
    <col min="14872" max="14872" width="58.85546875" style="153" customWidth="1"/>
    <col min="14873" max="14873" width="37.85546875" style="153" customWidth="1"/>
    <col min="14874" max="14874" width="17.5703125" style="153" customWidth="1"/>
    <col min="14875" max="14875" width="16.5703125" style="153" customWidth="1"/>
    <col min="14876" max="14876" width="28.7109375" style="153" customWidth="1"/>
    <col min="14877" max="14877" width="23.85546875" style="153" customWidth="1"/>
    <col min="14878" max="15104" width="9.140625" style="153"/>
    <col min="15105" max="15106" width="0" style="153" hidden="1" customWidth="1"/>
    <col min="15107" max="15107" width="15.7109375" style="153" customWidth="1"/>
    <col min="15108" max="15108" width="93.42578125" style="153" customWidth="1"/>
    <col min="15109" max="15109" width="32.28515625" style="153" customWidth="1"/>
    <col min="15110" max="15110" width="23.7109375" style="153" customWidth="1"/>
    <col min="15111" max="15111" width="26.42578125" style="153" customWidth="1"/>
    <col min="15112" max="15112" width="26.5703125" style="153" customWidth="1"/>
    <col min="15113" max="15113" width="27.85546875" style="153" customWidth="1"/>
    <col min="15114" max="15114" width="28.140625" style="153" customWidth="1"/>
    <col min="15115" max="15115" width="24.28515625" style="153" customWidth="1"/>
    <col min="15116" max="15116" width="13.140625" style="153" customWidth="1"/>
    <col min="15117" max="15117" width="19.85546875" style="153" customWidth="1"/>
    <col min="15118" max="15118" width="34.42578125" style="153" customWidth="1"/>
    <col min="15119" max="15119" width="18.140625" style="153" customWidth="1"/>
    <col min="15120" max="15120" width="24.7109375" style="153" customWidth="1"/>
    <col min="15121" max="15121" width="23.28515625" style="153" customWidth="1"/>
    <col min="15122" max="15122" width="18.42578125" style="153" customWidth="1"/>
    <col min="15123" max="15123" width="27.85546875" style="153" customWidth="1"/>
    <col min="15124" max="15124" width="49.42578125" style="153" customWidth="1"/>
    <col min="15125" max="15125" width="32.140625" style="153" customWidth="1"/>
    <col min="15126" max="15126" width="22.42578125" style="153" customWidth="1"/>
    <col min="15127" max="15127" width="33" style="153" customWidth="1"/>
    <col min="15128" max="15128" width="58.85546875" style="153" customWidth="1"/>
    <col min="15129" max="15129" width="37.85546875" style="153" customWidth="1"/>
    <col min="15130" max="15130" width="17.5703125" style="153" customWidth="1"/>
    <col min="15131" max="15131" width="16.5703125" style="153" customWidth="1"/>
    <col min="15132" max="15132" width="28.7109375" style="153" customWidth="1"/>
    <col min="15133" max="15133" width="23.85546875" style="153" customWidth="1"/>
    <col min="15134" max="15360" width="9.140625" style="153"/>
    <col min="15361" max="15362" width="0" style="153" hidden="1" customWidth="1"/>
    <col min="15363" max="15363" width="15.7109375" style="153" customWidth="1"/>
    <col min="15364" max="15364" width="93.42578125" style="153" customWidth="1"/>
    <col min="15365" max="15365" width="32.28515625" style="153" customWidth="1"/>
    <col min="15366" max="15366" width="23.7109375" style="153" customWidth="1"/>
    <col min="15367" max="15367" width="26.42578125" style="153" customWidth="1"/>
    <col min="15368" max="15368" width="26.5703125" style="153" customWidth="1"/>
    <col min="15369" max="15369" width="27.85546875" style="153" customWidth="1"/>
    <col min="15370" max="15370" width="28.140625" style="153" customWidth="1"/>
    <col min="15371" max="15371" width="24.28515625" style="153" customWidth="1"/>
    <col min="15372" max="15372" width="13.140625" style="153" customWidth="1"/>
    <col min="15373" max="15373" width="19.85546875" style="153" customWidth="1"/>
    <col min="15374" max="15374" width="34.42578125" style="153" customWidth="1"/>
    <col min="15375" max="15375" width="18.140625" style="153" customWidth="1"/>
    <col min="15376" max="15376" width="24.7109375" style="153" customWidth="1"/>
    <col min="15377" max="15377" width="23.28515625" style="153" customWidth="1"/>
    <col min="15378" max="15378" width="18.42578125" style="153" customWidth="1"/>
    <col min="15379" max="15379" width="27.85546875" style="153" customWidth="1"/>
    <col min="15380" max="15380" width="49.42578125" style="153" customWidth="1"/>
    <col min="15381" max="15381" width="32.140625" style="153" customWidth="1"/>
    <col min="15382" max="15382" width="22.42578125" style="153" customWidth="1"/>
    <col min="15383" max="15383" width="33" style="153" customWidth="1"/>
    <col min="15384" max="15384" width="58.85546875" style="153" customWidth="1"/>
    <col min="15385" max="15385" width="37.85546875" style="153" customWidth="1"/>
    <col min="15386" max="15386" width="17.5703125" style="153" customWidth="1"/>
    <col min="15387" max="15387" width="16.5703125" style="153" customWidth="1"/>
    <col min="15388" max="15388" width="28.7109375" style="153" customWidth="1"/>
    <col min="15389" max="15389" width="23.85546875" style="153" customWidth="1"/>
    <col min="15390" max="15616" width="9.140625" style="153"/>
    <col min="15617" max="15618" width="0" style="153" hidden="1" customWidth="1"/>
    <col min="15619" max="15619" width="15.7109375" style="153" customWidth="1"/>
    <col min="15620" max="15620" width="93.42578125" style="153" customWidth="1"/>
    <col min="15621" max="15621" width="32.28515625" style="153" customWidth="1"/>
    <col min="15622" max="15622" width="23.7109375" style="153" customWidth="1"/>
    <col min="15623" max="15623" width="26.42578125" style="153" customWidth="1"/>
    <col min="15624" max="15624" width="26.5703125" style="153" customWidth="1"/>
    <col min="15625" max="15625" width="27.85546875" style="153" customWidth="1"/>
    <col min="15626" max="15626" width="28.140625" style="153" customWidth="1"/>
    <col min="15627" max="15627" width="24.28515625" style="153" customWidth="1"/>
    <col min="15628" max="15628" width="13.140625" style="153" customWidth="1"/>
    <col min="15629" max="15629" width="19.85546875" style="153" customWidth="1"/>
    <col min="15630" max="15630" width="34.42578125" style="153" customWidth="1"/>
    <col min="15631" max="15631" width="18.140625" style="153" customWidth="1"/>
    <col min="15632" max="15632" width="24.7109375" style="153" customWidth="1"/>
    <col min="15633" max="15633" width="23.28515625" style="153" customWidth="1"/>
    <col min="15634" max="15634" width="18.42578125" style="153" customWidth="1"/>
    <col min="15635" max="15635" width="27.85546875" style="153" customWidth="1"/>
    <col min="15636" max="15636" width="49.42578125" style="153" customWidth="1"/>
    <col min="15637" max="15637" width="32.140625" style="153" customWidth="1"/>
    <col min="15638" max="15638" width="22.42578125" style="153" customWidth="1"/>
    <col min="15639" max="15639" width="33" style="153" customWidth="1"/>
    <col min="15640" max="15640" width="58.85546875" style="153" customWidth="1"/>
    <col min="15641" max="15641" width="37.85546875" style="153" customWidth="1"/>
    <col min="15642" max="15642" width="17.5703125" style="153" customWidth="1"/>
    <col min="15643" max="15643" width="16.5703125" style="153" customWidth="1"/>
    <col min="15644" max="15644" width="28.7109375" style="153" customWidth="1"/>
    <col min="15645" max="15645" width="23.85546875" style="153" customWidth="1"/>
    <col min="15646" max="15872" width="9.140625" style="153"/>
    <col min="15873" max="15874" width="0" style="153" hidden="1" customWidth="1"/>
    <col min="15875" max="15875" width="15.7109375" style="153" customWidth="1"/>
    <col min="15876" max="15876" width="93.42578125" style="153" customWidth="1"/>
    <col min="15877" max="15877" width="32.28515625" style="153" customWidth="1"/>
    <col min="15878" max="15878" width="23.7109375" style="153" customWidth="1"/>
    <col min="15879" max="15879" width="26.42578125" style="153" customWidth="1"/>
    <col min="15880" max="15880" width="26.5703125" style="153" customWidth="1"/>
    <col min="15881" max="15881" width="27.85546875" style="153" customWidth="1"/>
    <col min="15882" max="15882" width="28.140625" style="153" customWidth="1"/>
    <col min="15883" max="15883" width="24.28515625" style="153" customWidth="1"/>
    <col min="15884" max="15884" width="13.140625" style="153" customWidth="1"/>
    <col min="15885" max="15885" width="19.85546875" style="153" customWidth="1"/>
    <col min="15886" max="15886" width="34.42578125" style="153" customWidth="1"/>
    <col min="15887" max="15887" width="18.140625" style="153" customWidth="1"/>
    <col min="15888" max="15888" width="24.7109375" style="153" customWidth="1"/>
    <col min="15889" max="15889" width="23.28515625" style="153" customWidth="1"/>
    <col min="15890" max="15890" width="18.42578125" style="153" customWidth="1"/>
    <col min="15891" max="15891" width="27.85546875" style="153" customWidth="1"/>
    <col min="15892" max="15892" width="49.42578125" style="153" customWidth="1"/>
    <col min="15893" max="15893" width="32.140625" style="153" customWidth="1"/>
    <col min="15894" max="15894" width="22.42578125" style="153" customWidth="1"/>
    <col min="15895" max="15895" width="33" style="153" customWidth="1"/>
    <col min="15896" max="15896" width="58.85546875" style="153" customWidth="1"/>
    <col min="15897" max="15897" width="37.85546875" style="153" customWidth="1"/>
    <col min="15898" max="15898" width="17.5703125" style="153" customWidth="1"/>
    <col min="15899" max="15899" width="16.5703125" style="153" customWidth="1"/>
    <col min="15900" max="15900" width="28.7109375" style="153" customWidth="1"/>
    <col min="15901" max="15901" width="23.85546875" style="153" customWidth="1"/>
    <col min="15902" max="16128" width="9.140625" style="153"/>
    <col min="16129" max="16130" width="0" style="153" hidden="1" customWidth="1"/>
    <col min="16131" max="16131" width="15.7109375" style="153" customWidth="1"/>
    <col min="16132" max="16132" width="93.42578125" style="153" customWidth="1"/>
    <col min="16133" max="16133" width="32.28515625" style="153" customWidth="1"/>
    <col min="16134" max="16134" width="23.7109375" style="153" customWidth="1"/>
    <col min="16135" max="16135" width="26.42578125" style="153" customWidth="1"/>
    <col min="16136" max="16136" width="26.5703125" style="153" customWidth="1"/>
    <col min="16137" max="16137" width="27.85546875" style="153" customWidth="1"/>
    <col min="16138" max="16138" width="28.140625" style="153" customWidth="1"/>
    <col min="16139" max="16139" width="24.28515625" style="153" customWidth="1"/>
    <col min="16140" max="16140" width="13.140625" style="153" customWidth="1"/>
    <col min="16141" max="16141" width="19.85546875" style="153" customWidth="1"/>
    <col min="16142" max="16142" width="34.42578125" style="153" customWidth="1"/>
    <col min="16143" max="16143" width="18.140625" style="153" customWidth="1"/>
    <col min="16144" max="16144" width="24.7109375" style="153" customWidth="1"/>
    <col min="16145" max="16145" width="23.28515625" style="153" customWidth="1"/>
    <col min="16146" max="16146" width="18.42578125" style="153" customWidth="1"/>
    <col min="16147" max="16147" width="27.85546875" style="153" customWidth="1"/>
    <col min="16148" max="16148" width="49.42578125" style="153" customWidth="1"/>
    <col min="16149" max="16149" width="32.140625" style="153" customWidth="1"/>
    <col min="16150" max="16150" width="22.42578125" style="153" customWidth="1"/>
    <col min="16151" max="16151" width="33" style="153" customWidth="1"/>
    <col min="16152" max="16152" width="58.85546875" style="153" customWidth="1"/>
    <col min="16153" max="16153" width="37.85546875" style="153" customWidth="1"/>
    <col min="16154" max="16154" width="17.5703125" style="153" customWidth="1"/>
    <col min="16155" max="16155" width="16.5703125" style="153" customWidth="1"/>
    <col min="16156" max="16156" width="28.7109375" style="153" customWidth="1"/>
    <col min="16157" max="16157" width="23.85546875" style="153" customWidth="1"/>
    <col min="16158" max="16384" width="9.140625" style="153"/>
  </cols>
  <sheetData>
    <row r="1" spans="1:29" ht="31.5" x14ac:dyDescent="0.5">
      <c r="F1" s="154"/>
      <c r="G1" s="154"/>
      <c r="H1" s="154"/>
      <c r="I1" s="154"/>
      <c r="J1" s="154"/>
      <c r="K1" s="154"/>
      <c r="L1" s="373"/>
      <c r="M1" s="373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5"/>
      <c r="AA1" s="374"/>
      <c r="AB1" s="374"/>
      <c r="AC1" s="374"/>
    </row>
    <row r="2" spans="1:29" ht="20.25" x14ac:dyDescent="0.3">
      <c r="Z2" s="374"/>
      <c r="AA2" s="374"/>
      <c r="AB2" s="374"/>
      <c r="AC2" s="374"/>
    </row>
    <row r="3" spans="1:29" ht="21" x14ac:dyDescent="0.35">
      <c r="Z3" s="155"/>
      <c r="AA3" s="374"/>
      <c r="AB3" s="374"/>
      <c r="AC3" s="374"/>
    </row>
    <row r="4" spans="1:29" ht="31.5" x14ac:dyDescent="0.5">
      <c r="AA4" s="154"/>
      <c r="AB4" s="156"/>
      <c r="AC4" s="157"/>
    </row>
    <row r="5" spans="1:29" ht="147.75" customHeight="1" x14ac:dyDescent="0.25">
      <c r="C5" s="375" t="s">
        <v>1734</v>
      </c>
      <c r="D5" s="375"/>
      <c r="E5" s="375"/>
      <c r="F5" s="375"/>
      <c r="G5" s="375"/>
      <c r="H5" s="375"/>
      <c r="I5" s="375"/>
      <c r="J5" s="375"/>
      <c r="K5" s="375"/>
      <c r="L5" s="375"/>
      <c r="M5" s="375"/>
      <c r="N5" s="375"/>
      <c r="O5" s="375"/>
      <c r="P5" s="375"/>
      <c r="Q5" s="375"/>
      <c r="R5" s="375"/>
      <c r="S5" s="375"/>
      <c r="T5" s="375"/>
      <c r="U5" s="375"/>
      <c r="V5" s="375"/>
      <c r="W5" s="375"/>
      <c r="X5" s="375"/>
      <c r="Y5" s="375"/>
      <c r="Z5" s="375"/>
      <c r="AA5" s="375"/>
      <c r="AB5" s="375"/>
      <c r="AC5" s="375"/>
    </row>
    <row r="6" spans="1:29" s="158" customFormat="1" ht="30.75" customHeight="1" x14ac:dyDescent="0.4">
      <c r="C6" s="364" t="s">
        <v>6</v>
      </c>
      <c r="D6" s="364" t="s">
        <v>7</v>
      </c>
      <c r="E6" s="365" t="s">
        <v>8</v>
      </c>
      <c r="F6" s="368" t="s">
        <v>990</v>
      </c>
      <c r="G6" s="368"/>
      <c r="H6" s="368"/>
      <c r="I6" s="368"/>
      <c r="J6" s="368"/>
      <c r="K6" s="368"/>
      <c r="L6" s="368"/>
      <c r="M6" s="368"/>
      <c r="N6" s="368"/>
      <c r="O6" s="368"/>
      <c r="P6" s="368"/>
      <c r="Q6" s="368"/>
      <c r="R6" s="369" t="s">
        <v>9</v>
      </c>
      <c r="S6" s="370"/>
      <c r="T6" s="370"/>
      <c r="U6" s="370"/>
      <c r="V6" s="370"/>
      <c r="W6" s="370"/>
      <c r="X6" s="370"/>
      <c r="Y6" s="370"/>
      <c r="Z6" s="370"/>
      <c r="AA6" s="370"/>
      <c r="AB6" s="370"/>
      <c r="AC6" s="376" t="s">
        <v>1721</v>
      </c>
    </row>
    <row r="7" spans="1:29" s="158" customFormat="1" ht="48.75" customHeight="1" x14ac:dyDescent="0.4">
      <c r="C7" s="364"/>
      <c r="D7" s="364"/>
      <c r="E7" s="366"/>
      <c r="F7" s="368" t="s">
        <v>13</v>
      </c>
      <c r="G7" s="368"/>
      <c r="H7" s="368"/>
      <c r="I7" s="368"/>
      <c r="J7" s="368"/>
      <c r="K7" s="368"/>
      <c r="L7" s="377" t="s">
        <v>14</v>
      </c>
      <c r="M7" s="377"/>
      <c r="N7" s="377" t="s">
        <v>15</v>
      </c>
      <c r="O7" s="377" t="s">
        <v>16</v>
      </c>
      <c r="P7" s="377" t="s">
        <v>17</v>
      </c>
      <c r="Q7" s="377" t="s">
        <v>18</v>
      </c>
      <c r="R7" s="371" t="s">
        <v>1722</v>
      </c>
      <c r="S7" s="371" t="s">
        <v>1723</v>
      </c>
      <c r="T7" s="371" t="s">
        <v>1724</v>
      </c>
      <c r="U7" s="371" t="s">
        <v>1725</v>
      </c>
      <c r="V7" s="371" t="s">
        <v>23</v>
      </c>
      <c r="W7" s="371" t="s">
        <v>1726</v>
      </c>
      <c r="X7" s="371" t="s">
        <v>1727</v>
      </c>
      <c r="Y7" s="371" t="s">
        <v>1728</v>
      </c>
      <c r="Z7" s="371" t="s">
        <v>27</v>
      </c>
      <c r="AA7" s="371" t="s">
        <v>28</v>
      </c>
      <c r="AB7" s="371" t="s">
        <v>1729</v>
      </c>
      <c r="AC7" s="376"/>
    </row>
    <row r="8" spans="1:29" s="158" customFormat="1" ht="409.5" customHeight="1" x14ac:dyDescent="0.4">
      <c r="C8" s="364"/>
      <c r="D8" s="364"/>
      <c r="E8" s="367"/>
      <c r="F8" s="159" t="s">
        <v>30</v>
      </c>
      <c r="G8" s="159" t="s">
        <v>31</v>
      </c>
      <c r="H8" s="159" t="s">
        <v>32</v>
      </c>
      <c r="I8" s="159" t="s">
        <v>33</v>
      </c>
      <c r="J8" s="159" t="s">
        <v>34</v>
      </c>
      <c r="K8" s="159" t="s">
        <v>35</v>
      </c>
      <c r="L8" s="377"/>
      <c r="M8" s="377"/>
      <c r="N8" s="377"/>
      <c r="O8" s="377"/>
      <c r="P8" s="377"/>
      <c r="Q8" s="377"/>
      <c r="R8" s="372"/>
      <c r="S8" s="372"/>
      <c r="T8" s="372"/>
      <c r="U8" s="372"/>
      <c r="V8" s="372"/>
      <c r="W8" s="372"/>
      <c r="X8" s="372"/>
      <c r="Y8" s="372"/>
      <c r="Z8" s="372"/>
      <c r="AA8" s="372"/>
      <c r="AB8" s="372"/>
      <c r="AC8" s="376"/>
    </row>
    <row r="9" spans="1:29" s="158" customFormat="1" ht="38.25" customHeight="1" x14ac:dyDescent="0.4">
      <c r="C9" s="364"/>
      <c r="D9" s="364"/>
      <c r="E9" s="160" t="s">
        <v>36</v>
      </c>
      <c r="F9" s="161" t="s">
        <v>36</v>
      </c>
      <c r="G9" s="161" t="s">
        <v>36</v>
      </c>
      <c r="H9" s="161" t="s">
        <v>36</v>
      </c>
      <c r="I9" s="161" t="s">
        <v>36</v>
      </c>
      <c r="J9" s="161" t="s">
        <v>36</v>
      </c>
      <c r="K9" s="161" t="s">
        <v>36</v>
      </c>
      <c r="L9" s="161" t="s">
        <v>37</v>
      </c>
      <c r="M9" s="161" t="s">
        <v>36</v>
      </c>
      <c r="N9" s="161" t="s">
        <v>36</v>
      </c>
      <c r="O9" s="161" t="s">
        <v>36</v>
      </c>
      <c r="P9" s="161" t="s">
        <v>36</v>
      </c>
      <c r="Q9" s="161" t="s">
        <v>36</v>
      </c>
      <c r="R9" s="161" t="s">
        <v>36</v>
      </c>
      <c r="S9" s="161" t="s">
        <v>36</v>
      </c>
      <c r="T9" s="161" t="s">
        <v>36</v>
      </c>
      <c r="U9" s="161" t="s">
        <v>36</v>
      </c>
      <c r="V9" s="161" t="s">
        <v>36</v>
      </c>
      <c r="W9" s="161" t="s">
        <v>36</v>
      </c>
      <c r="X9" s="161" t="s">
        <v>36</v>
      </c>
      <c r="Y9" s="161" t="s">
        <v>36</v>
      </c>
      <c r="Z9" s="161" t="s">
        <v>36</v>
      </c>
      <c r="AA9" s="161" t="s">
        <v>36</v>
      </c>
      <c r="AB9" s="161" t="s">
        <v>36</v>
      </c>
      <c r="AC9" s="376"/>
    </row>
    <row r="10" spans="1:29" s="158" customFormat="1" ht="34.5" customHeight="1" x14ac:dyDescent="0.45">
      <c r="A10" s="158">
        <v>1</v>
      </c>
      <c r="C10" s="162">
        <v>1</v>
      </c>
      <c r="D10" s="162">
        <v>2</v>
      </c>
      <c r="E10" s="163">
        <f>D10+1</f>
        <v>3</v>
      </c>
      <c r="F10" s="163">
        <f>E10+1</f>
        <v>4</v>
      </c>
      <c r="G10" s="163">
        <v>5</v>
      </c>
      <c r="H10" s="163">
        <v>6</v>
      </c>
      <c r="I10" s="163">
        <v>7</v>
      </c>
      <c r="J10" s="163">
        <v>8</v>
      </c>
      <c r="K10" s="163">
        <v>9</v>
      </c>
      <c r="L10" s="163">
        <v>10</v>
      </c>
      <c r="M10" s="163">
        <v>11</v>
      </c>
      <c r="N10" s="163">
        <v>12</v>
      </c>
      <c r="O10" s="163">
        <v>13</v>
      </c>
      <c r="P10" s="163">
        <v>14</v>
      </c>
      <c r="Q10" s="163">
        <v>15</v>
      </c>
      <c r="R10" s="163">
        <v>16</v>
      </c>
      <c r="S10" s="163">
        <v>17</v>
      </c>
      <c r="T10" s="163">
        <v>18</v>
      </c>
      <c r="U10" s="163">
        <v>19</v>
      </c>
      <c r="V10" s="163">
        <v>20</v>
      </c>
      <c r="W10" s="163">
        <v>21</v>
      </c>
      <c r="X10" s="163">
        <v>22</v>
      </c>
      <c r="Y10" s="163">
        <v>23</v>
      </c>
      <c r="Z10" s="163">
        <v>24</v>
      </c>
      <c r="AA10" s="163">
        <v>25</v>
      </c>
      <c r="AB10" s="163">
        <v>26</v>
      </c>
      <c r="AC10" s="163">
        <v>27</v>
      </c>
    </row>
    <row r="11" spans="1:29" s="158" customFormat="1" ht="27.75" x14ac:dyDescent="0.4">
      <c r="C11" s="164" t="s">
        <v>1730</v>
      </c>
      <c r="D11" s="162"/>
      <c r="E11" s="165">
        <f>E12</f>
        <v>58937.15</v>
      </c>
      <c r="F11" s="165">
        <f t="shared" ref="F11:AB11" si="0">F12</f>
        <v>0</v>
      </c>
      <c r="G11" s="165">
        <f t="shared" si="0"/>
        <v>0</v>
      </c>
      <c r="H11" s="165">
        <f t="shared" si="0"/>
        <v>0</v>
      </c>
      <c r="I11" s="165">
        <f t="shared" si="0"/>
        <v>58937.15</v>
      </c>
      <c r="J11" s="165">
        <f t="shared" si="0"/>
        <v>0</v>
      </c>
      <c r="K11" s="165">
        <f t="shared" si="0"/>
        <v>0</v>
      </c>
      <c r="L11" s="166">
        <f t="shared" si="0"/>
        <v>0</v>
      </c>
      <c r="M11" s="165">
        <f t="shared" si="0"/>
        <v>0</v>
      </c>
      <c r="N11" s="165">
        <f t="shared" si="0"/>
        <v>0</v>
      </c>
      <c r="O11" s="165">
        <f t="shared" si="0"/>
        <v>0</v>
      </c>
      <c r="P11" s="165">
        <f t="shared" si="0"/>
        <v>0</v>
      </c>
      <c r="Q11" s="165">
        <f t="shared" si="0"/>
        <v>0</v>
      </c>
      <c r="R11" s="165">
        <f t="shared" si="0"/>
        <v>0</v>
      </c>
      <c r="S11" s="165">
        <f t="shared" si="0"/>
        <v>0</v>
      </c>
      <c r="T11" s="165">
        <f t="shared" si="0"/>
        <v>0</v>
      </c>
      <c r="U11" s="165">
        <f t="shared" si="0"/>
        <v>0</v>
      </c>
      <c r="V11" s="165">
        <f t="shared" si="0"/>
        <v>0</v>
      </c>
      <c r="W11" s="165">
        <f t="shared" si="0"/>
        <v>0</v>
      </c>
      <c r="X11" s="165">
        <f t="shared" si="0"/>
        <v>0</v>
      </c>
      <c r="Y11" s="165">
        <f t="shared" si="0"/>
        <v>0</v>
      </c>
      <c r="Z11" s="165">
        <f t="shared" si="0"/>
        <v>0</v>
      </c>
      <c r="AA11" s="165">
        <f t="shared" si="0"/>
        <v>0</v>
      </c>
      <c r="AB11" s="165">
        <f t="shared" si="0"/>
        <v>0</v>
      </c>
      <c r="AC11" s="162" t="s">
        <v>896</v>
      </c>
    </row>
    <row r="12" spans="1:29" s="158" customFormat="1" ht="27.75" x14ac:dyDescent="0.4">
      <c r="C12" s="167" t="s">
        <v>1731</v>
      </c>
      <c r="D12" s="162"/>
      <c r="E12" s="165">
        <f>E13</f>
        <v>58937.15</v>
      </c>
      <c r="F12" s="165">
        <f t="shared" ref="F12:AB12" si="1">F13</f>
        <v>0</v>
      </c>
      <c r="G12" s="165">
        <f t="shared" si="1"/>
        <v>0</v>
      </c>
      <c r="H12" s="165">
        <f t="shared" si="1"/>
        <v>0</v>
      </c>
      <c r="I12" s="165">
        <f t="shared" si="1"/>
        <v>58937.15</v>
      </c>
      <c r="J12" s="165">
        <f t="shared" si="1"/>
        <v>0</v>
      </c>
      <c r="K12" s="165">
        <f t="shared" si="1"/>
        <v>0</v>
      </c>
      <c r="L12" s="166">
        <f t="shared" si="1"/>
        <v>0</v>
      </c>
      <c r="M12" s="165">
        <f t="shared" si="1"/>
        <v>0</v>
      </c>
      <c r="N12" s="165">
        <f t="shared" si="1"/>
        <v>0</v>
      </c>
      <c r="O12" s="165">
        <f t="shared" si="1"/>
        <v>0</v>
      </c>
      <c r="P12" s="165">
        <f t="shared" si="1"/>
        <v>0</v>
      </c>
      <c r="Q12" s="165">
        <f t="shared" si="1"/>
        <v>0</v>
      </c>
      <c r="R12" s="165">
        <f t="shared" si="1"/>
        <v>0</v>
      </c>
      <c r="S12" s="165">
        <f t="shared" si="1"/>
        <v>0</v>
      </c>
      <c r="T12" s="165">
        <f t="shared" si="1"/>
        <v>0</v>
      </c>
      <c r="U12" s="165">
        <f t="shared" si="1"/>
        <v>0</v>
      </c>
      <c r="V12" s="165">
        <f t="shared" si="1"/>
        <v>0</v>
      </c>
      <c r="W12" s="165">
        <f t="shared" si="1"/>
        <v>0</v>
      </c>
      <c r="X12" s="165">
        <f t="shared" si="1"/>
        <v>0</v>
      </c>
      <c r="Y12" s="165">
        <f t="shared" si="1"/>
        <v>0</v>
      </c>
      <c r="Z12" s="165">
        <f t="shared" si="1"/>
        <v>0</v>
      </c>
      <c r="AA12" s="165">
        <f t="shared" si="1"/>
        <v>0</v>
      </c>
      <c r="AB12" s="165">
        <f t="shared" si="1"/>
        <v>0</v>
      </c>
      <c r="AC12" s="162" t="s">
        <v>896</v>
      </c>
    </row>
    <row r="13" spans="1:29" s="158" customFormat="1" ht="27.75" x14ac:dyDescent="0.4">
      <c r="A13" s="158">
        <v>2</v>
      </c>
      <c r="C13" s="167" t="s">
        <v>1733</v>
      </c>
      <c r="D13" s="162"/>
      <c r="E13" s="165">
        <f t="shared" ref="E13:E14" si="2">F13+G13+H13+I13+J13+K13+M13+N13+O13+P13+Q13+R13+S13+T13+U13+V13+W13+X13+Y13+Z13+AA13+AB13</f>
        <v>58937.15</v>
      </c>
      <c r="F13" s="165">
        <f t="shared" ref="F13:AB15" si="3">F14</f>
        <v>0</v>
      </c>
      <c r="G13" s="165">
        <f t="shared" si="3"/>
        <v>0</v>
      </c>
      <c r="H13" s="165">
        <f t="shared" si="3"/>
        <v>0</v>
      </c>
      <c r="I13" s="165">
        <f t="shared" si="3"/>
        <v>58937.15</v>
      </c>
      <c r="J13" s="165">
        <f t="shared" si="3"/>
        <v>0</v>
      </c>
      <c r="K13" s="165">
        <f t="shared" si="3"/>
        <v>0</v>
      </c>
      <c r="L13" s="166">
        <f t="shared" si="3"/>
        <v>0</v>
      </c>
      <c r="M13" s="165">
        <f t="shared" si="3"/>
        <v>0</v>
      </c>
      <c r="N13" s="165">
        <f t="shared" si="3"/>
        <v>0</v>
      </c>
      <c r="O13" s="165">
        <f t="shared" si="3"/>
        <v>0</v>
      </c>
      <c r="P13" s="165">
        <f t="shared" si="3"/>
        <v>0</v>
      </c>
      <c r="Q13" s="165">
        <f t="shared" si="3"/>
        <v>0</v>
      </c>
      <c r="R13" s="165">
        <v>0</v>
      </c>
      <c r="S13" s="165">
        <v>0</v>
      </c>
      <c r="T13" s="165">
        <v>0</v>
      </c>
      <c r="U13" s="165">
        <v>0</v>
      </c>
      <c r="V13" s="165">
        <v>0</v>
      </c>
      <c r="W13" s="165">
        <v>0</v>
      </c>
      <c r="X13" s="165">
        <v>0</v>
      </c>
      <c r="Y13" s="165">
        <v>0</v>
      </c>
      <c r="Z13" s="165">
        <f t="shared" si="3"/>
        <v>0</v>
      </c>
      <c r="AA13" s="165">
        <f t="shared" si="3"/>
        <v>0</v>
      </c>
      <c r="AB13" s="165">
        <f t="shared" si="3"/>
        <v>0</v>
      </c>
      <c r="AC13" s="162" t="s">
        <v>896</v>
      </c>
    </row>
    <row r="14" spans="1:29" s="158" customFormat="1" ht="27.75" x14ac:dyDescent="0.4">
      <c r="A14" s="158">
        <v>3</v>
      </c>
      <c r="B14" s="158">
        <v>1</v>
      </c>
      <c r="C14" s="168">
        <v>1</v>
      </c>
      <c r="D14" s="169" t="s">
        <v>1732</v>
      </c>
      <c r="E14" s="165">
        <f t="shared" si="2"/>
        <v>58937.15</v>
      </c>
      <c r="F14" s="170">
        <v>0</v>
      </c>
      <c r="G14" s="170">
        <v>0</v>
      </c>
      <c r="H14" s="170">
        <v>0</v>
      </c>
      <c r="I14" s="170">
        <v>58937.15</v>
      </c>
      <c r="J14" s="170">
        <v>0</v>
      </c>
      <c r="K14" s="170">
        <v>0</v>
      </c>
      <c r="L14" s="169">
        <v>0</v>
      </c>
      <c r="M14" s="170">
        <v>0</v>
      </c>
      <c r="N14" s="170">
        <v>0</v>
      </c>
      <c r="O14" s="170">
        <v>0</v>
      </c>
      <c r="P14" s="170">
        <v>0</v>
      </c>
      <c r="Q14" s="170">
        <v>0</v>
      </c>
      <c r="R14" s="170">
        <v>0</v>
      </c>
      <c r="S14" s="170">
        <v>0</v>
      </c>
      <c r="T14" s="170">
        <v>0</v>
      </c>
      <c r="U14" s="170">
        <v>0</v>
      </c>
      <c r="V14" s="170">
        <v>0</v>
      </c>
      <c r="W14" s="170">
        <v>0</v>
      </c>
      <c r="X14" s="170">
        <v>0</v>
      </c>
      <c r="Y14" s="170">
        <v>0</v>
      </c>
      <c r="Z14" s="170">
        <v>0</v>
      </c>
      <c r="AA14" s="170">
        <v>0</v>
      </c>
      <c r="AB14" s="170">
        <v>0</v>
      </c>
      <c r="AC14" s="168">
        <v>2020</v>
      </c>
    </row>
    <row r="15" spans="1:29" s="158" customFormat="1" ht="27.75" x14ac:dyDescent="0.4">
      <c r="A15" s="158">
        <v>2</v>
      </c>
      <c r="C15" s="167" t="s">
        <v>1051</v>
      </c>
      <c r="D15" s="162"/>
      <c r="E15" s="165">
        <f t="shared" ref="E15:E16" si="4">F15+G15+H15+I15+J15+K15+M15+N15+O15+P15+Q15+R15+S15+T15+U15+V15+W15+X15+Y15+Z15+AA15+AB15</f>
        <v>560539.34</v>
      </c>
      <c r="F15" s="165">
        <f t="shared" si="3"/>
        <v>0</v>
      </c>
      <c r="G15" s="165">
        <f t="shared" si="3"/>
        <v>0</v>
      </c>
      <c r="H15" s="165">
        <f t="shared" si="3"/>
        <v>560539.34</v>
      </c>
      <c r="I15" s="165">
        <f t="shared" si="3"/>
        <v>0</v>
      </c>
      <c r="J15" s="165">
        <f t="shared" si="3"/>
        <v>0</v>
      </c>
      <c r="K15" s="165">
        <f t="shared" si="3"/>
        <v>0</v>
      </c>
      <c r="L15" s="166">
        <f t="shared" si="3"/>
        <v>0</v>
      </c>
      <c r="M15" s="165">
        <f t="shared" si="3"/>
        <v>0</v>
      </c>
      <c r="N15" s="165">
        <f t="shared" si="3"/>
        <v>0</v>
      </c>
      <c r="O15" s="165">
        <f t="shared" si="3"/>
        <v>0</v>
      </c>
      <c r="P15" s="165">
        <f t="shared" si="3"/>
        <v>0</v>
      </c>
      <c r="Q15" s="165">
        <f t="shared" si="3"/>
        <v>0</v>
      </c>
      <c r="R15" s="165">
        <v>0</v>
      </c>
      <c r="S15" s="165">
        <v>0</v>
      </c>
      <c r="T15" s="165">
        <v>0</v>
      </c>
      <c r="U15" s="165">
        <v>0</v>
      </c>
      <c r="V15" s="165">
        <v>0</v>
      </c>
      <c r="W15" s="165">
        <v>0</v>
      </c>
      <c r="X15" s="165">
        <v>0</v>
      </c>
      <c r="Y15" s="165">
        <v>0</v>
      </c>
      <c r="Z15" s="165">
        <f t="shared" si="3"/>
        <v>0</v>
      </c>
      <c r="AA15" s="165">
        <f t="shared" si="3"/>
        <v>0</v>
      </c>
      <c r="AB15" s="165">
        <f t="shared" si="3"/>
        <v>0</v>
      </c>
      <c r="AC15" s="162" t="s">
        <v>896</v>
      </c>
    </row>
    <row r="16" spans="1:29" s="158" customFormat="1" ht="27.75" x14ac:dyDescent="0.4">
      <c r="A16" s="158">
        <v>3</v>
      </c>
      <c r="B16" s="158">
        <v>1</v>
      </c>
      <c r="C16" s="168">
        <v>2</v>
      </c>
      <c r="D16" s="169" t="s">
        <v>1945</v>
      </c>
      <c r="E16" s="165">
        <f t="shared" si="4"/>
        <v>560539.34</v>
      </c>
      <c r="F16" s="170">
        <v>0</v>
      </c>
      <c r="G16" s="170">
        <v>0</v>
      </c>
      <c r="H16" s="170">
        <v>560539.34</v>
      </c>
      <c r="I16" s="170">
        <v>0</v>
      </c>
      <c r="J16" s="170">
        <v>0</v>
      </c>
      <c r="K16" s="170">
        <v>0</v>
      </c>
      <c r="L16" s="169">
        <v>0</v>
      </c>
      <c r="M16" s="170">
        <v>0</v>
      </c>
      <c r="N16" s="170">
        <v>0</v>
      </c>
      <c r="O16" s="170">
        <v>0</v>
      </c>
      <c r="P16" s="170">
        <v>0</v>
      </c>
      <c r="Q16" s="170">
        <v>0</v>
      </c>
      <c r="R16" s="170">
        <v>0</v>
      </c>
      <c r="S16" s="170">
        <v>0</v>
      </c>
      <c r="T16" s="170">
        <v>0</v>
      </c>
      <c r="U16" s="170">
        <v>0</v>
      </c>
      <c r="V16" s="170">
        <v>0</v>
      </c>
      <c r="W16" s="170">
        <v>0</v>
      </c>
      <c r="X16" s="170">
        <v>0</v>
      </c>
      <c r="Y16" s="170">
        <v>0</v>
      </c>
      <c r="Z16" s="170">
        <v>0</v>
      </c>
      <c r="AA16" s="170">
        <v>0</v>
      </c>
      <c r="AB16" s="170">
        <v>0</v>
      </c>
      <c r="AC16" s="168">
        <v>2020</v>
      </c>
    </row>
  </sheetData>
  <mergeCells count="28">
    <mergeCell ref="AC6:AC9"/>
    <mergeCell ref="F7:K7"/>
    <mergeCell ref="L7:M8"/>
    <mergeCell ref="N7:N8"/>
    <mergeCell ref="O7:O8"/>
    <mergeCell ref="P7:P8"/>
    <mergeCell ref="Q7:Q8"/>
    <mergeCell ref="R7:R8"/>
    <mergeCell ref="S7:S8"/>
    <mergeCell ref="T7:T8"/>
    <mergeCell ref="AA7:AA8"/>
    <mergeCell ref="AB7:AB8"/>
    <mergeCell ref="U7:U8"/>
    <mergeCell ref="V7:V8"/>
    <mergeCell ref="W7:W8"/>
    <mergeCell ref="X7:X8"/>
    <mergeCell ref="L1:M1"/>
    <mergeCell ref="AA1:AC1"/>
    <mergeCell ref="Z2:AC2"/>
    <mergeCell ref="AA3:AC3"/>
    <mergeCell ref="C5:AC5"/>
    <mergeCell ref="C6:C9"/>
    <mergeCell ref="D6:D9"/>
    <mergeCell ref="E6:E8"/>
    <mergeCell ref="F6:Q6"/>
    <mergeCell ref="R6:AB6"/>
    <mergeCell ref="Y7:Y8"/>
    <mergeCell ref="Z7:Z8"/>
  </mergeCells>
  <pageMargins left="0" right="0" top="0" bottom="0" header="0" footer="0"/>
  <pageSetup paperSize="9" scale="1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N238"/>
  <sheetViews>
    <sheetView tabSelected="1" topLeftCell="A4" zoomScale="20" zoomScaleNormal="20" workbookViewId="0">
      <pane xSplit="3" ySplit="7" topLeftCell="Q137" activePane="bottomRight" state="frozen"/>
      <selection activeCell="B4" sqref="B4"/>
      <selection pane="topRight" activeCell="D4" sqref="D4"/>
      <selection pane="bottomLeft" activeCell="B11" sqref="B11"/>
      <selection pane="bottomRight" activeCell="A141" sqref="A141:XFD141"/>
    </sheetView>
  </sheetViews>
  <sheetFormatPr defaultRowHeight="15" x14ac:dyDescent="0.25"/>
  <cols>
    <col min="1" max="1" width="9.140625" style="6" hidden="1" customWidth="1"/>
    <col min="2" max="2" width="26.42578125" style="6" customWidth="1"/>
    <col min="3" max="3" width="253.42578125" style="6" customWidth="1"/>
    <col min="4" max="4" width="58.85546875" style="6" customWidth="1"/>
    <col min="5" max="5" width="72.140625" style="6" customWidth="1"/>
    <col min="6" max="6" width="53.5703125" style="6" customWidth="1"/>
    <col min="7" max="9" width="54.28515625" style="6" customWidth="1"/>
    <col min="10" max="10" width="49.28515625" style="6" customWidth="1"/>
    <col min="11" max="11" width="52.85546875" style="6" customWidth="1"/>
    <col min="12" max="12" width="47.85546875" style="6" customWidth="1"/>
    <col min="13" max="13" width="40.140625" style="65" customWidth="1"/>
    <col min="14" max="14" width="44.42578125" style="6" customWidth="1"/>
    <col min="15" max="15" width="43.7109375" style="6" customWidth="1"/>
    <col min="16" max="16" width="58.5703125" style="6" customWidth="1"/>
    <col min="17" max="17" width="41.42578125" style="6" customWidth="1"/>
    <col min="18" max="18" width="42.5703125" style="6" customWidth="1"/>
    <col min="19" max="19" width="43.85546875" style="6" customWidth="1"/>
    <col min="20" max="20" width="60.28515625" style="6" customWidth="1"/>
    <col min="21" max="21" width="35.42578125" style="6" customWidth="1"/>
    <col min="22" max="22" width="49.140625" style="6" customWidth="1"/>
    <col min="23" max="23" width="34.28515625" style="6" customWidth="1"/>
    <col min="24" max="24" width="58" style="6" customWidth="1"/>
    <col min="25" max="25" width="66.28515625" style="6" customWidth="1"/>
    <col min="26" max="26" width="51.85546875" style="6" customWidth="1"/>
    <col min="27" max="27" width="41.42578125" style="6" customWidth="1"/>
    <col min="28" max="28" width="69" style="6" customWidth="1"/>
    <col min="29" max="29" width="96.7109375" style="6" customWidth="1"/>
    <col min="30" max="30" width="55.28515625" style="6" customWidth="1"/>
    <col min="31" max="32" width="51" style="6" customWidth="1"/>
    <col min="33" max="33" width="63.28515625" style="6" customWidth="1"/>
    <col min="34" max="34" width="38.140625" style="6" customWidth="1"/>
    <col min="35" max="35" width="41.7109375" style="6" customWidth="1"/>
    <col min="36" max="36" width="36.7109375" style="6" customWidth="1"/>
    <col min="37" max="16384" width="9.140625" style="6"/>
  </cols>
  <sheetData>
    <row r="1" spans="1:36" ht="90" x14ac:dyDescent="1.1499999999999999">
      <c r="B1" s="378" t="s">
        <v>984</v>
      </c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  <c r="S1" s="378"/>
      <c r="T1" s="378"/>
      <c r="U1" s="378"/>
      <c r="V1" s="378"/>
      <c r="W1" s="378"/>
      <c r="X1" s="378"/>
      <c r="Y1" s="378"/>
      <c r="Z1" s="378"/>
      <c r="AA1" s="378"/>
      <c r="AB1" s="378"/>
      <c r="AC1" s="378"/>
      <c r="AD1" s="378"/>
      <c r="AE1" s="378"/>
      <c r="AF1" s="378"/>
      <c r="AG1" s="378"/>
      <c r="AH1" s="378"/>
      <c r="AI1" s="378"/>
      <c r="AJ1" s="378"/>
    </row>
    <row r="2" spans="1:36" ht="90" x14ac:dyDescent="0.25">
      <c r="B2" s="379" t="s">
        <v>1963</v>
      </c>
      <c r="C2" s="379"/>
      <c r="D2" s="379"/>
      <c r="E2" s="379"/>
      <c r="F2" s="379"/>
      <c r="G2" s="379"/>
      <c r="H2" s="379"/>
      <c r="I2" s="379"/>
      <c r="J2" s="379"/>
      <c r="K2" s="379"/>
      <c r="L2" s="379"/>
      <c r="M2" s="379"/>
      <c r="N2" s="379"/>
      <c r="O2" s="379"/>
      <c r="P2" s="379"/>
      <c r="Q2" s="379"/>
      <c r="R2" s="379"/>
      <c r="S2" s="379"/>
      <c r="T2" s="379"/>
      <c r="U2" s="379"/>
      <c r="V2" s="379"/>
      <c r="W2" s="379"/>
      <c r="X2" s="379"/>
      <c r="Y2" s="379"/>
      <c r="Z2" s="379"/>
      <c r="AA2" s="379"/>
      <c r="AB2" s="379"/>
      <c r="AC2" s="379"/>
      <c r="AD2" s="379"/>
      <c r="AE2" s="379"/>
      <c r="AF2" s="379"/>
      <c r="AG2" s="379"/>
      <c r="AH2" s="379"/>
      <c r="AI2" s="379"/>
      <c r="AJ2" s="379"/>
    </row>
    <row r="3" spans="1:36" ht="76.5" x14ac:dyDescent="1.05">
      <c r="B3" s="61" t="s">
        <v>986</v>
      </c>
      <c r="C3" s="380" t="s">
        <v>1023</v>
      </c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0"/>
      <c r="AD3" s="380"/>
      <c r="AE3" s="380"/>
      <c r="AF3" s="380"/>
      <c r="AG3" s="380"/>
      <c r="AH3" s="380"/>
      <c r="AI3" s="380"/>
      <c r="AJ3" s="380"/>
    </row>
    <row r="4" spans="1:36" ht="76.5" x14ac:dyDescent="0.25">
      <c r="B4" s="61" t="s">
        <v>987</v>
      </c>
      <c r="C4" s="381" t="s">
        <v>1013</v>
      </c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381"/>
      <c r="O4" s="381"/>
      <c r="P4" s="381"/>
      <c r="Q4" s="381"/>
      <c r="R4" s="381"/>
      <c r="S4" s="381"/>
      <c r="T4" s="381"/>
      <c r="U4" s="381"/>
      <c r="V4" s="381"/>
      <c r="W4" s="381"/>
      <c r="X4" s="381"/>
      <c r="Y4" s="381"/>
      <c r="Z4" s="381"/>
      <c r="AA4" s="381"/>
      <c r="AB4" s="381"/>
      <c r="AC4" s="381"/>
      <c r="AD4" s="381"/>
      <c r="AE4" s="381"/>
      <c r="AF4" s="381"/>
      <c r="AG4" s="381"/>
      <c r="AH4" s="381"/>
      <c r="AI4" s="381"/>
      <c r="AJ4" s="381"/>
    </row>
    <row r="5" spans="1:36" ht="45.75" customHeight="1" x14ac:dyDescent="0.25">
      <c r="B5" s="312" t="s">
        <v>6</v>
      </c>
      <c r="C5" s="312" t="s">
        <v>7</v>
      </c>
      <c r="D5" s="382" t="s">
        <v>1014</v>
      </c>
      <c r="E5" s="382" t="s">
        <v>1015</v>
      </c>
      <c r="F5" s="385" t="s">
        <v>8</v>
      </c>
      <c r="G5" s="312" t="s">
        <v>990</v>
      </c>
      <c r="H5" s="312"/>
      <c r="I5" s="312"/>
      <c r="J5" s="312"/>
      <c r="K5" s="312"/>
      <c r="L5" s="312"/>
      <c r="M5" s="312"/>
      <c r="N5" s="312"/>
      <c r="O5" s="312"/>
      <c r="P5" s="312"/>
      <c r="Q5" s="312"/>
      <c r="R5" s="312"/>
      <c r="S5" s="312"/>
      <c r="T5" s="312"/>
      <c r="U5" s="312"/>
      <c r="V5" s="312"/>
      <c r="W5" s="388" t="s">
        <v>9</v>
      </c>
      <c r="X5" s="388"/>
      <c r="Y5" s="388"/>
      <c r="Z5" s="388"/>
      <c r="AA5" s="388"/>
      <c r="AB5" s="388"/>
      <c r="AC5" s="388"/>
      <c r="AD5" s="388"/>
      <c r="AE5" s="388"/>
      <c r="AF5" s="388"/>
      <c r="AG5" s="388"/>
      <c r="AH5" s="389" t="s">
        <v>10</v>
      </c>
      <c r="AI5" s="389" t="s">
        <v>11</v>
      </c>
      <c r="AJ5" s="389" t="s">
        <v>12</v>
      </c>
    </row>
    <row r="6" spans="1:36" ht="45.75" x14ac:dyDescent="0.25">
      <c r="B6" s="312"/>
      <c r="C6" s="312"/>
      <c r="D6" s="383"/>
      <c r="E6" s="383"/>
      <c r="F6" s="386"/>
      <c r="G6" s="312" t="s">
        <v>13</v>
      </c>
      <c r="H6" s="312"/>
      <c r="I6" s="312"/>
      <c r="J6" s="312"/>
      <c r="K6" s="312"/>
      <c r="L6" s="312"/>
      <c r="M6" s="395" t="s">
        <v>14</v>
      </c>
      <c r="N6" s="396"/>
      <c r="O6" s="395" t="s">
        <v>15</v>
      </c>
      <c r="P6" s="396"/>
      <c r="Q6" s="395" t="s">
        <v>16</v>
      </c>
      <c r="R6" s="396"/>
      <c r="S6" s="395" t="s">
        <v>17</v>
      </c>
      <c r="T6" s="396"/>
      <c r="U6" s="395" t="s">
        <v>18</v>
      </c>
      <c r="V6" s="396"/>
      <c r="W6" s="393" t="s">
        <v>19</v>
      </c>
      <c r="X6" s="393" t="s">
        <v>1016</v>
      </c>
      <c r="Y6" s="393" t="s">
        <v>21</v>
      </c>
      <c r="Z6" s="393" t="s">
        <v>22</v>
      </c>
      <c r="AA6" s="393" t="s">
        <v>23</v>
      </c>
      <c r="AB6" s="393" t="s">
        <v>1017</v>
      </c>
      <c r="AC6" s="393" t="s">
        <v>1018</v>
      </c>
      <c r="AD6" s="393" t="s">
        <v>1019</v>
      </c>
      <c r="AE6" s="401" t="s">
        <v>27</v>
      </c>
      <c r="AF6" s="401" t="s">
        <v>28</v>
      </c>
      <c r="AG6" s="401" t="s">
        <v>1020</v>
      </c>
      <c r="AH6" s="390"/>
      <c r="AI6" s="390"/>
      <c r="AJ6" s="390"/>
    </row>
    <row r="7" spans="1:36" ht="303" customHeight="1" x14ac:dyDescent="0.25">
      <c r="B7" s="312"/>
      <c r="C7" s="312"/>
      <c r="D7" s="383"/>
      <c r="E7" s="384"/>
      <c r="F7" s="387"/>
      <c r="G7" s="62" t="s">
        <v>30</v>
      </c>
      <c r="H7" s="62" t="s">
        <v>31</v>
      </c>
      <c r="I7" s="62" t="s">
        <v>32</v>
      </c>
      <c r="J7" s="62" t="s">
        <v>33</v>
      </c>
      <c r="K7" s="62" t="s">
        <v>34</v>
      </c>
      <c r="L7" s="62" t="s">
        <v>35</v>
      </c>
      <c r="M7" s="397"/>
      <c r="N7" s="398"/>
      <c r="O7" s="397"/>
      <c r="P7" s="398"/>
      <c r="Q7" s="397"/>
      <c r="R7" s="398"/>
      <c r="S7" s="397"/>
      <c r="T7" s="398"/>
      <c r="U7" s="397"/>
      <c r="V7" s="398"/>
      <c r="W7" s="394"/>
      <c r="X7" s="394"/>
      <c r="Y7" s="394"/>
      <c r="Z7" s="394"/>
      <c r="AA7" s="394"/>
      <c r="AB7" s="394"/>
      <c r="AC7" s="394"/>
      <c r="AD7" s="394"/>
      <c r="AE7" s="402"/>
      <c r="AF7" s="402"/>
      <c r="AG7" s="402"/>
      <c r="AH7" s="390"/>
      <c r="AI7" s="390"/>
      <c r="AJ7" s="390"/>
    </row>
    <row r="8" spans="1:36" ht="45.75" x14ac:dyDescent="0.25">
      <c r="B8" s="312"/>
      <c r="C8" s="312"/>
      <c r="D8" s="384"/>
      <c r="E8" s="228" t="s">
        <v>1021</v>
      </c>
      <c r="F8" s="227" t="s">
        <v>36</v>
      </c>
      <c r="G8" s="228" t="s">
        <v>36</v>
      </c>
      <c r="H8" s="228" t="s">
        <v>36</v>
      </c>
      <c r="I8" s="228" t="s">
        <v>36</v>
      </c>
      <c r="J8" s="228" t="s">
        <v>36</v>
      </c>
      <c r="K8" s="228" t="s">
        <v>36</v>
      </c>
      <c r="L8" s="228" t="s">
        <v>36</v>
      </c>
      <c r="M8" s="26" t="s">
        <v>37</v>
      </c>
      <c r="N8" s="228" t="s">
        <v>36</v>
      </c>
      <c r="O8" s="228" t="s">
        <v>38</v>
      </c>
      <c r="P8" s="228" t="s">
        <v>36</v>
      </c>
      <c r="Q8" s="228" t="s">
        <v>38</v>
      </c>
      <c r="R8" s="228" t="s">
        <v>36</v>
      </c>
      <c r="S8" s="228" t="s">
        <v>38</v>
      </c>
      <c r="T8" s="228" t="s">
        <v>36</v>
      </c>
      <c r="U8" s="228" t="s">
        <v>39</v>
      </c>
      <c r="V8" s="228" t="s">
        <v>36</v>
      </c>
      <c r="W8" s="228" t="s">
        <v>36</v>
      </c>
      <c r="X8" s="228" t="s">
        <v>36</v>
      </c>
      <c r="Y8" s="228" t="s">
        <v>36</v>
      </c>
      <c r="Z8" s="228" t="s">
        <v>36</v>
      </c>
      <c r="AA8" s="228" t="s">
        <v>36</v>
      </c>
      <c r="AB8" s="228" t="s">
        <v>36</v>
      </c>
      <c r="AC8" s="228" t="s">
        <v>36</v>
      </c>
      <c r="AD8" s="228" t="s">
        <v>36</v>
      </c>
      <c r="AE8" s="228" t="s">
        <v>36</v>
      </c>
      <c r="AF8" s="228" t="s">
        <v>36</v>
      </c>
      <c r="AG8" s="228" t="s">
        <v>36</v>
      </c>
      <c r="AH8" s="391"/>
      <c r="AI8" s="391"/>
      <c r="AJ8" s="391"/>
    </row>
    <row r="9" spans="1:36" ht="45.75" x14ac:dyDescent="0.65">
      <c r="B9" s="229">
        <v>1</v>
      </c>
      <c r="C9" s="229">
        <v>2</v>
      </c>
      <c r="D9" s="229">
        <v>3</v>
      </c>
      <c r="E9" s="229">
        <v>4</v>
      </c>
      <c r="F9" s="229">
        <v>5</v>
      </c>
      <c r="G9" s="229">
        <v>6</v>
      </c>
      <c r="H9" s="229">
        <v>7</v>
      </c>
      <c r="I9" s="229">
        <v>8</v>
      </c>
      <c r="J9" s="229">
        <v>9</v>
      </c>
      <c r="K9" s="229">
        <v>10</v>
      </c>
      <c r="L9" s="229">
        <v>11</v>
      </c>
      <c r="M9" s="63">
        <v>12</v>
      </c>
      <c r="N9" s="229">
        <v>13</v>
      </c>
      <c r="O9" s="229">
        <v>14</v>
      </c>
      <c r="P9" s="229">
        <v>15</v>
      </c>
      <c r="Q9" s="229">
        <v>16</v>
      </c>
      <c r="R9" s="229">
        <v>17</v>
      </c>
      <c r="S9" s="229">
        <v>18</v>
      </c>
      <c r="T9" s="229">
        <v>19</v>
      </c>
      <c r="U9" s="229">
        <v>20</v>
      </c>
      <c r="V9" s="229">
        <v>21</v>
      </c>
      <c r="W9" s="229">
        <v>22</v>
      </c>
      <c r="X9" s="229">
        <v>23</v>
      </c>
      <c r="Y9" s="229">
        <v>24</v>
      </c>
      <c r="Z9" s="229">
        <v>25</v>
      </c>
      <c r="AA9" s="229">
        <v>26</v>
      </c>
      <c r="AB9" s="229">
        <v>27</v>
      </c>
      <c r="AC9" s="229">
        <v>28</v>
      </c>
      <c r="AD9" s="229">
        <v>29</v>
      </c>
      <c r="AE9" s="229">
        <v>30</v>
      </c>
      <c r="AF9" s="229">
        <v>31</v>
      </c>
      <c r="AG9" s="229">
        <v>32</v>
      </c>
      <c r="AH9" s="229">
        <v>33</v>
      </c>
      <c r="AI9" s="229">
        <v>34</v>
      </c>
      <c r="AJ9" s="229">
        <v>35</v>
      </c>
    </row>
    <row r="10" spans="1:36" ht="61.5" x14ac:dyDescent="0.25">
      <c r="B10" s="392" t="s">
        <v>1022</v>
      </c>
      <c r="C10" s="392"/>
      <c r="D10" s="392"/>
      <c r="E10" s="392"/>
      <c r="F10" s="392"/>
      <c r="G10" s="392"/>
      <c r="H10" s="392"/>
      <c r="I10" s="392"/>
      <c r="J10" s="392"/>
      <c r="K10" s="392"/>
      <c r="L10" s="392"/>
      <c r="M10" s="392"/>
      <c r="N10" s="392"/>
      <c r="O10" s="392"/>
      <c r="P10" s="392"/>
      <c r="Q10" s="392"/>
      <c r="R10" s="392"/>
      <c r="S10" s="392"/>
      <c r="T10" s="392"/>
      <c r="U10" s="392"/>
      <c r="V10" s="392"/>
      <c r="W10" s="392"/>
      <c r="X10" s="392"/>
      <c r="Y10" s="392"/>
      <c r="Z10" s="392"/>
      <c r="AA10" s="392"/>
      <c r="AB10" s="392"/>
      <c r="AC10" s="392"/>
      <c r="AD10" s="392"/>
      <c r="AE10" s="392"/>
      <c r="AF10" s="392"/>
      <c r="AG10" s="392"/>
      <c r="AH10" s="392"/>
      <c r="AI10" s="392"/>
      <c r="AJ10" s="392"/>
    </row>
    <row r="11" spans="1:36" s="73" customFormat="1" ht="61.5" x14ac:dyDescent="0.85">
      <c r="B11" s="202" t="s">
        <v>1961</v>
      </c>
      <c r="C11" s="74"/>
      <c r="D11" s="68" t="s">
        <v>896</v>
      </c>
      <c r="E11" s="69">
        <f>AVERAGE(E13:E59)</f>
        <v>1.007232092198582</v>
      </c>
      <c r="F11" s="31">
        <f t="shared" ref="F11:AG11" si="0">F12+F64</f>
        <v>82613019.680000007</v>
      </c>
      <c r="G11" s="31">
        <f t="shared" si="0"/>
        <v>0</v>
      </c>
      <c r="H11" s="31">
        <f t="shared" si="0"/>
        <v>0</v>
      </c>
      <c r="I11" s="31">
        <f t="shared" si="0"/>
        <v>0</v>
      </c>
      <c r="J11" s="31">
        <f t="shared" si="0"/>
        <v>0</v>
      </c>
      <c r="K11" s="31">
        <f t="shared" si="0"/>
        <v>597348</v>
      </c>
      <c r="L11" s="31">
        <f t="shared" si="0"/>
        <v>0</v>
      </c>
      <c r="M11" s="76">
        <f t="shared" si="0"/>
        <v>0</v>
      </c>
      <c r="N11" s="31">
        <f t="shared" si="0"/>
        <v>0</v>
      </c>
      <c r="O11" s="31">
        <f t="shared" si="0"/>
        <v>16038.15</v>
      </c>
      <c r="P11" s="31">
        <f t="shared" si="0"/>
        <v>74146950.040000007</v>
      </c>
      <c r="Q11" s="31">
        <f t="shared" si="0"/>
        <v>0</v>
      </c>
      <c r="R11" s="31">
        <f t="shared" si="0"/>
        <v>0</v>
      </c>
      <c r="S11" s="31">
        <f t="shared" si="0"/>
        <v>1379.5099999999998</v>
      </c>
      <c r="T11" s="31">
        <f t="shared" si="0"/>
        <v>5125367.97</v>
      </c>
      <c r="U11" s="31">
        <f t="shared" si="0"/>
        <v>0</v>
      </c>
      <c r="V11" s="31">
        <f t="shared" si="0"/>
        <v>0</v>
      </c>
      <c r="W11" s="31">
        <f t="shared" si="0"/>
        <v>0</v>
      </c>
      <c r="X11" s="31">
        <f t="shared" si="0"/>
        <v>0</v>
      </c>
      <c r="Y11" s="31">
        <f t="shared" si="0"/>
        <v>0</v>
      </c>
      <c r="Z11" s="31">
        <f t="shared" si="0"/>
        <v>0</v>
      </c>
      <c r="AA11" s="31">
        <f t="shared" si="0"/>
        <v>0</v>
      </c>
      <c r="AB11" s="31">
        <f t="shared" si="0"/>
        <v>0</v>
      </c>
      <c r="AC11" s="31">
        <f t="shared" si="0"/>
        <v>0</v>
      </c>
      <c r="AD11" s="31">
        <f t="shared" si="0"/>
        <v>0</v>
      </c>
      <c r="AE11" s="31">
        <f t="shared" si="0"/>
        <v>1038925.73</v>
      </c>
      <c r="AF11" s="31">
        <f t="shared" si="0"/>
        <v>1879449.64</v>
      </c>
      <c r="AG11" s="31">
        <f t="shared" si="0"/>
        <v>0</v>
      </c>
      <c r="AH11" s="35" t="s">
        <v>896</v>
      </c>
      <c r="AI11" s="35" t="s">
        <v>896</v>
      </c>
      <c r="AJ11" s="35" t="s">
        <v>896</v>
      </c>
    </row>
    <row r="12" spans="1:36" s="73" customFormat="1" ht="61.5" x14ac:dyDescent="0.85">
      <c r="B12" s="202" t="s">
        <v>1677</v>
      </c>
      <c r="C12" s="74"/>
      <c r="D12" s="68" t="s">
        <v>896</v>
      </c>
      <c r="E12" s="69">
        <f>AVERAGE(E14:E60)</f>
        <v>1.0073227704202374</v>
      </c>
      <c r="F12" s="31">
        <f t="shared" ref="F12:AG12" si="1">F13+F15+F24+F26+F28+F30+F33+F36+F40+F42+F44+F48+F50+F52+F54+F58+F60+F62</f>
        <v>52629409.420000009</v>
      </c>
      <c r="G12" s="31">
        <f t="shared" si="1"/>
        <v>0</v>
      </c>
      <c r="H12" s="31">
        <f t="shared" si="1"/>
        <v>0</v>
      </c>
      <c r="I12" s="31">
        <f t="shared" si="1"/>
        <v>0</v>
      </c>
      <c r="J12" s="31">
        <f t="shared" si="1"/>
        <v>0</v>
      </c>
      <c r="K12" s="31">
        <f t="shared" si="1"/>
        <v>597348</v>
      </c>
      <c r="L12" s="31">
        <f t="shared" si="1"/>
        <v>0</v>
      </c>
      <c r="M12" s="76">
        <f t="shared" si="1"/>
        <v>0</v>
      </c>
      <c r="N12" s="31">
        <f t="shared" si="1"/>
        <v>0</v>
      </c>
      <c r="O12" s="31">
        <f t="shared" si="1"/>
        <v>10786.31</v>
      </c>
      <c r="P12" s="31">
        <f t="shared" si="1"/>
        <v>47458730.530000009</v>
      </c>
      <c r="Q12" s="31">
        <f t="shared" si="1"/>
        <v>0</v>
      </c>
      <c r="R12" s="31">
        <f t="shared" si="1"/>
        <v>0</v>
      </c>
      <c r="S12" s="31">
        <f t="shared" si="1"/>
        <v>857.57999999999993</v>
      </c>
      <c r="T12" s="31">
        <f t="shared" si="1"/>
        <v>2568651.2599999998</v>
      </c>
      <c r="U12" s="31">
        <f t="shared" si="1"/>
        <v>0</v>
      </c>
      <c r="V12" s="31">
        <f t="shared" si="1"/>
        <v>0</v>
      </c>
      <c r="W12" s="31">
        <f t="shared" si="1"/>
        <v>0</v>
      </c>
      <c r="X12" s="31">
        <f t="shared" si="1"/>
        <v>0</v>
      </c>
      <c r="Y12" s="31">
        <f t="shared" si="1"/>
        <v>0</v>
      </c>
      <c r="Z12" s="31">
        <f t="shared" si="1"/>
        <v>0</v>
      </c>
      <c r="AA12" s="31">
        <f t="shared" si="1"/>
        <v>0</v>
      </c>
      <c r="AB12" s="31">
        <f t="shared" si="1"/>
        <v>0</v>
      </c>
      <c r="AC12" s="31">
        <f t="shared" si="1"/>
        <v>0</v>
      </c>
      <c r="AD12" s="31">
        <f t="shared" si="1"/>
        <v>0</v>
      </c>
      <c r="AE12" s="31">
        <f t="shared" si="1"/>
        <v>600251.69000000006</v>
      </c>
      <c r="AF12" s="31">
        <f t="shared" si="1"/>
        <v>1579449.64</v>
      </c>
      <c r="AG12" s="31">
        <f t="shared" si="1"/>
        <v>0</v>
      </c>
      <c r="AH12" s="35" t="s">
        <v>896</v>
      </c>
      <c r="AI12" s="35" t="s">
        <v>896</v>
      </c>
      <c r="AJ12" s="35" t="s">
        <v>896</v>
      </c>
    </row>
    <row r="13" spans="1:36" s="20" customFormat="1" ht="61.5" x14ac:dyDescent="0.85">
      <c r="B13" s="70" t="s">
        <v>821</v>
      </c>
      <c r="C13" s="24"/>
      <c r="D13" s="68" t="s">
        <v>896</v>
      </c>
      <c r="E13" s="69">
        <f>AVERAGE(E14:E14)</f>
        <v>1.0055000000000001</v>
      </c>
      <c r="F13" s="31">
        <f>F14</f>
        <v>2142518.84</v>
      </c>
      <c r="G13" s="31">
        <f t="shared" ref="G13:AG13" si="2">G14</f>
        <v>0</v>
      </c>
      <c r="H13" s="31">
        <f t="shared" si="2"/>
        <v>0</v>
      </c>
      <c r="I13" s="31">
        <f t="shared" si="2"/>
        <v>0</v>
      </c>
      <c r="J13" s="31">
        <f t="shared" si="2"/>
        <v>0</v>
      </c>
      <c r="K13" s="31">
        <f t="shared" si="2"/>
        <v>0</v>
      </c>
      <c r="L13" s="31">
        <f t="shared" si="2"/>
        <v>0</v>
      </c>
      <c r="M13" s="76">
        <f t="shared" si="2"/>
        <v>0</v>
      </c>
      <c r="N13" s="31">
        <f t="shared" si="2"/>
        <v>0</v>
      </c>
      <c r="O13" s="31">
        <f t="shared" si="2"/>
        <v>521</v>
      </c>
      <c r="P13" s="31">
        <v>2285877.7000000002</v>
      </c>
      <c r="Q13" s="31">
        <f t="shared" si="2"/>
        <v>0</v>
      </c>
      <c r="R13" s="31">
        <f t="shared" si="2"/>
        <v>0</v>
      </c>
      <c r="S13" s="31">
        <f t="shared" si="2"/>
        <v>0</v>
      </c>
      <c r="T13" s="31">
        <f t="shared" si="2"/>
        <v>0</v>
      </c>
      <c r="U13" s="31">
        <f t="shared" si="2"/>
        <v>0</v>
      </c>
      <c r="V13" s="31">
        <f t="shared" si="2"/>
        <v>0</v>
      </c>
      <c r="W13" s="31">
        <f t="shared" si="2"/>
        <v>0</v>
      </c>
      <c r="X13" s="31">
        <f t="shared" si="2"/>
        <v>0</v>
      </c>
      <c r="Y13" s="31">
        <f t="shared" si="2"/>
        <v>0</v>
      </c>
      <c r="Z13" s="31">
        <f t="shared" si="2"/>
        <v>0</v>
      </c>
      <c r="AA13" s="31">
        <f t="shared" si="2"/>
        <v>0</v>
      </c>
      <c r="AB13" s="31">
        <f t="shared" si="2"/>
        <v>0</v>
      </c>
      <c r="AC13" s="31">
        <f t="shared" si="2"/>
        <v>0</v>
      </c>
      <c r="AD13" s="31">
        <f t="shared" si="2"/>
        <v>0</v>
      </c>
      <c r="AE13" s="67">
        <f t="shared" si="2"/>
        <v>31662.84</v>
      </c>
      <c r="AF13" s="67">
        <f t="shared" si="2"/>
        <v>0</v>
      </c>
      <c r="AG13" s="31">
        <f t="shared" si="2"/>
        <v>0</v>
      </c>
      <c r="AH13" s="35" t="s">
        <v>896</v>
      </c>
      <c r="AI13" s="35" t="s">
        <v>896</v>
      </c>
      <c r="AJ13" s="35" t="s">
        <v>896</v>
      </c>
    </row>
    <row r="14" spans="1:36" s="20" customFormat="1" ht="61.5" x14ac:dyDescent="0.85">
      <c r="A14" s="20">
        <v>1</v>
      </c>
      <c r="B14" s="66">
        <f>SUBTOTAL(103,$A14:A$14)</f>
        <v>1</v>
      </c>
      <c r="C14" s="24" t="s">
        <v>1024</v>
      </c>
      <c r="D14" s="68" t="s">
        <v>1043</v>
      </c>
      <c r="E14" s="69">
        <v>1.0055000000000001</v>
      </c>
      <c r="F14" s="31">
        <f>G14+H14+I14+J14+K14+L14+N14+P14+R14+T14+V14+W14+X14+Y14+Z14+AA14+AB14+AC14+AD14+AE14+AF14+AG14</f>
        <v>2142518.84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76">
        <v>0</v>
      </c>
      <c r="N14" s="31">
        <v>0</v>
      </c>
      <c r="O14" s="39">
        <v>521</v>
      </c>
      <c r="P14" s="39">
        <v>2110856</v>
      </c>
      <c r="Q14" s="31">
        <v>0</v>
      </c>
      <c r="R14" s="31">
        <v>0</v>
      </c>
      <c r="S14" s="31">
        <v>0</v>
      </c>
      <c r="T14" s="31">
        <v>0</v>
      </c>
      <c r="U14" s="31">
        <v>0</v>
      </c>
      <c r="V14" s="31">
        <v>0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0</v>
      </c>
      <c r="AD14" s="31">
        <v>0</v>
      </c>
      <c r="AE14" s="67">
        <f>ROUND(P14*1.5%,2)</f>
        <v>31662.84</v>
      </c>
      <c r="AF14" s="67">
        <v>0</v>
      </c>
      <c r="AG14" s="67">
        <v>0</v>
      </c>
      <c r="AH14" s="35" t="s">
        <v>270</v>
      </c>
      <c r="AI14" s="35">
        <v>2020</v>
      </c>
      <c r="AJ14" s="35">
        <v>2020</v>
      </c>
    </row>
    <row r="15" spans="1:36" s="20" customFormat="1" ht="61.5" x14ac:dyDescent="0.85">
      <c r="B15" s="70" t="s">
        <v>1051</v>
      </c>
      <c r="C15" s="24"/>
      <c r="D15" s="68" t="s">
        <v>896</v>
      </c>
      <c r="E15" s="69">
        <f>AVERAGE(E16:E23)</f>
        <v>1.0039750000000001</v>
      </c>
      <c r="F15" s="31">
        <f t="shared" ref="F15:AG15" si="3">SUM(F16:F23)</f>
        <v>15237100.34</v>
      </c>
      <c r="G15" s="31">
        <f t="shared" si="3"/>
        <v>0</v>
      </c>
      <c r="H15" s="31">
        <f t="shared" si="3"/>
        <v>0</v>
      </c>
      <c r="I15" s="31">
        <f t="shared" si="3"/>
        <v>0</v>
      </c>
      <c r="J15" s="31">
        <f t="shared" si="3"/>
        <v>0</v>
      </c>
      <c r="K15" s="31">
        <f t="shared" si="3"/>
        <v>0</v>
      </c>
      <c r="L15" s="31">
        <f t="shared" si="3"/>
        <v>0</v>
      </c>
      <c r="M15" s="76">
        <f t="shared" si="3"/>
        <v>0</v>
      </c>
      <c r="N15" s="31">
        <f t="shared" si="3"/>
        <v>0</v>
      </c>
      <c r="O15" s="31">
        <f t="shared" si="3"/>
        <v>3000.6</v>
      </c>
      <c r="P15" s="31">
        <f t="shared" si="3"/>
        <v>13884905.49</v>
      </c>
      <c r="Q15" s="31">
        <f t="shared" si="3"/>
        <v>0</v>
      </c>
      <c r="R15" s="31">
        <f t="shared" si="3"/>
        <v>0</v>
      </c>
      <c r="S15" s="31">
        <f t="shared" si="3"/>
        <v>419</v>
      </c>
      <c r="T15" s="31">
        <f t="shared" si="3"/>
        <v>981934.24</v>
      </c>
      <c r="U15" s="31">
        <f t="shared" si="3"/>
        <v>0</v>
      </c>
      <c r="V15" s="31">
        <f t="shared" si="3"/>
        <v>0</v>
      </c>
      <c r="W15" s="31">
        <f t="shared" si="3"/>
        <v>0</v>
      </c>
      <c r="X15" s="31">
        <f t="shared" si="3"/>
        <v>0</v>
      </c>
      <c r="Y15" s="31">
        <f t="shared" si="3"/>
        <v>0</v>
      </c>
      <c r="Z15" s="31">
        <f t="shared" si="3"/>
        <v>0</v>
      </c>
      <c r="AA15" s="31">
        <f t="shared" si="3"/>
        <v>0</v>
      </c>
      <c r="AB15" s="31">
        <f t="shared" si="3"/>
        <v>0</v>
      </c>
      <c r="AC15" s="31">
        <f t="shared" si="3"/>
        <v>0</v>
      </c>
      <c r="AD15" s="31">
        <f t="shared" si="3"/>
        <v>0</v>
      </c>
      <c r="AE15" s="31">
        <f t="shared" si="3"/>
        <v>214470.15</v>
      </c>
      <c r="AF15" s="31">
        <f t="shared" si="3"/>
        <v>155790.46000000002</v>
      </c>
      <c r="AG15" s="31">
        <f t="shared" si="3"/>
        <v>0</v>
      </c>
      <c r="AH15" s="35" t="s">
        <v>896</v>
      </c>
      <c r="AI15" s="35" t="s">
        <v>896</v>
      </c>
      <c r="AJ15" s="35" t="s">
        <v>896</v>
      </c>
    </row>
    <row r="16" spans="1:36" s="20" customFormat="1" ht="61.5" x14ac:dyDescent="0.85">
      <c r="A16" s="20">
        <v>1</v>
      </c>
      <c r="B16" s="66">
        <f>SUBTOTAL(103,$A$14:A16)</f>
        <v>2</v>
      </c>
      <c r="C16" s="24" t="s">
        <v>1025</v>
      </c>
      <c r="D16" s="68" t="s">
        <v>1044</v>
      </c>
      <c r="E16" s="69">
        <v>1.0047999999999999</v>
      </c>
      <c r="F16" s="31">
        <f t="shared" ref="F16:F63" si="4">G16+H16+I16+J16+K16+L16+N16+P16+R16+T16+V16+W16+X16+Y16+Z16+AA16+AB16+AC16+AD16+AE16+AF16+AG16</f>
        <v>6213014.2000000002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76">
        <v>0</v>
      </c>
      <c r="N16" s="31">
        <v>0</v>
      </c>
      <c r="O16" s="31">
        <v>1441</v>
      </c>
      <c r="P16" s="281">
        <v>6128441.7000000002</v>
      </c>
      <c r="Q16" s="31">
        <v>0</v>
      </c>
      <c r="R16" s="31">
        <v>0</v>
      </c>
      <c r="S16" s="31">
        <v>0</v>
      </c>
      <c r="T16" s="31">
        <v>0</v>
      </c>
      <c r="U16" s="31">
        <v>0</v>
      </c>
      <c r="V16" s="31">
        <v>0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0</v>
      </c>
      <c r="AD16" s="31">
        <v>0</v>
      </c>
      <c r="AE16" s="282">
        <v>84572.5</v>
      </c>
      <c r="AF16" s="67">
        <v>0</v>
      </c>
      <c r="AG16" s="67">
        <v>0</v>
      </c>
      <c r="AH16" s="35" t="s">
        <v>270</v>
      </c>
      <c r="AI16" s="35">
        <v>2020</v>
      </c>
      <c r="AJ16" s="35">
        <v>2020</v>
      </c>
    </row>
    <row r="17" spans="1:36" s="20" customFormat="1" ht="61.5" x14ac:dyDescent="0.85">
      <c r="A17" s="20">
        <v>1</v>
      </c>
      <c r="B17" s="66">
        <f>SUBTOTAL(103,$A$14:A17)</f>
        <v>3</v>
      </c>
      <c r="C17" s="24" t="s">
        <v>1026</v>
      </c>
      <c r="D17" s="68" t="s">
        <v>1043</v>
      </c>
      <c r="E17" s="69">
        <v>1</v>
      </c>
      <c r="F17" s="31">
        <f t="shared" si="4"/>
        <v>987000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76">
        <v>0</v>
      </c>
      <c r="N17" s="31">
        <v>0</v>
      </c>
      <c r="O17" s="31">
        <v>240</v>
      </c>
      <c r="P17" s="31">
        <v>972413.79</v>
      </c>
      <c r="Q17" s="31">
        <v>0</v>
      </c>
      <c r="R17" s="31">
        <v>0</v>
      </c>
      <c r="S17" s="31">
        <v>0</v>
      </c>
      <c r="T17" s="31">
        <v>0</v>
      </c>
      <c r="U17" s="31">
        <v>0</v>
      </c>
      <c r="V17" s="31">
        <v>0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0</v>
      </c>
      <c r="AD17" s="31">
        <v>0</v>
      </c>
      <c r="AE17" s="67">
        <f>ROUND(P17*1.5%,2)</f>
        <v>14586.21</v>
      </c>
      <c r="AF17" s="67">
        <v>0</v>
      </c>
      <c r="AG17" s="67">
        <v>0</v>
      </c>
      <c r="AH17" s="35" t="s">
        <v>270</v>
      </c>
      <c r="AI17" s="35">
        <v>2020</v>
      </c>
      <c r="AJ17" s="35">
        <v>2020</v>
      </c>
    </row>
    <row r="18" spans="1:36" s="20" customFormat="1" ht="61.5" x14ac:dyDescent="0.85">
      <c r="A18" s="20">
        <v>1</v>
      </c>
      <c r="B18" s="66">
        <f>SUBTOTAL(103,$A$14:A18)</f>
        <v>4</v>
      </c>
      <c r="C18" s="24" t="s">
        <v>1027</v>
      </c>
      <c r="D18" s="68" t="s">
        <v>1045</v>
      </c>
      <c r="E18" s="69">
        <v>1.0003</v>
      </c>
      <c r="F18" s="31">
        <f t="shared" si="4"/>
        <v>61989.62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76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  <c r="U18" s="31">
        <v>0</v>
      </c>
      <c r="V18" s="31">
        <v>0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0</v>
      </c>
      <c r="AD18" s="31">
        <v>0</v>
      </c>
      <c r="AE18" s="67">
        <f>ROUND(P18*1.5%,2)</f>
        <v>0</v>
      </c>
      <c r="AF18" s="203">
        <v>61989.62</v>
      </c>
      <c r="AG18" s="67">
        <v>0</v>
      </c>
      <c r="AH18" s="35">
        <v>2020</v>
      </c>
      <c r="AI18" s="35" t="s">
        <v>270</v>
      </c>
      <c r="AJ18" s="35" t="s">
        <v>270</v>
      </c>
    </row>
    <row r="19" spans="1:36" s="20" customFormat="1" ht="61.5" x14ac:dyDescent="0.85">
      <c r="A19" s="20">
        <v>1</v>
      </c>
      <c r="B19" s="66">
        <f>SUBTOTAL(103,$A$14:A19)</f>
        <v>5</v>
      </c>
      <c r="C19" s="24" t="s">
        <v>1040</v>
      </c>
      <c r="D19" s="68" t="s">
        <v>1044</v>
      </c>
      <c r="E19" s="69">
        <v>1.0178</v>
      </c>
      <c r="F19" s="31">
        <f t="shared" si="4"/>
        <v>995484.92999999993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76">
        <v>0</v>
      </c>
      <c r="N19" s="31">
        <v>0</v>
      </c>
      <c r="O19" s="31">
        <v>0</v>
      </c>
      <c r="P19" s="31">
        <v>0</v>
      </c>
      <c r="Q19" s="31">
        <v>0</v>
      </c>
      <c r="R19" s="31">
        <v>0</v>
      </c>
      <c r="S19" s="39">
        <v>419</v>
      </c>
      <c r="T19" s="39">
        <v>981934.24</v>
      </c>
      <c r="U19" s="31">
        <v>0</v>
      </c>
      <c r="V19" s="31">
        <v>0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0</v>
      </c>
      <c r="AD19" s="31">
        <v>0</v>
      </c>
      <c r="AE19" s="39">
        <v>13550.69</v>
      </c>
      <c r="AF19" s="67">
        <v>0</v>
      </c>
      <c r="AG19" s="67">
        <v>0</v>
      </c>
      <c r="AH19" s="35" t="s">
        <v>270</v>
      </c>
      <c r="AI19" s="35">
        <v>2020</v>
      </c>
      <c r="AJ19" s="35">
        <v>2020</v>
      </c>
    </row>
    <row r="20" spans="1:36" s="20" customFormat="1" ht="61.5" x14ac:dyDescent="0.85">
      <c r="A20" s="20">
        <v>1</v>
      </c>
      <c r="B20" s="66">
        <f>SUBTOTAL(103,$A$14:A20)</f>
        <v>6</v>
      </c>
      <c r="C20" s="24" t="s">
        <v>1083</v>
      </c>
      <c r="D20" s="68" t="s">
        <v>1046</v>
      </c>
      <c r="E20" s="69">
        <v>1</v>
      </c>
      <c r="F20" s="31">
        <f t="shared" si="4"/>
        <v>5363310.75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76">
        <v>0</v>
      </c>
      <c r="N20" s="31">
        <v>0</v>
      </c>
      <c r="O20" s="31">
        <v>1019.2</v>
      </c>
      <c r="P20" s="31">
        <v>5284050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67">
        <f>ROUND(P20*1.5%,2)</f>
        <v>79260.75</v>
      </c>
      <c r="AF20" s="67">
        <v>0</v>
      </c>
      <c r="AG20" s="67">
        <v>0</v>
      </c>
      <c r="AH20" s="35" t="s">
        <v>270</v>
      </c>
      <c r="AI20" s="35">
        <v>2020</v>
      </c>
      <c r="AJ20" s="35">
        <v>2020</v>
      </c>
    </row>
    <row r="21" spans="1:36" s="20" customFormat="1" ht="61.5" x14ac:dyDescent="0.85">
      <c r="A21" s="20">
        <v>1</v>
      </c>
      <c r="B21" s="66">
        <f>SUBTOTAL(103,$A$14:A21)</f>
        <v>7</v>
      </c>
      <c r="C21" s="24" t="s">
        <v>1091</v>
      </c>
      <c r="D21" s="68" t="s">
        <v>1044</v>
      </c>
      <c r="E21" s="69">
        <v>1.0053000000000001</v>
      </c>
      <c r="F21" s="31">
        <f t="shared" si="4"/>
        <v>50283.37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76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67">
        <f>ROUND(P21*1.5%,2)</f>
        <v>0</v>
      </c>
      <c r="AF21" s="203">
        <v>50283.37</v>
      </c>
      <c r="AG21" s="67">
        <v>0</v>
      </c>
      <c r="AH21" s="35">
        <v>2020</v>
      </c>
      <c r="AI21" s="35" t="s">
        <v>270</v>
      </c>
      <c r="AJ21" s="35" t="s">
        <v>270</v>
      </c>
    </row>
    <row r="22" spans="1:36" s="20" customFormat="1" ht="61.5" x14ac:dyDescent="0.85">
      <c r="A22" s="20">
        <v>1</v>
      </c>
      <c r="B22" s="66">
        <f>SUBTOTAL(103,$A$14:A22)</f>
        <v>8</v>
      </c>
      <c r="C22" s="24" t="s">
        <v>1406</v>
      </c>
      <c r="D22" s="68" t="s">
        <v>1044</v>
      </c>
      <c r="E22" s="69">
        <v>1.0036</v>
      </c>
      <c r="F22" s="31">
        <f t="shared" ref="F22" si="5">G22+H22+I22+J22+K22+L22+N22+P22+R22+T22+V22+W22+X22+Y22+Z22+AA22+AB22+AC22+AD22+AE22+AF22+AG22</f>
        <v>43517.47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76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0</v>
      </c>
      <c r="AE22" s="67">
        <f>ROUND(P22*1.5%,2)</f>
        <v>0</v>
      </c>
      <c r="AF22" s="203">
        <v>43517.47</v>
      </c>
      <c r="AG22" s="67">
        <v>0</v>
      </c>
      <c r="AH22" s="35">
        <v>2020</v>
      </c>
      <c r="AI22" s="35" t="s">
        <v>270</v>
      </c>
      <c r="AJ22" s="35" t="s">
        <v>270</v>
      </c>
    </row>
    <row r="23" spans="1:36" s="20" customFormat="1" ht="61.5" x14ac:dyDescent="0.85">
      <c r="A23" s="20">
        <v>1</v>
      </c>
      <c r="B23" s="66">
        <f>SUBTOTAL(103,$A$14:A23)</f>
        <v>9</v>
      </c>
      <c r="C23" s="24" t="s">
        <v>1735</v>
      </c>
      <c r="D23" s="68" t="s">
        <v>1045</v>
      </c>
      <c r="E23" s="69">
        <v>1</v>
      </c>
      <c r="F23" s="31">
        <f t="shared" si="4"/>
        <v>1522500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76">
        <v>0</v>
      </c>
      <c r="N23" s="31">
        <v>0</v>
      </c>
      <c r="O23" s="31">
        <v>300.39999999999998</v>
      </c>
      <c r="P23" s="31">
        <v>1500000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0</v>
      </c>
      <c r="AD23" s="31">
        <v>0</v>
      </c>
      <c r="AE23" s="67">
        <f>ROUND(P23*1.5%,2)</f>
        <v>22500</v>
      </c>
      <c r="AF23" s="123">
        <v>0</v>
      </c>
      <c r="AG23" s="67">
        <v>0</v>
      </c>
      <c r="AH23" s="35" t="s">
        <v>270</v>
      </c>
      <c r="AI23" s="35">
        <v>2020</v>
      </c>
      <c r="AJ23" s="35">
        <v>2020</v>
      </c>
    </row>
    <row r="24" spans="1:36" s="20" customFormat="1" ht="61.5" x14ac:dyDescent="0.85">
      <c r="B24" s="70" t="s">
        <v>825</v>
      </c>
      <c r="C24" s="24"/>
      <c r="D24" s="68" t="s">
        <v>896</v>
      </c>
      <c r="E24" s="69">
        <f>AVERAGE(E25)</f>
        <v>1.0267999999999999</v>
      </c>
      <c r="F24" s="31">
        <f>F25</f>
        <v>2196540.5</v>
      </c>
      <c r="G24" s="31">
        <f t="shared" ref="G24:AG24" si="6">G25</f>
        <v>0</v>
      </c>
      <c r="H24" s="31">
        <f t="shared" si="6"/>
        <v>0</v>
      </c>
      <c r="I24" s="31">
        <f t="shared" si="6"/>
        <v>0</v>
      </c>
      <c r="J24" s="31">
        <f t="shared" si="6"/>
        <v>0</v>
      </c>
      <c r="K24" s="31">
        <f t="shared" si="6"/>
        <v>0</v>
      </c>
      <c r="L24" s="31">
        <f t="shared" si="6"/>
        <v>0</v>
      </c>
      <c r="M24" s="76">
        <f t="shared" si="6"/>
        <v>0</v>
      </c>
      <c r="N24" s="31">
        <f t="shared" si="6"/>
        <v>0</v>
      </c>
      <c r="O24" s="31">
        <f t="shared" si="6"/>
        <v>386.8</v>
      </c>
      <c r="P24" s="31">
        <f t="shared" si="6"/>
        <v>2085233.76</v>
      </c>
      <c r="Q24" s="31">
        <f t="shared" si="6"/>
        <v>0</v>
      </c>
      <c r="R24" s="31">
        <f t="shared" si="6"/>
        <v>0</v>
      </c>
      <c r="S24" s="31">
        <f t="shared" si="6"/>
        <v>0</v>
      </c>
      <c r="T24" s="31">
        <f t="shared" si="6"/>
        <v>0</v>
      </c>
      <c r="U24" s="31">
        <f t="shared" si="6"/>
        <v>0</v>
      </c>
      <c r="V24" s="31">
        <f t="shared" si="6"/>
        <v>0</v>
      </c>
      <c r="W24" s="31">
        <f t="shared" si="6"/>
        <v>0</v>
      </c>
      <c r="X24" s="31">
        <f t="shared" si="6"/>
        <v>0</v>
      </c>
      <c r="Y24" s="31">
        <f t="shared" si="6"/>
        <v>0</v>
      </c>
      <c r="Z24" s="31">
        <f t="shared" si="6"/>
        <v>0</v>
      </c>
      <c r="AA24" s="31">
        <f t="shared" si="6"/>
        <v>0</v>
      </c>
      <c r="AB24" s="31">
        <f t="shared" si="6"/>
        <v>0</v>
      </c>
      <c r="AC24" s="31">
        <f t="shared" si="6"/>
        <v>0</v>
      </c>
      <c r="AD24" s="31">
        <f t="shared" si="6"/>
        <v>0</v>
      </c>
      <c r="AE24" s="67">
        <f t="shared" si="6"/>
        <v>31278.51</v>
      </c>
      <c r="AF24" s="67">
        <f t="shared" si="6"/>
        <v>80028.23</v>
      </c>
      <c r="AG24" s="31">
        <f t="shared" si="6"/>
        <v>0</v>
      </c>
      <c r="AH24" s="35" t="s">
        <v>896</v>
      </c>
      <c r="AI24" s="35" t="s">
        <v>896</v>
      </c>
      <c r="AJ24" s="35" t="s">
        <v>896</v>
      </c>
    </row>
    <row r="25" spans="1:36" s="20" customFormat="1" ht="61.5" x14ac:dyDescent="0.85">
      <c r="A25" s="20">
        <v>1</v>
      </c>
      <c r="B25" s="66">
        <f>SUBTOTAL(103,$A$14:A25)</f>
        <v>10</v>
      </c>
      <c r="C25" s="24" t="s">
        <v>681</v>
      </c>
      <c r="D25" s="68" t="s">
        <v>1046</v>
      </c>
      <c r="E25" s="69">
        <v>1.0267999999999999</v>
      </c>
      <c r="F25" s="31">
        <f t="shared" si="4"/>
        <v>2196540.5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76">
        <v>0</v>
      </c>
      <c r="N25" s="31">
        <v>0</v>
      </c>
      <c r="O25" s="31">
        <v>386.8</v>
      </c>
      <c r="P25" s="31">
        <v>2085233.76</v>
      </c>
      <c r="Q25" s="31">
        <v>0</v>
      </c>
      <c r="R25" s="31">
        <v>0</v>
      </c>
      <c r="S25" s="31">
        <v>0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67">
        <f>ROUND(P25*1.5%,2)</f>
        <v>31278.51</v>
      </c>
      <c r="AF25" s="203">
        <v>80028.23</v>
      </c>
      <c r="AG25" s="31">
        <v>0</v>
      </c>
      <c r="AH25" s="35">
        <v>2020</v>
      </c>
      <c r="AI25" s="35">
        <v>2020</v>
      </c>
      <c r="AJ25" s="35">
        <v>2020</v>
      </c>
    </row>
    <row r="26" spans="1:36" s="20" customFormat="1" ht="61.5" x14ac:dyDescent="0.85">
      <c r="B26" s="70" t="s">
        <v>829</v>
      </c>
      <c r="C26" s="24"/>
      <c r="D26" s="68" t="s">
        <v>896</v>
      </c>
      <c r="E26" s="69">
        <f>AVERAGE(E27)</f>
        <v>1</v>
      </c>
      <c r="F26" s="31">
        <f>F27</f>
        <v>6235729.1299999999</v>
      </c>
      <c r="G26" s="31">
        <f t="shared" ref="G26:AG26" si="7">G27</f>
        <v>0</v>
      </c>
      <c r="H26" s="31">
        <f t="shared" si="7"/>
        <v>0</v>
      </c>
      <c r="I26" s="31">
        <f t="shared" si="7"/>
        <v>0</v>
      </c>
      <c r="J26" s="31">
        <f t="shared" si="7"/>
        <v>0</v>
      </c>
      <c r="K26" s="31">
        <f t="shared" si="7"/>
        <v>0</v>
      </c>
      <c r="L26" s="31">
        <f t="shared" si="7"/>
        <v>0</v>
      </c>
      <c r="M26" s="76">
        <f t="shared" si="7"/>
        <v>0</v>
      </c>
      <c r="N26" s="31">
        <f t="shared" si="7"/>
        <v>0</v>
      </c>
      <c r="O26" s="31">
        <f t="shared" si="7"/>
        <v>1080.5999999999999</v>
      </c>
      <c r="P26" s="31">
        <f t="shared" si="7"/>
        <v>6143575.5</v>
      </c>
      <c r="Q26" s="31">
        <f t="shared" si="7"/>
        <v>0</v>
      </c>
      <c r="R26" s="31">
        <f t="shared" si="7"/>
        <v>0</v>
      </c>
      <c r="S26" s="31">
        <f t="shared" si="7"/>
        <v>0</v>
      </c>
      <c r="T26" s="31">
        <f t="shared" si="7"/>
        <v>0</v>
      </c>
      <c r="U26" s="31">
        <f t="shared" si="7"/>
        <v>0</v>
      </c>
      <c r="V26" s="31">
        <f t="shared" si="7"/>
        <v>0</v>
      </c>
      <c r="W26" s="31">
        <f t="shared" si="7"/>
        <v>0</v>
      </c>
      <c r="X26" s="31">
        <f t="shared" si="7"/>
        <v>0</v>
      </c>
      <c r="Y26" s="31">
        <f t="shared" si="7"/>
        <v>0</v>
      </c>
      <c r="Z26" s="31">
        <f t="shared" si="7"/>
        <v>0</v>
      </c>
      <c r="AA26" s="31">
        <f t="shared" si="7"/>
        <v>0</v>
      </c>
      <c r="AB26" s="31">
        <f t="shared" si="7"/>
        <v>0</v>
      </c>
      <c r="AC26" s="31">
        <f t="shared" si="7"/>
        <v>0</v>
      </c>
      <c r="AD26" s="31">
        <f t="shared" si="7"/>
        <v>0</v>
      </c>
      <c r="AE26" s="67">
        <f t="shared" si="7"/>
        <v>92153.63</v>
      </c>
      <c r="AF26" s="67">
        <f t="shared" si="7"/>
        <v>0</v>
      </c>
      <c r="AG26" s="31">
        <f t="shared" si="7"/>
        <v>0</v>
      </c>
      <c r="AH26" s="35" t="s">
        <v>896</v>
      </c>
      <c r="AI26" s="35" t="s">
        <v>896</v>
      </c>
      <c r="AJ26" s="35" t="s">
        <v>896</v>
      </c>
    </row>
    <row r="27" spans="1:36" s="20" customFormat="1" ht="61.5" x14ac:dyDescent="0.85">
      <c r="A27" s="20">
        <v>1</v>
      </c>
      <c r="B27" s="66">
        <f>SUBTOTAL(103,$A$14:A27)</f>
        <v>11</v>
      </c>
      <c r="C27" s="24" t="s">
        <v>1074</v>
      </c>
      <c r="D27" s="68" t="s">
        <v>1047</v>
      </c>
      <c r="E27" s="69">
        <v>1</v>
      </c>
      <c r="F27" s="31">
        <f t="shared" si="4"/>
        <v>6235729.1299999999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76">
        <v>0</v>
      </c>
      <c r="N27" s="31">
        <v>0</v>
      </c>
      <c r="O27" s="31">
        <v>1080.5999999999999</v>
      </c>
      <c r="P27" s="31">
        <v>6143575.5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67">
        <f>ROUND(P27*1.5%,2)</f>
        <v>92153.63</v>
      </c>
      <c r="AF27" s="67">
        <v>0</v>
      </c>
      <c r="AG27" s="31">
        <v>0</v>
      </c>
      <c r="AH27" s="35" t="s">
        <v>270</v>
      </c>
      <c r="AI27" s="35">
        <v>2020</v>
      </c>
      <c r="AJ27" s="35">
        <v>2020</v>
      </c>
    </row>
    <row r="28" spans="1:36" s="20" customFormat="1" ht="61.5" x14ac:dyDescent="0.85">
      <c r="B28" s="70" t="s">
        <v>830</v>
      </c>
      <c r="C28" s="24"/>
      <c r="D28" s="68" t="s">
        <v>896</v>
      </c>
      <c r="E28" s="69">
        <f>AVERAGE(E29)</f>
        <v>1.0308999999999999</v>
      </c>
      <c r="F28" s="31">
        <f>F29</f>
        <v>48440.03</v>
      </c>
      <c r="G28" s="31">
        <f t="shared" ref="G28:AG28" si="8">G29</f>
        <v>0</v>
      </c>
      <c r="H28" s="31">
        <f t="shared" si="8"/>
        <v>0</v>
      </c>
      <c r="I28" s="31">
        <f t="shared" si="8"/>
        <v>0</v>
      </c>
      <c r="J28" s="31">
        <f t="shared" si="8"/>
        <v>0</v>
      </c>
      <c r="K28" s="31">
        <f t="shared" si="8"/>
        <v>0</v>
      </c>
      <c r="L28" s="31">
        <f t="shared" si="8"/>
        <v>0</v>
      </c>
      <c r="M28" s="76">
        <f t="shared" si="8"/>
        <v>0</v>
      </c>
      <c r="N28" s="31">
        <f t="shared" si="8"/>
        <v>0</v>
      </c>
      <c r="O28" s="31">
        <f t="shared" si="8"/>
        <v>0</v>
      </c>
      <c r="P28" s="31">
        <f t="shared" si="8"/>
        <v>0</v>
      </c>
      <c r="Q28" s="31">
        <f t="shared" si="8"/>
        <v>0</v>
      </c>
      <c r="R28" s="31">
        <f t="shared" si="8"/>
        <v>0</v>
      </c>
      <c r="S28" s="31">
        <f t="shared" si="8"/>
        <v>0</v>
      </c>
      <c r="T28" s="31">
        <f t="shared" si="8"/>
        <v>0</v>
      </c>
      <c r="U28" s="31">
        <f t="shared" si="8"/>
        <v>0</v>
      </c>
      <c r="V28" s="31">
        <f t="shared" si="8"/>
        <v>0</v>
      </c>
      <c r="W28" s="31">
        <f t="shared" si="8"/>
        <v>0</v>
      </c>
      <c r="X28" s="31">
        <f t="shared" si="8"/>
        <v>0</v>
      </c>
      <c r="Y28" s="31">
        <f t="shared" si="8"/>
        <v>0</v>
      </c>
      <c r="Z28" s="31">
        <f t="shared" si="8"/>
        <v>0</v>
      </c>
      <c r="AA28" s="31">
        <f t="shared" si="8"/>
        <v>0</v>
      </c>
      <c r="AB28" s="31">
        <f t="shared" si="8"/>
        <v>0</v>
      </c>
      <c r="AC28" s="31">
        <f t="shared" si="8"/>
        <v>0</v>
      </c>
      <c r="AD28" s="31">
        <f t="shared" si="8"/>
        <v>0</v>
      </c>
      <c r="AE28" s="67">
        <f t="shared" si="8"/>
        <v>0</v>
      </c>
      <c r="AF28" s="67">
        <f t="shared" si="8"/>
        <v>48440.03</v>
      </c>
      <c r="AG28" s="31">
        <f t="shared" si="8"/>
        <v>0</v>
      </c>
      <c r="AH28" s="35" t="s">
        <v>896</v>
      </c>
      <c r="AI28" s="35" t="s">
        <v>896</v>
      </c>
      <c r="AJ28" s="35" t="s">
        <v>896</v>
      </c>
    </row>
    <row r="29" spans="1:36" s="20" customFormat="1" ht="61.5" x14ac:dyDescent="0.85">
      <c r="A29" s="20">
        <v>1</v>
      </c>
      <c r="B29" s="66">
        <f>SUBTOTAL(103,$A$14:A29)</f>
        <v>12</v>
      </c>
      <c r="C29" s="24" t="s">
        <v>1028</v>
      </c>
      <c r="D29" s="68" t="s">
        <v>1043</v>
      </c>
      <c r="E29" s="69">
        <v>1.0308999999999999</v>
      </c>
      <c r="F29" s="31">
        <f t="shared" si="4"/>
        <v>48440.03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76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67">
        <f>ROUND(P29*1.5%,2)</f>
        <v>0</v>
      </c>
      <c r="AF29" s="203">
        <v>48440.03</v>
      </c>
      <c r="AG29" s="31">
        <v>0</v>
      </c>
      <c r="AH29" s="35">
        <v>2020</v>
      </c>
      <c r="AI29" s="35" t="s">
        <v>270</v>
      </c>
      <c r="AJ29" s="35" t="s">
        <v>270</v>
      </c>
    </row>
    <row r="30" spans="1:36" s="20" customFormat="1" ht="61.5" x14ac:dyDescent="0.85">
      <c r="B30" s="70" t="s">
        <v>1052</v>
      </c>
      <c r="C30" s="24"/>
      <c r="D30" s="68" t="s">
        <v>896</v>
      </c>
      <c r="E30" s="69">
        <f>AVERAGE(E31:E32)</f>
        <v>1.0206</v>
      </c>
      <c r="F30" s="31">
        <f t="shared" ref="F30:AG30" si="9">SUM(F31:F32)</f>
        <v>31767</v>
      </c>
      <c r="G30" s="31">
        <f t="shared" si="9"/>
        <v>0</v>
      </c>
      <c r="H30" s="31">
        <f t="shared" si="9"/>
        <v>0</v>
      </c>
      <c r="I30" s="31">
        <f t="shared" si="9"/>
        <v>0</v>
      </c>
      <c r="J30" s="31">
        <f t="shared" si="9"/>
        <v>0</v>
      </c>
      <c r="K30" s="31">
        <f t="shared" si="9"/>
        <v>0</v>
      </c>
      <c r="L30" s="31">
        <f t="shared" si="9"/>
        <v>0</v>
      </c>
      <c r="M30" s="76">
        <f t="shared" si="9"/>
        <v>0</v>
      </c>
      <c r="N30" s="31">
        <f t="shared" si="9"/>
        <v>0</v>
      </c>
      <c r="O30" s="31">
        <f t="shared" si="9"/>
        <v>0</v>
      </c>
      <c r="P30" s="31">
        <f t="shared" si="9"/>
        <v>0</v>
      </c>
      <c r="Q30" s="31">
        <f t="shared" si="9"/>
        <v>0</v>
      </c>
      <c r="R30" s="31">
        <f t="shared" si="9"/>
        <v>0</v>
      </c>
      <c r="S30" s="31">
        <f t="shared" si="9"/>
        <v>0</v>
      </c>
      <c r="T30" s="31">
        <f t="shared" si="9"/>
        <v>0</v>
      </c>
      <c r="U30" s="31">
        <f t="shared" si="9"/>
        <v>0</v>
      </c>
      <c r="V30" s="31">
        <f t="shared" si="9"/>
        <v>0</v>
      </c>
      <c r="W30" s="31">
        <f t="shared" si="9"/>
        <v>0</v>
      </c>
      <c r="X30" s="31">
        <f t="shared" si="9"/>
        <v>0</v>
      </c>
      <c r="Y30" s="31">
        <f t="shared" si="9"/>
        <v>0</v>
      </c>
      <c r="Z30" s="31">
        <f t="shared" si="9"/>
        <v>0</v>
      </c>
      <c r="AA30" s="31">
        <f t="shared" si="9"/>
        <v>0</v>
      </c>
      <c r="AB30" s="31">
        <f t="shared" si="9"/>
        <v>0</v>
      </c>
      <c r="AC30" s="31">
        <f t="shared" si="9"/>
        <v>0</v>
      </c>
      <c r="AD30" s="31">
        <f t="shared" si="9"/>
        <v>0</v>
      </c>
      <c r="AE30" s="67">
        <f t="shared" si="9"/>
        <v>0</v>
      </c>
      <c r="AF30" s="67">
        <f t="shared" si="9"/>
        <v>31767</v>
      </c>
      <c r="AG30" s="31">
        <f t="shared" si="9"/>
        <v>0</v>
      </c>
      <c r="AH30" s="35" t="s">
        <v>896</v>
      </c>
      <c r="AI30" s="35" t="s">
        <v>896</v>
      </c>
      <c r="AJ30" s="35" t="s">
        <v>896</v>
      </c>
    </row>
    <row r="31" spans="1:36" s="20" customFormat="1" ht="61.5" x14ac:dyDescent="0.85">
      <c r="A31" s="20">
        <v>1</v>
      </c>
      <c r="B31" s="66">
        <f>SUBTOTAL(103,$A$14:A31)</f>
        <v>13</v>
      </c>
      <c r="C31" s="24" t="s">
        <v>1029</v>
      </c>
      <c r="D31" s="68" t="s">
        <v>1046</v>
      </c>
      <c r="E31" s="69">
        <v>1.0385</v>
      </c>
      <c r="F31" s="31">
        <f t="shared" si="4"/>
        <v>13099.1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76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67">
        <f>ROUND(P31*1.5%,2)</f>
        <v>0</v>
      </c>
      <c r="AF31" s="203">
        <v>13099.1</v>
      </c>
      <c r="AG31" s="31">
        <v>0</v>
      </c>
      <c r="AH31" s="35">
        <v>2020</v>
      </c>
      <c r="AI31" s="35" t="s">
        <v>270</v>
      </c>
      <c r="AJ31" s="35" t="s">
        <v>270</v>
      </c>
    </row>
    <row r="32" spans="1:36" s="20" customFormat="1" ht="61.5" x14ac:dyDescent="0.85">
      <c r="A32" s="20">
        <v>1</v>
      </c>
      <c r="B32" s="66">
        <f>SUBTOTAL(103,$A$14:A32)</f>
        <v>14</v>
      </c>
      <c r="C32" s="24" t="s">
        <v>1030</v>
      </c>
      <c r="D32" s="68" t="s">
        <v>1046</v>
      </c>
      <c r="E32" s="69">
        <v>1.0026999999999999</v>
      </c>
      <c r="F32" s="31">
        <f t="shared" si="4"/>
        <v>18667.900000000001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76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67">
        <f>ROUND(T32*1.5%,2)</f>
        <v>0</v>
      </c>
      <c r="AF32" s="203">
        <v>18667.900000000001</v>
      </c>
      <c r="AG32" s="31">
        <v>0</v>
      </c>
      <c r="AH32" s="35">
        <v>2020</v>
      </c>
      <c r="AI32" s="35" t="s">
        <v>270</v>
      </c>
      <c r="AJ32" s="35" t="s">
        <v>270</v>
      </c>
    </row>
    <row r="33" spans="1:36" s="20" customFormat="1" ht="61.5" x14ac:dyDescent="0.85">
      <c r="B33" s="70" t="s">
        <v>837</v>
      </c>
      <c r="C33" s="24"/>
      <c r="D33" s="68" t="s">
        <v>896</v>
      </c>
      <c r="E33" s="69">
        <f>AVERAGE(E34:E35)</f>
        <v>1</v>
      </c>
      <c r="F33" s="31">
        <f>SUM(F34:F35)</f>
        <v>3580408.22</v>
      </c>
      <c r="G33" s="31">
        <f t="shared" ref="G33:AG33" si="10">SUM(G34:G35)</f>
        <v>0</v>
      </c>
      <c r="H33" s="31">
        <f t="shared" si="10"/>
        <v>0</v>
      </c>
      <c r="I33" s="31">
        <f t="shared" si="10"/>
        <v>0</v>
      </c>
      <c r="J33" s="31">
        <f t="shared" si="10"/>
        <v>0</v>
      </c>
      <c r="K33" s="31">
        <f t="shared" si="10"/>
        <v>0</v>
      </c>
      <c r="L33" s="31">
        <f t="shared" si="10"/>
        <v>0</v>
      </c>
      <c r="M33" s="76">
        <f t="shared" si="10"/>
        <v>0</v>
      </c>
      <c r="N33" s="31">
        <f t="shared" si="10"/>
        <v>0</v>
      </c>
      <c r="O33" s="31">
        <f t="shared" si="10"/>
        <v>828.5</v>
      </c>
      <c r="P33" s="31">
        <f t="shared" si="10"/>
        <v>3438664.78</v>
      </c>
      <c r="Q33" s="31">
        <f t="shared" si="10"/>
        <v>0</v>
      </c>
      <c r="R33" s="31">
        <f t="shared" si="10"/>
        <v>0</v>
      </c>
      <c r="S33" s="31">
        <f t="shared" si="10"/>
        <v>0</v>
      </c>
      <c r="T33" s="31">
        <f t="shared" si="10"/>
        <v>0</v>
      </c>
      <c r="U33" s="31">
        <f t="shared" si="10"/>
        <v>0</v>
      </c>
      <c r="V33" s="31">
        <f t="shared" si="10"/>
        <v>0</v>
      </c>
      <c r="W33" s="31">
        <f t="shared" si="10"/>
        <v>0</v>
      </c>
      <c r="X33" s="31">
        <f t="shared" si="10"/>
        <v>0</v>
      </c>
      <c r="Y33" s="31">
        <f t="shared" si="10"/>
        <v>0</v>
      </c>
      <c r="Z33" s="31">
        <f t="shared" si="10"/>
        <v>0</v>
      </c>
      <c r="AA33" s="31">
        <f t="shared" si="10"/>
        <v>0</v>
      </c>
      <c r="AB33" s="31">
        <f t="shared" si="10"/>
        <v>0</v>
      </c>
      <c r="AC33" s="31">
        <f t="shared" si="10"/>
        <v>0</v>
      </c>
      <c r="AD33" s="31">
        <f t="shared" si="10"/>
        <v>0</v>
      </c>
      <c r="AE33" s="67">
        <f t="shared" si="10"/>
        <v>43224.56</v>
      </c>
      <c r="AF33" s="67">
        <f t="shared" si="10"/>
        <v>98518.88</v>
      </c>
      <c r="AG33" s="31">
        <f t="shared" si="10"/>
        <v>0</v>
      </c>
      <c r="AH33" s="35" t="s">
        <v>896</v>
      </c>
      <c r="AI33" s="35" t="s">
        <v>896</v>
      </c>
      <c r="AJ33" s="35" t="s">
        <v>896</v>
      </c>
    </row>
    <row r="34" spans="1:36" s="20" customFormat="1" ht="61.5" x14ac:dyDescent="0.85">
      <c r="A34" s="20">
        <v>1</v>
      </c>
      <c r="B34" s="66">
        <f>SUBTOTAL(103,$A$14:A34)</f>
        <v>15</v>
      </c>
      <c r="C34" s="24" t="s">
        <v>1050</v>
      </c>
      <c r="D34" s="68" t="s">
        <v>1044</v>
      </c>
      <c r="E34" s="69">
        <v>1</v>
      </c>
      <c r="F34" s="31">
        <f t="shared" si="4"/>
        <v>2599022.54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76">
        <v>0</v>
      </c>
      <c r="N34" s="31">
        <v>0</v>
      </c>
      <c r="O34" s="39">
        <v>604.54</v>
      </c>
      <c r="P34" s="39">
        <v>2510284.38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0</v>
      </c>
      <c r="AD34" s="31">
        <v>0</v>
      </c>
      <c r="AE34" s="67">
        <f>ROUND(P34*1.5%,2)</f>
        <v>37654.269999999997</v>
      </c>
      <c r="AF34" s="123">
        <v>51083.89</v>
      </c>
      <c r="AG34" s="31">
        <v>0</v>
      </c>
      <c r="AH34" s="35">
        <v>2020</v>
      </c>
      <c r="AI34" s="35">
        <v>2020</v>
      </c>
      <c r="AJ34" s="35">
        <v>2020</v>
      </c>
    </row>
    <row r="35" spans="1:36" s="20" customFormat="1" ht="61.5" x14ac:dyDescent="0.85">
      <c r="A35" s="20">
        <v>1</v>
      </c>
      <c r="B35" s="66">
        <f>SUBTOTAL(103,$A$14:A35)</f>
        <v>16</v>
      </c>
      <c r="C35" s="24" t="s">
        <v>1031</v>
      </c>
      <c r="D35" s="68" t="s">
        <v>1044</v>
      </c>
      <c r="E35" s="69">
        <v>1</v>
      </c>
      <c r="F35" s="31">
        <f t="shared" si="4"/>
        <v>981385.68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76">
        <v>0</v>
      </c>
      <c r="N35" s="31">
        <v>0</v>
      </c>
      <c r="O35" s="39">
        <v>223.96</v>
      </c>
      <c r="P35" s="39">
        <v>928380.4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9">
        <v>5570.29</v>
      </c>
      <c r="AF35" s="123">
        <v>47434.99</v>
      </c>
      <c r="AG35" s="31">
        <v>0</v>
      </c>
      <c r="AH35" s="35">
        <v>2020</v>
      </c>
      <c r="AI35" s="35">
        <v>2020</v>
      </c>
      <c r="AJ35" s="35">
        <v>2020</v>
      </c>
    </row>
    <row r="36" spans="1:36" s="20" customFormat="1" ht="61.5" x14ac:dyDescent="0.85">
      <c r="B36" s="70" t="s">
        <v>766</v>
      </c>
      <c r="C36" s="24"/>
      <c r="D36" s="68" t="s">
        <v>896</v>
      </c>
      <c r="E36" s="69">
        <f>AVERAGE(E37:E41)</f>
        <v>1.0075000000000001</v>
      </c>
      <c r="F36" s="31">
        <f>SUM(F37:F39)</f>
        <v>223917.22</v>
      </c>
      <c r="G36" s="31">
        <f t="shared" ref="G36:AG36" si="11">SUM(G37:G39)</f>
        <v>0</v>
      </c>
      <c r="H36" s="31">
        <f t="shared" si="11"/>
        <v>0</v>
      </c>
      <c r="I36" s="31">
        <f t="shared" si="11"/>
        <v>0</v>
      </c>
      <c r="J36" s="31">
        <f t="shared" si="11"/>
        <v>0</v>
      </c>
      <c r="K36" s="31">
        <f t="shared" si="11"/>
        <v>0</v>
      </c>
      <c r="L36" s="31">
        <f t="shared" si="11"/>
        <v>0</v>
      </c>
      <c r="M36" s="76">
        <f t="shared" si="11"/>
        <v>0</v>
      </c>
      <c r="N36" s="31">
        <f t="shared" si="11"/>
        <v>0</v>
      </c>
      <c r="O36" s="31">
        <f t="shared" si="11"/>
        <v>0</v>
      </c>
      <c r="P36" s="31">
        <f t="shared" si="11"/>
        <v>0</v>
      </c>
      <c r="Q36" s="31">
        <f t="shared" si="11"/>
        <v>0</v>
      </c>
      <c r="R36" s="31">
        <f t="shared" si="11"/>
        <v>0</v>
      </c>
      <c r="S36" s="31">
        <f t="shared" si="11"/>
        <v>0</v>
      </c>
      <c r="T36" s="31">
        <f t="shared" si="11"/>
        <v>0</v>
      </c>
      <c r="U36" s="31">
        <f t="shared" si="11"/>
        <v>0</v>
      </c>
      <c r="V36" s="31">
        <f t="shared" si="11"/>
        <v>0</v>
      </c>
      <c r="W36" s="31">
        <f t="shared" si="11"/>
        <v>0</v>
      </c>
      <c r="X36" s="31">
        <f t="shared" si="11"/>
        <v>0</v>
      </c>
      <c r="Y36" s="31">
        <f t="shared" si="11"/>
        <v>0</v>
      </c>
      <c r="Z36" s="31">
        <f t="shared" si="11"/>
        <v>0</v>
      </c>
      <c r="AA36" s="31">
        <f t="shared" si="11"/>
        <v>0</v>
      </c>
      <c r="AB36" s="31">
        <f t="shared" si="11"/>
        <v>0</v>
      </c>
      <c r="AC36" s="31">
        <f t="shared" si="11"/>
        <v>0</v>
      </c>
      <c r="AD36" s="31">
        <f t="shared" si="11"/>
        <v>0</v>
      </c>
      <c r="AE36" s="67">
        <f t="shared" si="11"/>
        <v>0</v>
      </c>
      <c r="AF36" s="67">
        <f t="shared" si="11"/>
        <v>223917.22</v>
      </c>
      <c r="AG36" s="31">
        <f t="shared" si="11"/>
        <v>0</v>
      </c>
      <c r="AH36" s="35" t="s">
        <v>896</v>
      </c>
      <c r="AI36" s="35" t="s">
        <v>896</v>
      </c>
      <c r="AJ36" s="35" t="s">
        <v>896</v>
      </c>
    </row>
    <row r="37" spans="1:36" s="20" customFormat="1" ht="61.5" x14ac:dyDescent="0.85">
      <c r="A37" s="20">
        <v>1</v>
      </c>
      <c r="B37" s="66">
        <f>SUBTOTAL(103,$A$14:A37)</f>
        <v>17</v>
      </c>
      <c r="C37" s="24" t="s">
        <v>1032</v>
      </c>
      <c r="D37" s="68" t="s">
        <v>1045</v>
      </c>
      <c r="E37" s="69">
        <v>1.0043</v>
      </c>
      <c r="F37" s="31">
        <f t="shared" si="4"/>
        <v>47271.85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76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0</v>
      </c>
      <c r="AD37" s="31">
        <v>0</v>
      </c>
      <c r="AE37" s="67">
        <f>ROUND(P37*1.5%,2)</f>
        <v>0</v>
      </c>
      <c r="AF37" s="39">
        <v>47271.85</v>
      </c>
      <c r="AG37" s="31">
        <v>0</v>
      </c>
      <c r="AH37" s="35">
        <v>2020</v>
      </c>
      <c r="AI37" s="35" t="s">
        <v>270</v>
      </c>
      <c r="AJ37" s="35" t="s">
        <v>270</v>
      </c>
    </row>
    <row r="38" spans="1:36" s="20" customFormat="1" ht="61.5" x14ac:dyDescent="0.85">
      <c r="A38" s="20">
        <v>1</v>
      </c>
      <c r="B38" s="66">
        <f>SUBTOTAL(103,$A$14:A38)</f>
        <v>18</v>
      </c>
      <c r="C38" s="24" t="s">
        <v>790</v>
      </c>
      <c r="D38" s="68" t="s">
        <v>1045</v>
      </c>
      <c r="E38" s="69">
        <v>1.0185999999999999</v>
      </c>
      <c r="F38" s="31">
        <f t="shared" si="4"/>
        <v>99352.46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76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0</v>
      </c>
      <c r="AD38" s="31">
        <v>0</v>
      </c>
      <c r="AE38" s="67">
        <f>ROUND(P38*1.5%,2)</f>
        <v>0</v>
      </c>
      <c r="AF38" s="39">
        <v>99352.46</v>
      </c>
      <c r="AG38" s="31">
        <v>0</v>
      </c>
      <c r="AH38" s="35">
        <v>2020</v>
      </c>
      <c r="AI38" s="35" t="s">
        <v>270</v>
      </c>
      <c r="AJ38" s="35" t="s">
        <v>270</v>
      </c>
    </row>
    <row r="39" spans="1:36" s="20" customFormat="1" ht="61.5" x14ac:dyDescent="0.85">
      <c r="A39" s="20">
        <v>1</v>
      </c>
      <c r="B39" s="66">
        <f>SUBTOTAL(103,$A$14:A39)</f>
        <v>19</v>
      </c>
      <c r="C39" s="24" t="s">
        <v>782</v>
      </c>
      <c r="D39" s="68" t="s">
        <v>1045</v>
      </c>
      <c r="E39" s="69">
        <v>1.0064</v>
      </c>
      <c r="F39" s="31">
        <f t="shared" si="4"/>
        <v>77292.91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76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67">
        <f>ROUND(P39*1.5%,2)</f>
        <v>0</v>
      </c>
      <c r="AF39" s="39">
        <v>77292.91</v>
      </c>
      <c r="AG39" s="31">
        <v>0</v>
      </c>
      <c r="AH39" s="35">
        <v>2020</v>
      </c>
      <c r="AI39" s="35" t="s">
        <v>270</v>
      </c>
      <c r="AJ39" s="35" t="s">
        <v>270</v>
      </c>
    </row>
    <row r="40" spans="1:36" s="20" customFormat="1" ht="61.5" x14ac:dyDescent="0.85">
      <c r="B40" s="70" t="s">
        <v>844</v>
      </c>
      <c r="C40" s="24"/>
      <c r="D40" s="68" t="s">
        <v>896</v>
      </c>
      <c r="E40" s="69">
        <f>AVERAGE(E41)</f>
        <v>1.0041</v>
      </c>
      <c r="F40" s="31">
        <f>F41</f>
        <v>2144299</v>
      </c>
      <c r="G40" s="31">
        <f t="shared" ref="G40:AG40" si="12">G41</f>
        <v>0</v>
      </c>
      <c r="H40" s="31">
        <f t="shared" si="12"/>
        <v>0</v>
      </c>
      <c r="I40" s="31">
        <f t="shared" si="12"/>
        <v>0</v>
      </c>
      <c r="J40" s="31">
        <f t="shared" si="12"/>
        <v>0</v>
      </c>
      <c r="K40" s="31">
        <f t="shared" si="12"/>
        <v>0</v>
      </c>
      <c r="L40" s="31">
        <f t="shared" si="12"/>
        <v>0</v>
      </c>
      <c r="M40" s="76">
        <f t="shared" si="12"/>
        <v>0</v>
      </c>
      <c r="N40" s="31">
        <f t="shared" si="12"/>
        <v>0</v>
      </c>
      <c r="O40" s="31">
        <f t="shared" si="12"/>
        <v>448.83</v>
      </c>
      <c r="P40" s="31">
        <f t="shared" si="12"/>
        <v>2033875.86</v>
      </c>
      <c r="Q40" s="31">
        <f t="shared" si="12"/>
        <v>0</v>
      </c>
      <c r="R40" s="31">
        <f t="shared" si="12"/>
        <v>0</v>
      </c>
      <c r="S40" s="31">
        <f t="shared" si="12"/>
        <v>0</v>
      </c>
      <c r="T40" s="31">
        <f t="shared" si="12"/>
        <v>0</v>
      </c>
      <c r="U40" s="31">
        <f t="shared" si="12"/>
        <v>0</v>
      </c>
      <c r="V40" s="31">
        <f t="shared" si="12"/>
        <v>0</v>
      </c>
      <c r="W40" s="31">
        <f t="shared" si="12"/>
        <v>0</v>
      </c>
      <c r="X40" s="31">
        <f t="shared" si="12"/>
        <v>0</v>
      </c>
      <c r="Y40" s="31">
        <f t="shared" si="12"/>
        <v>0</v>
      </c>
      <c r="Z40" s="31">
        <f t="shared" si="12"/>
        <v>0</v>
      </c>
      <c r="AA40" s="31">
        <f t="shared" si="12"/>
        <v>0</v>
      </c>
      <c r="AB40" s="31">
        <f t="shared" si="12"/>
        <v>0</v>
      </c>
      <c r="AC40" s="31">
        <f t="shared" si="12"/>
        <v>0</v>
      </c>
      <c r="AD40" s="31">
        <f t="shared" si="12"/>
        <v>0</v>
      </c>
      <c r="AE40" s="67">
        <f t="shared" si="12"/>
        <v>30508.14</v>
      </c>
      <c r="AF40" s="67">
        <f t="shared" si="12"/>
        <v>79915</v>
      </c>
      <c r="AG40" s="31">
        <f t="shared" si="12"/>
        <v>0</v>
      </c>
      <c r="AH40" s="35" t="s">
        <v>896</v>
      </c>
      <c r="AI40" s="35" t="s">
        <v>896</v>
      </c>
      <c r="AJ40" s="35" t="s">
        <v>896</v>
      </c>
    </row>
    <row r="41" spans="1:36" s="20" customFormat="1" ht="61.5" x14ac:dyDescent="0.85">
      <c r="A41" s="20">
        <v>1</v>
      </c>
      <c r="B41" s="66">
        <f>SUBTOTAL(103,$A$14:A41)</f>
        <v>20</v>
      </c>
      <c r="C41" s="24" t="s">
        <v>1033</v>
      </c>
      <c r="D41" s="68" t="s">
        <v>1044</v>
      </c>
      <c r="E41" s="69">
        <v>1.0041</v>
      </c>
      <c r="F41" s="31">
        <f t="shared" si="4"/>
        <v>2144299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76">
        <v>0</v>
      </c>
      <c r="N41" s="31">
        <v>0</v>
      </c>
      <c r="O41" s="31">
        <v>448.83</v>
      </c>
      <c r="P41" s="31">
        <v>2033875.86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67">
        <f>ROUND(P41*1.5%,2)</f>
        <v>30508.14</v>
      </c>
      <c r="AF41" s="39">
        <v>79915</v>
      </c>
      <c r="AG41" s="31">
        <v>0</v>
      </c>
      <c r="AH41" s="35">
        <v>2020</v>
      </c>
      <c r="AI41" s="35">
        <v>2020</v>
      </c>
      <c r="AJ41" s="35">
        <v>2020</v>
      </c>
    </row>
    <row r="42" spans="1:36" s="20" customFormat="1" ht="61.5" x14ac:dyDescent="0.85">
      <c r="B42" s="70" t="s">
        <v>846</v>
      </c>
      <c r="C42" s="24"/>
      <c r="D42" s="68" t="s">
        <v>896</v>
      </c>
      <c r="E42" s="69">
        <f>AVERAGE(E43)</f>
        <v>1</v>
      </c>
      <c r="F42" s="31">
        <f>F43</f>
        <v>97672.62</v>
      </c>
      <c r="G42" s="31">
        <f t="shared" ref="G42:AG42" si="13">G43</f>
        <v>0</v>
      </c>
      <c r="H42" s="31">
        <f t="shared" si="13"/>
        <v>0</v>
      </c>
      <c r="I42" s="31">
        <f t="shared" si="13"/>
        <v>0</v>
      </c>
      <c r="J42" s="31">
        <f t="shared" si="13"/>
        <v>0</v>
      </c>
      <c r="K42" s="31">
        <f t="shared" si="13"/>
        <v>0</v>
      </c>
      <c r="L42" s="31">
        <f t="shared" si="13"/>
        <v>0</v>
      </c>
      <c r="M42" s="76">
        <f t="shared" si="13"/>
        <v>0</v>
      </c>
      <c r="N42" s="31">
        <f t="shared" si="13"/>
        <v>0</v>
      </c>
      <c r="O42" s="31">
        <f t="shared" si="13"/>
        <v>0</v>
      </c>
      <c r="P42" s="31">
        <f t="shared" si="13"/>
        <v>0</v>
      </c>
      <c r="Q42" s="31">
        <f t="shared" si="13"/>
        <v>0</v>
      </c>
      <c r="R42" s="31">
        <f t="shared" si="13"/>
        <v>0</v>
      </c>
      <c r="S42" s="31">
        <f t="shared" si="13"/>
        <v>0</v>
      </c>
      <c r="T42" s="31">
        <f t="shared" si="13"/>
        <v>0</v>
      </c>
      <c r="U42" s="31">
        <f t="shared" si="13"/>
        <v>0</v>
      </c>
      <c r="V42" s="31">
        <f t="shared" si="13"/>
        <v>0</v>
      </c>
      <c r="W42" s="31">
        <f t="shared" si="13"/>
        <v>0</v>
      </c>
      <c r="X42" s="31">
        <f t="shared" si="13"/>
        <v>0</v>
      </c>
      <c r="Y42" s="31">
        <f t="shared" si="13"/>
        <v>0</v>
      </c>
      <c r="Z42" s="31">
        <f t="shared" si="13"/>
        <v>0</v>
      </c>
      <c r="AA42" s="31">
        <f t="shared" si="13"/>
        <v>0</v>
      </c>
      <c r="AB42" s="31">
        <f t="shared" si="13"/>
        <v>0</v>
      </c>
      <c r="AC42" s="31">
        <f t="shared" si="13"/>
        <v>0</v>
      </c>
      <c r="AD42" s="31">
        <f t="shared" si="13"/>
        <v>0</v>
      </c>
      <c r="AE42" s="67">
        <f t="shared" si="13"/>
        <v>0</v>
      </c>
      <c r="AF42" s="67">
        <f t="shared" si="13"/>
        <v>97672.62</v>
      </c>
      <c r="AG42" s="31">
        <f t="shared" si="13"/>
        <v>0</v>
      </c>
      <c r="AH42" s="35" t="s">
        <v>896</v>
      </c>
      <c r="AI42" s="35" t="s">
        <v>896</v>
      </c>
      <c r="AJ42" s="35" t="s">
        <v>896</v>
      </c>
    </row>
    <row r="43" spans="1:36" s="20" customFormat="1" ht="61.5" x14ac:dyDescent="0.85">
      <c r="A43" s="20">
        <v>1</v>
      </c>
      <c r="B43" s="66">
        <f>SUBTOTAL(103,$A$14:A43)</f>
        <v>21</v>
      </c>
      <c r="C43" s="24" t="s">
        <v>1034</v>
      </c>
      <c r="D43" s="68" t="s">
        <v>1046</v>
      </c>
      <c r="E43" s="69">
        <v>1</v>
      </c>
      <c r="F43" s="31">
        <f t="shared" si="4"/>
        <v>97672.62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76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67">
        <f>ROUND(P43*1.5%,2)</f>
        <v>0</v>
      </c>
      <c r="AF43" s="203">
        <v>97672.62</v>
      </c>
      <c r="AG43" s="31">
        <v>0</v>
      </c>
      <c r="AH43" s="35">
        <v>2020</v>
      </c>
      <c r="AI43" s="35" t="s">
        <v>270</v>
      </c>
      <c r="AJ43" s="35" t="s">
        <v>270</v>
      </c>
    </row>
    <row r="44" spans="1:36" s="20" customFormat="1" ht="61.5" x14ac:dyDescent="0.85">
      <c r="B44" s="70" t="s">
        <v>1053</v>
      </c>
      <c r="C44" s="24"/>
      <c r="D44" s="68" t="s">
        <v>896</v>
      </c>
      <c r="E44" s="69">
        <f>AVERAGE(E45:E47)</f>
        <v>1.0093333333333334</v>
      </c>
      <c r="F44" s="31">
        <f t="shared" ref="F44:AG44" si="14">SUM(F45:F47)</f>
        <v>7637123.5900000008</v>
      </c>
      <c r="G44" s="31">
        <f t="shared" si="14"/>
        <v>0</v>
      </c>
      <c r="H44" s="31">
        <f t="shared" si="14"/>
        <v>0</v>
      </c>
      <c r="I44" s="31">
        <f t="shared" si="14"/>
        <v>0</v>
      </c>
      <c r="J44" s="31">
        <f t="shared" si="14"/>
        <v>0</v>
      </c>
      <c r="K44" s="31">
        <f t="shared" si="14"/>
        <v>0</v>
      </c>
      <c r="L44" s="31">
        <f t="shared" si="14"/>
        <v>0</v>
      </c>
      <c r="M44" s="76">
        <f t="shared" si="14"/>
        <v>0</v>
      </c>
      <c r="N44" s="31">
        <f t="shared" si="14"/>
        <v>0</v>
      </c>
      <c r="O44" s="31">
        <f t="shared" si="14"/>
        <v>1438.7</v>
      </c>
      <c r="P44" s="31">
        <f t="shared" si="14"/>
        <v>7406508.8399999999</v>
      </c>
      <c r="Q44" s="31">
        <f t="shared" si="14"/>
        <v>0</v>
      </c>
      <c r="R44" s="31">
        <f t="shared" si="14"/>
        <v>0</v>
      </c>
      <c r="S44" s="31">
        <f t="shared" si="14"/>
        <v>0</v>
      </c>
      <c r="T44" s="31">
        <f t="shared" si="14"/>
        <v>0</v>
      </c>
      <c r="U44" s="31">
        <f t="shared" si="14"/>
        <v>0</v>
      </c>
      <c r="V44" s="31">
        <f t="shared" si="14"/>
        <v>0</v>
      </c>
      <c r="W44" s="31">
        <f t="shared" si="14"/>
        <v>0</v>
      </c>
      <c r="X44" s="31">
        <f t="shared" si="14"/>
        <v>0</v>
      </c>
      <c r="Y44" s="31">
        <f t="shared" si="14"/>
        <v>0</v>
      </c>
      <c r="Z44" s="31">
        <f t="shared" si="14"/>
        <v>0</v>
      </c>
      <c r="AA44" s="31">
        <f t="shared" si="14"/>
        <v>0</v>
      </c>
      <c r="AB44" s="31">
        <f t="shared" si="14"/>
        <v>0</v>
      </c>
      <c r="AC44" s="31">
        <f t="shared" si="14"/>
        <v>0</v>
      </c>
      <c r="AD44" s="31">
        <f t="shared" si="14"/>
        <v>0</v>
      </c>
      <c r="AE44" s="67">
        <f t="shared" si="14"/>
        <v>25643.34</v>
      </c>
      <c r="AF44" s="67">
        <f t="shared" si="14"/>
        <v>204971.41</v>
      </c>
      <c r="AG44" s="31">
        <f t="shared" si="14"/>
        <v>0</v>
      </c>
      <c r="AH44" s="35" t="s">
        <v>896</v>
      </c>
      <c r="AI44" s="35" t="s">
        <v>896</v>
      </c>
      <c r="AJ44" s="35" t="s">
        <v>896</v>
      </c>
    </row>
    <row r="45" spans="1:36" s="20" customFormat="1" ht="61.5" x14ac:dyDescent="0.85">
      <c r="A45" s="20">
        <v>1</v>
      </c>
      <c r="B45" s="66">
        <f>SUBTOTAL(103,$A$14:A45)</f>
        <v>22</v>
      </c>
      <c r="C45" s="24" t="s">
        <v>1035</v>
      </c>
      <c r="D45" s="68" t="s">
        <v>1048</v>
      </c>
      <c r="E45" s="69">
        <v>1.0093000000000001</v>
      </c>
      <c r="F45" s="31">
        <f t="shared" si="4"/>
        <v>2406352.7599999998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76">
        <v>0</v>
      </c>
      <c r="N45" s="31">
        <v>0</v>
      </c>
      <c r="O45" s="39">
        <v>441.7</v>
      </c>
      <c r="P45" s="39">
        <v>2338270.38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67">
        <v>0</v>
      </c>
      <c r="AF45" s="39">
        <v>68082.38</v>
      </c>
      <c r="AG45" s="31">
        <v>0</v>
      </c>
      <c r="AH45" s="35">
        <v>2020</v>
      </c>
      <c r="AI45" s="35">
        <v>2020</v>
      </c>
      <c r="AJ45" s="35" t="s">
        <v>270</v>
      </c>
    </row>
    <row r="46" spans="1:36" s="20" customFormat="1" ht="61.5" x14ac:dyDescent="0.85">
      <c r="A46" s="20">
        <v>1</v>
      </c>
      <c r="B46" s="66">
        <f>SUBTOTAL(103,$A$14:A46)</f>
        <v>23</v>
      </c>
      <c r="C46" s="24" t="s">
        <v>1036</v>
      </c>
      <c r="D46" s="68" t="s">
        <v>1044</v>
      </c>
      <c r="E46" s="69">
        <v>1.0031000000000001</v>
      </c>
      <c r="F46" s="31">
        <f t="shared" si="4"/>
        <v>2491755.89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76">
        <v>0</v>
      </c>
      <c r="N46" s="31">
        <v>0</v>
      </c>
      <c r="O46" s="39">
        <v>502</v>
      </c>
      <c r="P46" s="39">
        <v>2407983.3199999998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11377.72</v>
      </c>
      <c r="AF46" s="203">
        <v>72394.850000000006</v>
      </c>
      <c r="AG46" s="31">
        <v>0</v>
      </c>
      <c r="AH46" s="35">
        <v>2020</v>
      </c>
      <c r="AI46" s="35">
        <v>2020</v>
      </c>
      <c r="AJ46" s="35">
        <v>2020</v>
      </c>
    </row>
    <row r="47" spans="1:36" s="20" customFormat="1" ht="61.5" x14ac:dyDescent="0.85">
      <c r="A47" s="20">
        <v>1</v>
      </c>
      <c r="B47" s="66">
        <f>SUBTOTAL(103,$A$14:A47)</f>
        <v>24</v>
      </c>
      <c r="C47" s="24" t="s">
        <v>1037</v>
      </c>
      <c r="D47" s="68" t="s">
        <v>1047</v>
      </c>
      <c r="E47" s="69">
        <v>1.0156000000000001</v>
      </c>
      <c r="F47" s="31">
        <f t="shared" si="4"/>
        <v>2739014.9400000004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76">
        <v>0</v>
      </c>
      <c r="N47" s="31">
        <v>0</v>
      </c>
      <c r="O47" s="39">
        <v>495</v>
      </c>
      <c r="P47" s="39">
        <v>2660255.14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f>7980.77+6284.85</f>
        <v>14265.62</v>
      </c>
      <c r="AF47" s="203">
        <v>64494.18</v>
      </c>
      <c r="AG47" s="31">
        <v>0</v>
      </c>
      <c r="AH47" s="35">
        <v>2020</v>
      </c>
      <c r="AI47" s="35">
        <v>2020</v>
      </c>
      <c r="AJ47" s="35">
        <v>2020</v>
      </c>
    </row>
    <row r="48" spans="1:36" s="20" customFormat="1" ht="61.5" x14ac:dyDescent="0.85">
      <c r="B48" s="70" t="s">
        <v>1054</v>
      </c>
      <c r="C48" s="24"/>
      <c r="D48" s="68" t="s">
        <v>896</v>
      </c>
      <c r="E48" s="69">
        <f>AVERAGE(E49)</f>
        <v>1</v>
      </c>
      <c r="F48" s="31">
        <f>F49</f>
        <v>2434994.4500000002</v>
      </c>
      <c r="G48" s="31">
        <f t="shared" ref="G48:AG48" si="15">G49</f>
        <v>0</v>
      </c>
      <c r="H48" s="31">
        <f t="shared" si="15"/>
        <v>0</v>
      </c>
      <c r="I48" s="31">
        <f t="shared" si="15"/>
        <v>0</v>
      </c>
      <c r="J48" s="31">
        <f t="shared" si="15"/>
        <v>0</v>
      </c>
      <c r="K48" s="31">
        <f t="shared" si="15"/>
        <v>0</v>
      </c>
      <c r="L48" s="31">
        <f t="shared" si="15"/>
        <v>0</v>
      </c>
      <c r="M48" s="76">
        <f t="shared" si="15"/>
        <v>0</v>
      </c>
      <c r="N48" s="31">
        <f t="shared" si="15"/>
        <v>0</v>
      </c>
      <c r="O48" s="31">
        <f t="shared" si="15"/>
        <v>780</v>
      </c>
      <c r="P48" s="31">
        <f t="shared" si="15"/>
        <v>2307296.7200000002</v>
      </c>
      <c r="Q48" s="31">
        <f t="shared" si="15"/>
        <v>0</v>
      </c>
      <c r="R48" s="31">
        <f t="shared" si="15"/>
        <v>0</v>
      </c>
      <c r="S48" s="31">
        <f t="shared" si="15"/>
        <v>0</v>
      </c>
      <c r="T48" s="31">
        <f t="shared" si="15"/>
        <v>0</v>
      </c>
      <c r="U48" s="31">
        <f t="shared" si="15"/>
        <v>0</v>
      </c>
      <c r="V48" s="31">
        <f t="shared" si="15"/>
        <v>0</v>
      </c>
      <c r="W48" s="31">
        <f t="shared" si="15"/>
        <v>0</v>
      </c>
      <c r="X48" s="31">
        <f t="shared" si="15"/>
        <v>0</v>
      </c>
      <c r="Y48" s="31">
        <f t="shared" si="15"/>
        <v>0</v>
      </c>
      <c r="Z48" s="31">
        <f t="shared" si="15"/>
        <v>0</v>
      </c>
      <c r="AA48" s="31">
        <f t="shared" si="15"/>
        <v>0</v>
      </c>
      <c r="AB48" s="31">
        <f t="shared" si="15"/>
        <v>0</v>
      </c>
      <c r="AC48" s="31">
        <f t="shared" si="15"/>
        <v>0</v>
      </c>
      <c r="AD48" s="31">
        <f t="shared" si="15"/>
        <v>0</v>
      </c>
      <c r="AE48" s="67">
        <f t="shared" si="15"/>
        <v>32359.84</v>
      </c>
      <c r="AF48" s="67">
        <f t="shared" si="15"/>
        <v>95337.89</v>
      </c>
      <c r="AG48" s="31">
        <f t="shared" si="15"/>
        <v>0</v>
      </c>
      <c r="AH48" s="35" t="s">
        <v>896</v>
      </c>
      <c r="AI48" s="35" t="s">
        <v>896</v>
      </c>
      <c r="AJ48" s="35" t="s">
        <v>896</v>
      </c>
    </row>
    <row r="49" spans="1:36" s="20" customFormat="1" ht="61.5" x14ac:dyDescent="0.85">
      <c r="A49" s="20">
        <v>1</v>
      </c>
      <c r="B49" s="66">
        <f>SUBTOTAL(103,$A$14:A49)</f>
        <v>25</v>
      </c>
      <c r="C49" s="24" t="s">
        <v>1042</v>
      </c>
      <c r="D49" s="68" t="s">
        <v>1043</v>
      </c>
      <c r="E49" s="69">
        <v>1</v>
      </c>
      <c r="F49" s="31">
        <f t="shared" si="4"/>
        <v>2434994.4500000002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76">
        <v>0</v>
      </c>
      <c r="N49" s="31">
        <v>0</v>
      </c>
      <c r="O49" s="31">
        <v>780</v>
      </c>
      <c r="P49" s="31">
        <v>2307296.7200000002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9">
        <v>32359.84</v>
      </c>
      <c r="AF49" s="203">
        <v>95337.89</v>
      </c>
      <c r="AG49" s="31">
        <v>0</v>
      </c>
      <c r="AH49" s="35">
        <v>2020</v>
      </c>
      <c r="AI49" s="35">
        <v>2020</v>
      </c>
      <c r="AJ49" s="35">
        <v>2020</v>
      </c>
    </row>
    <row r="50" spans="1:36" s="20" customFormat="1" ht="61.5" x14ac:dyDescent="0.85">
      <c r="B50" s="70" t="s">
        <v>857</v>
      </c>
      <c r="C50" s="24"/>
      <c r="D50" s="68" t="s">
        <v>896</v>
      </c>
      <c r="E50" s="69">
        <f>AVERAGE(E51)</f>
        <v>1.008</v>
      </c>
      <c r="F50" s="31">
        <f>F51</f>
        <v>89459.11</v>
      </c>
      <c r="G50" s="31">
        <f t="shared" ref="G50:AG50" si="16">G51</f>
        <v>0</v>
      </c>
      <c r="H50" s="31">
        <f t="shared" si="16"/>
        <v>0</v>
      </c>
      <c r="I50" s="31">
        <f t="shared" si="16"/>
        <v>0</v>
      </c>
      <c r="J50" s="31">
        <f t="shared" si="16"/>
        <v>0</v>
      </c>
      <c r="K50" s="31">
        <f t="shared" si="16"/>
        <v>0</v>
      </c>
      <c r="L50" s="31">
        <f t="shared" si="16"/>
        <v>0</v>
      </c>
      <c r="M50" s="76">
        <f t="shared" si="16"/>
        <v>0</v>
      </c>
      <c r="N50" s="31">
        <f t="shared" si="16"/>
        <v>0</v>
      </c>
      <c r="O50" s="31">
        <f t="shared" si="16"/>
        <v>0</v>
      </c>
      <c r="P50" s="31">
        <f t="shared" si="16"/>
        <v>0</v>
      </c>
      <c r="Q50" s="31">
        <f t="shared" si="16"/>
        <v>0</v>
      </c>
      <c r="R50" s="31">
        <f t="shared" si="16"/>
        <v>0</v>
      </c>
      <c r="S50" s="31">
        <f t="shared" si="16"/>
        <v>0</v>
      </c>
      <c r="T50" s="31">
        <f t="shared" si="16"/>
        <v>0</v>
      </c>
      <c r="U50" s="31">
        <f t="shared" si="16"/>
        <v>0</v>
      </c>
      <c r="V50" s="31">
        <f t="shared" si="16"/>
        <v>0</v>
      </c>
      <c r="W50" s="31">
        <f t="shared" si="16"/>
        <v>0</v>
      </c>
      <c r="X50" s="31">
        <f t="shared" si="16"/>
        <v>0</v>
      </c>
      <c r="Y50" s="31">
        <f t="shared" si="16"/>
        <v>0</v>
      </c>
      <c r="Z50" s="31">
        <f t="shared" si="16"/>
        <v>0</v>
      </c>
      <c r="AA50" s="31">
        <f t="shared" si="16"/>
        <v>0</v>
      </c>
      <c r="AB50" s="31">
        <f t="shared" si="16"/>
        <v>0</v>
      </c>
      <c r="AC50" s="31">
        <f t="shared" si="16"/>
        <v>0</v>
      </c>
      <c r="AD50" s="31">
        <f t="shared" si="16"/>
        <v>0</v>
      </c>
      <c r="AE50" s="67">
        <f t="shared" si="16"/>
        <v>0</v>
      </c>
      <c r="AF50" s="67">
        <f t="shared" si="16"/>
        <v>89459.11</v>
      </c>
      <c r="AG50" s="31">
        <f t="shared" si="16"/>
        <v>0</v>
      </c>
      <c r="AH50" s="35" t="s">
        <v>896</v>
      </c>
      <c r="AI50" s="35" t="s">
        <v>896</v>
      </c>
      <c r="AJ50" s="35" t="s">
        <v>896</v>
      </c>
    </row>
    <row r="51" spans="1:36" s="20" customFormat="1" ht="61.5" x14ac:dyDescent="0.85">
      <c r="A51" s="20">
        <v>1</v>
      </c>
      <c r="B51" s="66">
        <f>SUBTOTAL(103,$A$14:A51)</f>
        <v>26</v>
      </c>
      <c r="C51" s="24" t="s">
        <v>1038</v>
      </c>
      <c r="D51" s="68" t="s">
        <v>1044</v>
      </c>
      <c r="E51" s="69">
        <v>1.008</v>
      </c>
      <c r="F51" s="31">
        <f t="shared" si="4"/>
        <v>89459.11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76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  <c r="U51" s="31">
        <v>0</v>
      </c>
      <c r="V51" s="31">
        <v>0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0</v>
      </c>
      <c r="AE51" s="67">
        <f>ROUND(P51*1.5%,2)</f>
        <v>0</v>
      </c>
      <c r="AF51" s="123">
        <v>89459.11</v>
      </c>
      <c r="AG51" s="31">
        <v>0</v>
      </c>
      <c r="AH51" s="35">
        <v>2020</v>
      </c>
      <c r="AI51" s="35" t="s">
        <v>270</v>
      </c>
      <c r="AJ51" s="35" t="s">
        <v>270</v>
      </c>
    </row>
    <row r="52" spans="1:36" s="20" customFormat="1" ht="61.5" x14ac:dyDescent="0.85">
      <c r="B52" s="70" t="s">
        <v>863</v>
      </c>
      <c r="C52" s="24"/>
      <c r="D52" s="68" t="s">
        <v>896</v>
      </c>
      <c r="E52" s="69">
        <f>AVERAGE(E53)</f>
        <v>1.0001</v>
      </c>
      <c r="F52" s="31">
        <f>F53</f>
        <v>3168456.39</v>
      </c>
      <c r="G52" s="31">
        <f t="shared" ref="G52:AG52" si="17">G53</f>
        <v>0</v>
      </c>
      <c r="H52" s="31">
        <f t="shared" si="17"/>
        <v>0</v>
      </c>
      <c r="I52" s="31">
        <f t="shared" si="17"/>
        <v>0</v>
      </c>
      <c r="J52" s="31">
        <f t="shared" si="17"/>
        <v>0</v>
      </c>
      <c r="K52" s="31">
        <f t="shared" si="17"/>
        <v>0</v>
      </c>
      <c r="L52" s="31">
        <f t="shared" si="17"/>
        <v>0</v>
      </c>
      <c r="M52" s="76">
        <f t="shared" si="17"/>
        <v>0</v>
      </c>
      <c r="N52" s="31">
        <f t="shared" si="17"/>
        <v>0</v>
      </c>
      <c r="O52" s="31">
        <f t="shared" si="17"/>
        <v>874</v>
      </c>
      <c r="P52" s="31">
        <f t="shared" si="17"/>
        <v>3070274</v>
      </c>
      <c r="Q52" s="31">
        <f t="shared" si="17"/>
        <v>0</v>
      </c>
      <c r="R52" s="31">
        <f t="shared" si="17"/>
        <v>0</v>
      </c>
      <c r="S52" s="31">
        <f t="shared" si="17"/>
        <v>0</v>
      </c>
      <c r="T52" s="31">
        <f t="shared" si="17"/>
        <v>0</v>
      </c>
      <c r="U52" s="31">
        <f t="shared" si="17"/>
        <v>0</v>
      </c>
      <c r="V52" s="31">
        <f t="shared" si="17"/>
        <v>0</v>
      </c>
      <c r="W52" s="31">
        <f t="shared" si="17"/>
        <v>0</v>
      </c>
      <c r="X52" s="31">
        <f t="shared" si="17"/>
        <v>0</v>
      </c>
      <c r="Y52" s="31">
        <f t="shared" si="17"/>
        <v>0</v>
      </c>
      <c r="Z52" s="31">
        <f t="shared" si="17"/>
        <v>0</v>
      </c>
      <c r="AA52" s="31">
        <f t="shared" si="17"/>
        <v>0</v>
      </c>
      <c r="AB52" s="31">
        <f t="shared" si="17"/>
        <v>0</v>
      </c>
      <c r="AC52" s="31">
        <f t="shared" si="17"/>
        <v>0</v>
      </c>
      <c r="AD52" s="31">
        <f t="shared" si="17"/>
        <v>0</v>
      </c>
      <c r="AE52" s="67">
        <f t="shared" si="17"/>
        <v>0</v>
      </c>
      <c r="AF52" s="67">
        <f t="shared" si="17"/>
        <v>98182.39</v>
      </c>
      <c r="AG52" s="31">
        <f t="shared" si="17"/>
        <v>0</v>
      </c>
      <c r="AH52" s="35" t="s">
        <v>896</v>
      </c>
      <c r="AI52" s="35" t="s">
        <v>896</v>
      </c>
      <c r="AJ52" s="35" t="s">
        <v>896</v>
      </c>
    </row>
    <row r="53" spans="1:36" s="20" customFormat="1" ht="61.5" x14ac:dyDescent="0.85">
      <c r="A53" s="20">
        <v>1</v>
      </c>
      <c r="B53" s="66">
        <f>SUBTOTAL(103,$A$14:A53)</f>
        <v>27</v>
      </c>
      <c r="C53" s="24" t="s">
        <v>1041</v>
      </c>
      <c r="D53" s="68" t="s">
        <v>1046</v>
      </c>
      <c r="E53" s="69">
        <v>1.0001</v>
      </c>
      <c r="F53" s="31">
        <f t="shared" si="4"/>
        <v>3168456.39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76">
        <v>0</v>
      </c>
      <c r="N53" s="31">
        <v>0</v>
      </c>
      <c r="O53" s="39">
        <v>874</v>
      </c>
      <c r="P53" s="39">
        <v>3070274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0</v>
      </c>
      <c r="AE53" s="67">
        <v>0</v>
      </c>
      <c r="AF53" s="203">
        <v>98182.39</v>
      </c>
      <c r="AG53" s="31">
        <v>0</v>
      </c>
      <c r="AH53" s="35">
        <v>2020</v>
      </c>
      <c r="AI53" s="35">
        <v>2020</v>
      </c>
      <c r="AJ53" s="35" t="s">
        <v>270</v>
      </c>
    </row>
    <row r="54" spans="1:36" s="20" customFormat="1" ht="61.5" x14ac:dyDescent="0.85">
      <c r="B54" s="70" t="s">
        <v>865</v>
      </c>
      <c r="C54" s="24"/>
      <c r="D54" s="68" t="s">
        <v>896</v>
      </c>
      <c r="E54" s="69">
        <f>AVERAGE(E55:E56)</f>
        <v>1.0058</v>
      </c>
      <c r="F54" s="31">
        <f>F56+F55+F57</f>
        <v>4973352.16</v>
      </c>
      <c r="G54" s="31">
        <f t="shared" ref="G54:AG54" si="18">G56+G55+G57</f>
        <v>0</v>
      </c>
      <c r="H54" s="31">
        <f t="shared" si="18"/>
        <v>0</v>
      </c>
      <c r="I54" s="31">
        <f t="shared" si="18"/>
        <v>0</v>
      </c>
      <c r="J54" s="31">
        <f t="shared" si="18"/>
        <v>0</v>
      </c>
      <c r="K54" s="31">
        <f t="shared" si="18"/>
        <v>0</v>
      </c>
      <c r="L54" s="31">
        <f t="shared" si="18"/>
        <v>0</v>
      </c>
      <c r="M54" s="76">
        <f t="shared" si="18"/>
        <v>0</v>
      </c>
      <c r="N54" s="31">
        <f t="shared" si="18"/>
        <v>0</v>
      </c>
      <c r="O54" s="31">
        <f t="shared" si="18"/>
        <v>880.82999999999993</v>
      </c>
      <c r="P54" s="31">
        <f t="shared" si="18"/>
        <v>3232706.81</v>
      </c>
      <c r="Q54" s="31">
        <f t="shared" si="18"/>
        <v>0</v>
      </c>
      <c r="R54" s="31">
        <f t="shared" si="18"/>
        <v>0</v>
      </c>
      <c r="S54" s="31">
        <f t="shared" si="18"/>
        <v>438.58</v>
      </c>
      <c r="T54" s="31">
        <f t="shared" si="18"/>
        <v>1586717.02</v>
      </c>
      <c r="U54" s="31">
        <f t="shared" si="18"/>
        <v>0</v>
      </c>
      <c r="V54" s="31">
        <f t="shared" si="18"/>
        <v>0</v>
      </c>
      <c r="W54" s="31">
        <f t="shared" si="18"/>
        <v>0</v>
      </c>
      <c r="X54" s="31">
        <f t="shared" si="18"/>
        <v>0</v>
      </c>
      <c r="Y54" s="31">
        <f t="shared" si="18"/>
        <v>0</v>
      </c>
      <c r="Z54" s="31">
        <f t="shared" si="18"/>
        <v>0</v>
      </c>
      <c r="AA54" s="31">
        <f t="shared" si="18"/>
        <v>0</v>
      </c>
      <c r="AB54" s="31">
        <f t="shared" si="18"/>
        <v>0</v>
      </c>
      <c r="AC54" s="31">
        <f t="shared" si="18"/>
        <v>0</v>
      </c>
      <c r="AD54" s="31">
        <f t="shared" si="18"/>
        <v>0</v>
      </c>
      <c r="AE54" s="31">
        <f t="shared" si="18"/>
        <v>69489.760000000009</v>
      </c>
      <c r="AF54" s="31">
        <f t="shared" si="18"/>
        <v>84438.57</v>
      </c>
      <c r="AG54" s="31">
        <f t="shared" si="18"/>
        <v>0</v>
      </c>
      <c r="AH54" s="35" t="s">
        <v>896</v>
      </c>
      <c r="AI54" s="35" t="s">
        <v>896</v>
      </c>
      <c r="AJ54" s="35" t="s">
        <v>896</v>
      </c>
    </row>
    <row r="55" spans="1:36" s="20" customFormat="1" ht="61.5" x14ac:dyDescent="0.85">
      <c r="A55" s="20">
        <v>1</v>
      </c>
      <c r="B55" s="66">
        <f>SUBTOTAL(103,$A$14:A55)</f>
        <v>28</v>
      </c>
      <c r="C55" s="24" t="s">
        <v>1084</v>
      </c>
      <c r="D55" s="68" t="s">
        <v>1043</v>
      </c>
      <c r="E55" s="69">
        <v>1</v>
      </c>
      <c r="F55" s="31">
        <f>G55+H55+I55+J55+K55+L55+N55+P55+R55+T55+V55+W55+X55+Y55+Z55+AA55+AB55+AC55+AD55+AE55+AF55+AG55</f>
        <v>1928055.1199999999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76">
        <v>0</v>
      </c>
      <c r="N55" s="31">
        <v>0</v>
      </c>
      <c r="O55" s="39">
        <v>571.88</v>
      </c>
      <c r="P55" s="179">
        <v>1899561.69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67">
        <f>ROUND(P55*1.5%,2)</f>
        <v>28493.43</v>
      </c>
      <c r="AF55" s="67">
        <v>0</v>
      </c>
      <c r="AG55" s="31">
        <v>0</v>
      </c>
      <c r="AH55" s="35" t="s">
        <v>270</v>
      </c>
      <c r="AI55" s="35">
        <v>2020</v>
      </c>
      <c r="AJ55" s="35">
        <v>2020</v>
      </c>
    </row>
    <row r="56" spans="1:36" s="20" customFormat="1" ht="61.5" x14ac:dyDescent="0.85">
      <c r="A56" s="20">
        <v>1</v>
      </c>
      <c r="B56" s="66">
        <f>SUBTOTAL(103,$A$14:A56)</f>
        <v>29</v>
      </c>
      <c r="C56" s="24" t="s">
        <v>1039</v>
      </c>
      <c r="D56" s="68" t="s">
        <v>1049</v>
      </c>
      <c r="E56" s="69">
        <v>1.0116000000000001</v>
      </c>
      <c r="F56" s="31">
        <f t="shared" si="4"/>
        <v>1654265.04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76">
        <v>0</v>
      </c>
      <c r="N56" s="31">
        <v>0</v>
      </c>
      <c r="O56" s="31">
        <v>0</v>
      </c>
      <c r="P56" s="31">
        <f>O56*4800</f>
        <v>0</v>
      </c>
      <c r="Q56" s="31">
        <v>0</v>
      </c>
      <c r="R56" s="31">
        <v>0</v>
      </c>
      <c r="S56" s="39">
        <v>438.58</v>
      </c>
      <c r="T56" s="39">
        <v>1586717.02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67">
        <f>ROUND(T56*1.5%,2)</f>
        <v>23800.76</v>
      </c>
      <c r="AF56" s="203">
        <v>43747.26</v>
      </c>
      <c r="AG56" s="31">
        <v>0</v>
      </c>
      <c r="AH56" s="35">
        <v>2020</v>
      </c>
      <c r="AI56" s="35">
        <v>2020</v>
      </c>
      <c r="AJ56" s="35">
        <v>2020</v>
      </c>
    </row>
    <row r="57" spans="1:36" s="20" customFormat="1" ht="61.5" x14ac:dyDescent="0.85">
      <c r="A57" s="20">
        <v>1</v>
      </c>
      <c r="B57" s="66">
        <f>SUBTOTAL(103,$A$14:A57)</f>
        <v>30</v>
      </c>
      <c r="C57" s="24" t="s">
        <v>192</v>
      </c>
      <c r="D57" s="68" t="s">
        <v>1045</v>
      </c>
      <c r="E57" s="69">
        <v>1</v>
      </c>
      <c r="F57" s="31">
        <f t="shared" si="4"/>
        <v>1391032.0000000002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76">
        <v>0</v>
      </c>
      <c r="N57" s="31">
        <v>0</v>
      </c>
      <c r="O57" s="39">
        <v>308.95</v>
      </c>
      <c r="P57" s="39">
        <v>1333145.1200000001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9">
        <v>17195.57</v>
      </c>
      <c r="AF57" s="39">
        <v>40691.31</v>
      </c>
      <c r="AG57" s="31">
        <v>0</v>
      </c>
      <c r="AH57" s="35">
        <v>2020</v>
      </c>
      <c r="AI57" s="35">
        <v>2020</v>
      </c>
      <c r="AJ57" s="35">
        <v>2020</v>
      </c>
    </row>
    <row r="58" spans="1:36" s="20" customFormat="1" ht="61.5" x14ac:dyDescent="0.85">
      <c r="B58" s="70" t="s">
        <v>864</v>
      </c>
      <c r="C58" s="24"/>
      <c r="D58" s="68" t="s">
        <v>896</v>
      </c>
      <c r="E58" s="69">
        <f>AVERAGE(E59)</f>
        <v>1</v>
      </c>
      <c r="F58" s="31">
        <f>F59</f>
        <v>1664467.67</v>
      </c>
      <c r="G58" s="31">
        <f t="shared" ref="G58:AG58" si="19">G59</f>
        <v>0</v>
      </c>
      <c r="H58" s="31">
        <f t="shared" si="19"/>
        <v>0</v>
      </c>
      <c r="I58" s="31">
        <f t="shared" si="19"/>
        <v>0</v>
      </c>
      <c r="J58" s="31">
        <f t="shared" si="19"/>
        <v>0</v>
      </c>
      <c r="K58" s="31">
        <f t="shared" si="19"/>
        <v>0</v>
      </c>
      <c r="L58" s="31">
        <f t="shared" si="19"/>
        <v>0</v>
      </c>
      <c r="M58" s="76">
        <f t="shared" si="19"/>
        <v>0</v>
      </c>
      <c r="N58" s="31">
        <f t="shared" si="19"/>
        <v>0</v>
      </c>
      <c r="O58" s="31">
        <f t="shared" si="19"/>
        <v>546.45000000000005</v>
      </c>
      <c r="P58" s="31">
        <f t="shared" si="19"/>
        <v>1569811.07</v>
      </c>
      <c r="Q58" s="31">
        <f t="shared" si="19"/>
        <v>0</v>
      </c>
      <c r="R58" s="31">
        <f t="shared" si="19"/>
        <v>0</v>
      </c>
      <c r="S58" s="31">
        <f t="shared" si="19"/>
        <v>0</v>
      </c>
      <c r="T58" s="31">
        <f t="shared" si="19"/>
        <v>0</v>
      </c>
      <c r="U58" s="31">
        <f t="shared" si="19"/>
        <v>0</v>
      </c>
      <c r="V58" s="31">
        <f t="shared" si="19"/>
        <v>0</v>
      </c>
      <c r="W58" s="31">
        <f t="shared" si="19"/>
        <v>0</v>
      </c>
      <c r="X58" s="31">
        <f t="shared" si="19"/>
        <v>0</v>
      </c>
      <c r="Y58" s="31">
        <f t="shared" si="19"/>
        <v>0</v>
      </c>
      <c r="Z58" s="31">
        <f t="shared" si="19"/>
        <v>0</v>
      </c>
      <c r="AA58" s="31">
        <f t="shared" si="19"/>
        <v>0</v>
      </c>
      <c r="AB58" s="31">
        <f t="shared" si="19"/>
        <v>0</v>
      </c>
      <c r="AC58" s="31">
        <f t="shared" si="19"/>
        <v>0</v>
      </c>
      <c r="AD58" s="31">
        <f t="shared" si="19"/>
        <v>0</v>
      </c>
      <c r="AE58" s="67">
        <f t="shared" si="19"/>
        <v>23547.17</v>
      </c>
      <c r="AF58" s="67">
        <f t="shared" si="19"/>
        <v>71109.429999999993</v>
      </c>
      <c r="AG58" s="31">
        <f t="shared" si="19"/>
        <v>0</v>
      </c>
      <c r="AH58" s="35" t="s">
        <v>896</v>
      </c>
      <c r="AI58" s="35" t="s">
        <v>896</v>
      </c>
      <c r="AJ58" s="35" t="s">
        <v>896</v>
      </c>
    </row>
    <row r="59" spans="1:36" s="20" customFormat="1" ht="61.5" x14ac:dyDescent="0.85">
      <c r="A59" s="20">
        <v>1</v>
      </c>
      <c r="B59" s="66">
        <f>SUBTOTAL(103,$A$14:A59)</f>
        <v>31</v>
      </c>
      <c r="C59" s="24" t="s">
        <v>1075</v>
      </c>
      <c r="D59" s="68" t="s">
        <v>1048</v>
      </c>
      <c r="E59" s="69">
        <v>1</v>
      </c>
      <c r="F59" s="31">
        <f t="shared" si="4"/>
        <v>1664467.67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76">
        <v>0</v>
      </c>
      <c r="N59" s="31">
        <v>0</v>
      </c>
      <c r="O59" s="39">
        <v>546.45000000000005</v>
      </c>
      <c r="P59" s="179">
        <v>1569811.07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67">
        <f>ROUND(P59*1.5%,2)</f>
        <v>23547.17</v>
      </c>
      <c r="AF59" s="203">
        <v>71109.429999999993</v>
      </c>
      <c r="AG59" s="31">
        <v>0</v>
      </c>
      <c r="AH59" s="35">
        <v>2020</v>
      </c>
      <c r="AI59" s="35">
        <v>2020</v>
      </c>
      <c r="AJ59" s="35">
        <v>2020</v>
      </c>
    </row>
    <row r="60" spans="1:36" s="20" customFormat="1" ht="61.5" x14ac:dyDescent="0.85">
      <c r="B60" s="70" t="s">
        <v>840</v>
      </c>
      <c r="C60" s="24"/>
      <c r="D60" s="68" t="s">
        <v>896</v>
      </c>
      <c r="E60" s="69">
        <f>E61</f>
        <v>1.009761876417796</v>
      </c>
      <c r="F60" s="31">
        <f>F61</f>
        <v>119901.4</v>
      </c>
      <c r="G60" s="31">
        <f t="shared" ref="G60:AG60" si="20">G61</f>
        <v>0</v>
      </c>
      <c r="H60" s="31">
        <f t="shared" si="20"/>
        <v>0</v>
      </c>
      <c r="I60" s="31">
        <f t="shared" si="20"/>
        <v>0</v>
      </c>
      <c r="J60" s="31">
        <f t="shared" si="20"/>
        <v>0</v>
      </c>
      <c r="K60" s="31">
        <f t="shared" si="20"/>
        <v>0</v>
      </c>
      <c r="L60" s="31">
        <f t="shared" si="20"/>
        <v>0</v>
      </c>
      <c r="M60" s="76">
        <f t="shared" si="20"/>
        <v>0</v>
      </c>
      <c r="N60" s="31">
        <f t="shared" si="20"/>
        <v>0</v>
      </c>
      <c r="O60" s="31">
        <f t="shared" si="20"/>
        <v>0</v>
      </c>
      <c r="P60" s="31">
        <f t="shared" si="20"/>
        <v>0</v>
      </c>
      <c r="Q60" s="31">
        <f t="shared" si="20"/>
        <v>0</v>
      </c>
      <c r="R60" s="31">
        <f t="shared" si="20"/>
        <v>0</v>
      </c>
      <c r="S60" s="31">
        <f t="shared" si="20"/>
        <v>0</v>
      </c>
      <c r="T60" s="31">
        <f t="shared" si="20"/>
        <v>0</v>
      </c>
      <c r="U60" s="31">
        <f t="shared" si="20"/>
        <v>0</v>
      </c>
      <c r="V60" s="31">
        <f t="shared" si="20"/>
        <v>0</v>
      </c>
      <c r="W60" s="31">
        <f t="shared" si="20"/>
        <v>0</v>
      </c>
      <c r="X60" s="31">
        <f t="shared" si="20"/>
        <v>0</v>
      </c>
      <c r="Y60" s="31">
        <f t="shared" si="20"/>
        <v>0</v>
      </c>
      <c r="Z60" s="31">
        <f t="shared" si="20"/>
        <v>0</v>
      </c>
      <c r="AA60" s="31">
        <f t="shared" si="20"/>
        <v>0</v>
      </c>
      <c r="AB60" s="31">
        <f t="shared" si="20"/>
        <v>0</v>
      </c>
      <c r="AC60" s="31">
        <f t="shared" si="20"/>
        <v>0</v>
      </c>
      <c r="AD60" s="31">
        <f t="shared" si="20"/>
        <v>0</v>
      </c>
      <c r="AE60" s="31">
        <f t="shared" si="20"/>
        <v>0</v>
      </c>
      <c r="AF60" s="31">
        <f t="shared" si="20"/>
        <v>119901.4</v>
      </c>
      <c r="AG60" s="31">
        <f t="shared" si="20"/>
        <v>0</v>
      </c>
      <c r="AH60" s="35" t="s">
        <v>896</v>
      </c>
      <c r="AI60" s="35" t="s">
        <v>896</v>
      </c>
      <c r="AJ60" s="35" t="s">
        <v>896</v>
      </c>
    </row>
    <row r="61" spans="1:36" s="20" customFormat="1" ht="61.5" x14ac:dyDescent="0.85">
      <c r="A61" s="20">
        <v>1</v>
      </c>
      <c r="B61" s="66">
        <f>SUBTOTAL(103,$A$14:A61)</f>
        <v>32</v>
      </c>
      <c r="C61" s="24" t="s">
        <v>1408</v>
      </c>
      <c r="D61" s="68" t="s">
        <v>1048</v>
      </c>
      <c r="E61" s="69">
        <v>1.009761876417796</v>
      </c>
      <c r="F61" s="31">
        <f t="shared" si="4"/>
        <v>119901.4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76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0</v>
      </c>
      <c r="AD61" s="31">
        <v>0</v>
      </c>
      <c r="AE61" s="31">
        <f>ROUND(P61*1.5%,2)</f>
        <v>0</v>
      </c>
      <c r="AF61" s="123">
        <v>119901.4</v>
      </c>
      <c r="AG61" s="31">
        <v>0</v>
      </c>
      <c r="AH61" s="35">
        <v>2020</v>
      </c>
      <c r="AI61" s="35" t="s">
        <v>270</v>
      </c>
      <c r="AJ61" s="35" t="s">
        <v>270</v>
      </c>
    </row>
    <row r="62" spans="1:36" s="20" customFormat="1" ht="61.5" x14ac:dyDescent="0.85">
      <c r="B62" s="70" t="s">
        <v>876</v>
      </c>
      <c r="C62" s="24"/>
      <c r="D62" s="68" t="s">
        <v>896</v>
      </c>
      <c r="E62" s="69">
        <f>E63</f>
        <v>1.0869557735329547</v>
      </c>
      <c r="F62" s="31">
        <f>F63</f>
        <v>603261.75</v>
      </c>
      <c r="G62" s="31">
        <f t="shared" ref="G62:AG62" si="21">G63</f>
        <v>0</v>
      </c>
      <c r="H62" s="31">
        <f t="shared" si="21"/>
        <v>0</v>
      </c>
      <c r="I62" s="31">
        <f t="shared" si="21"/>
        <v>0</v>
      </c>
      <c r="J62" s="31">
        <f t="shared" si="21"/>
        <v>0</v>
      </c>
      <c r="K62" s="31">
        <f t="shared" si="21"/>
        <v>597348</v>
      </c>
      <c r="L62" s="31">
        <f t="shared" si="21"/>
        <v>0</v>
      </c>
      <c r="M62" s="76">
        <f t="shared" si="21"/>
        <v>0</v>
      </c>
      <c r="N62" s="31">
        <f t="shared" si="21"/>
        <v>0</v>
      </c>
      <c r="O62" s="31">
        <f t="shared" si="21"/>
        <v>0</v>
      </c>
      <c r="P62" s="31">
        <f t="shared" si="21"/>
        <v>0</v>
      </c>
      <c r="Q62" s="31">
        <f t="shared" si="21"/>
        <v>0</v>
      </c>
      <c r="R62" s="31">
        <f t="shared" si="21"/>
        <v>0</v>
      </c>
      <c r="S62" s="31">
        <f t="shared" si="21"/>
        <v>0</v>
      </c>
      <c r="T62" s="31">
        <f t="shared" si="21"/>
        <v>0</v>
      </c>
      <c r="U62" s="31">
        <f t="shared" si="21"/>
        <v>0</v>
      </c>
      <c r="V62" s="31">
        <f t="shared" si="21"/>
        <v>0</v>
      </c>
      <c r="W62" s="31">
        <f t="shared" si="21"/>
        <v>0</v>
      </c>
      <c r="X62" s="31">
        <f t="shared" si="21"/>
        <v>0</v>
      </c>
      <c r="Y62" s="31">
        <f t="shared" si="21"/>
        <v>0</v>
      </c>
      <c r="Z62" s="31">
        <f t="shared" si="21"/>
        <v>0</v>
      </c>
      <c r="AA62" s="31">
        <f t="shared" si="21"/>
        <v>0</v>
      </c>
      <c r="AB62" s="31">
        <f t="shared" si="21"/>
        <v>0</v>
      </c>
      <c r="AC62" s="31">
        <f t="shared" si="21"/>
        <v>0</v>
      </c>
      <c r="AD62" s="31">
        <f t="shared" si="21"/>
        <v>0</v>
      </c>
      <c r="AE62" s="31">
        <f t="shared" si="21"/>
        <v>5913.75</v>
      </c>
      <c r="AF62" s="31">
        <f t="shared" si="21"/>
        <v>0</v>
      </c>
      <c r="AG62" s="31">
        <f t="shared" si="21"/>
        <v>0</v>
      </c>
      <c r="AH62" s="35" t="s">
        <v>896</v>
      </c>
      <c r="AI62" s="35" t="s">
        <v>896</v>
      </c>
      <c r="AJ62" s="35" t="s">
        <v>896</v>
      </c>
    </row>
    <row r="63" spans="1:36" s="20" customFormat="1" ht="61.5" x14ac:dyDescent="0.85">
      <c r="A63" s="20">
        <v>1</v>
      </c>
      <c r="B63" s="66">
        <f>SUBTOTAL(103,$A$14:A63)</f>
        <v>33</v>
      </c>
      <c r="C63" s="24" t="s">
        <v>1409</v>
      </c>
      <c r="D63" s="68" t="s">
        <v>1048</v>
      </c>
      <c r="E63" s="69">
        <v>1.0869557735329547</v>
      </c>
      <c r="F63" s="31">
        <f t="shared" si="4"/>
        <v>603261.75</v>
      </c>
      <c r="G63" s="31">
        <v>0</v>
      </c>
      <c r="H63" s="31">
        <v>0</v>
      </c>
      <c r="I63" s="31">
        <v>0</v>
      </c>
      <c r="J63" s="31">
        <v>0</v>
      </c>
      <c r="K63" s="39">
        <v>597348</v>
      </c>
      <c r="L63" s="31">
        <v>0</v>
      </c>
      <c r="M63" s="76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  <c r="U63" s="31">
        <v>0</v>
      </c>
      <c r="V63" s="31">
        <v>0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9">
        <v>5913.75</v>
      </c>
      <c r="AF63" s="31">
        <v>0</v>
      </c>
      <c r="AG63" s="31">
        <v>0</v>
      </c>
      <c r="AH63" s="35" t="s">
        <v>270</v>
      </c>
      <c r="AI63" s="35">
        <v>2020</v>
      </c>
      <c r="AJ63" s="35">
        <v>2020</v>
      </c>
    </row>
    <row r="64" spans="1:36" s="73" customFormat="1" ht="61.5" x14ac:dyDescent="0.85">
      <c r="B64" s="202" t="s">
        <v>1959</v>
      </c>
      <c r="C64" s="74"/>
      <c r="D64" s="68" t="s">
        <v>896</v>
      </c>
      <c r="E64" s="69">
        <f>AVERAGE(E65:E82)</f>
        <v>1.0170814814814815</v>
      </c>
      <c r="F64" s="31">
        <f>F65+F69+F71+F73+F77+F79+F81+F83</f>
        <v>29983610.259999998</v>
      </c>
      <c r="G64" s="31">
        <f t="shared" ref="G64:AG64" si="22">G65+G69+G71+G73+G77+G79+G81+G83</f>
        <v>0</v>
      </c>
      <c r="H64" s="31">
        <f t="shared" si="22"/>
        <v>0</v>
      </c>
      <c r="I64" s="31">
        <f t="shared" si="22"/>
        <v>0</v>
      </c>
      <c r="J64" s="31">
        <f t="shared" si="22"/>
        <v>0</v>
      </c>
      <c r="K64" s="31">
        <f t="shared" si="22"/>
        <v>0</v>
      </c>
      <c r="L64" s="31">
        <f t="shared" si="22"/>
        <v>0</v>
      </c>
      <c r="M64" s="76">
        <f t="shared" si="22"/>
        <v>0</v>
      </c>
      <c r="N64" s="31">
        <f t="shared" si="22"/>
        <v>0</v>
      </c>
      <c r="O64" s="31">
        <f t="shared" si="22"/>
        <v>5251.84</v>
      </c>
      <c r="P64" s="31">
        <f t="shared" si="22"/>
        <v>26688219.510000002</v>
      </c>
      <c r="Q64" s="31">
        <f t="shared" si="22"/>
        <v>0</v>
      </c>
      <c r="R64" s="31">
        <f t="shared" si="22"/>
        <v>0</v>
      </c>
      <c r="S64" s="31">
        <f t="shared" si="22"/>
        <v>521.92999999999995</v>
      </c>
      <c r="T64" s="31">
        <f t="shared" si="22"/>
        <v>2556716.71</v>
      </c>
      <c r="U64" s="31">
        <f t="shared" si="22"/>
        <v>0</v>
      </c>
      <c r="V64" s="31">
        <f t="shared" si="22"/>
        <v>0</v>
      </c>
      <c r="W64" s="31">
        <f t="shared" si="22"/>
        <v>0</v>
      </c>
      <c r="X64" s="31">
        <f t="shared" si="22"/>
        <v>0</v>
      </c>
      <c r="Y64" s="31">
        <f t="shared" si="22"/>
        <v>0</v>
      </c>
      <c r="Z64" s="31">
        <f t="shared" si="22"/>
        <v>0</v>
      </c>
      <c r="AA64" s="31">
        <f t="shared" si="22"/>
        <v>0</v>
      </c>
      <c r="AB64" s="31">
        <f t="shared" si="22"/>
        <v>0</v>
      </c>
      <c r="AC64" s="31">
        <f t="shared" si="22"/>
        <v>0</v>
      </c>
      <c r="AD64" s="31">
        <f t="shared" si="22"/>
        <v>0</v>
      </c>
      <c r="AE64" s="31">
        <f t="shared" si="22"/>
        <v>438674.04</v>
      </c>
      <c r="AF64" s="31">
        <f t="shared" si="22"/>
        <v>300000</v>
      </c>
      <c r="AG64" s="31">
        <f t="shared" si="22"/>
        <v>0</v>
      </c>
      <c r="AH64" s="35" t="s">
        <v>896</v>
      </c>
      <c r="AI64" s="35" t="s">
        <v>896</v>
      </c>
      <c r="AJ64" s="35" t="s">
        <v>896</v>
      </c>
    </row>
    <row r="65" spans="1:36" s="20" customFormat="1" ht="61.5" x14ac:dyDescent="0.85">
      <c r="B65" s="70" t="s">
        <v>1051</v>
      </c>
      <c r="C65" s="24"/>
      <c r="D65" s="68" t="s">
        <v>896</v>
      </c>
      <c r="E65" s="69">
        <f>AVERAGE(E66:E68)</f>
        <v>1.0022</v>
      </c>
      <c r="F65" s="31">
        <f t="shared" ref="F65:AG65" si="23">SUM(F66:F68)</f>
        <v>5103149.49</v>
      </c>
      <c r="G65" s="31">
        <f t="shared" si="23"/>
        <v>0</v>
      </c>
      <c r="H65" s="31">
        <f t="shared" si="23"/>
        <v>0</v>
      </c>
      <c r="I65" s="31">
        <f t="shared" si="23"/>
        <v>0</v>
      </c>
      <c r="J65" s="31">
        <f t="shared" si="23"/>
        <v>0</v>
      </c>
      <c r="K65" s="31">
        <f t="shared" si="23"/>
        <v>0</v>
      </c>
      <c r="L65" s="31">
        <f t="shared" si="23"/>
        <v>0</v>
      </c>
      <c r="M65" s="76">
        <f t="shared" si="23"/>
        <v>0</v>
      </c>
      <c r="N65" s="31">
        <f t="shared" si="23"/>
        <v>0</v>
      </c>
      <c r="O65" s="31">
        <f t="shared" si="23"/>
        <v>631.93000000000006</v>
      </c>
      <c r="P65" s="31">
        <f t="shared" si="23"/>
        <v>2471016.7799999998</v>
      </c>
      <c r="Q65" s="31">
        <f t="shared" si="23"/>
        <v>0</v>
      </c>
      <c r="R65" s="31">
        <f t="shared" si="23"/>
        <v>0</v>
      </c>
      <c r="S65" s="31">
        <f t="shared" si="23"/>
        <v>521.92999999999995</v>
      </c>
      <c r="T65" s="31">
        <f t="shared" si="23"/>
        <v>2556716.71</v>
      </c>
      <c r="U65" s="31">
        <f t="shared" si="23"/>
        <v>0</v>
      </c>
      <c r="V65" s="31">
        <f t="shared" si="23"/>
        <v>0</v>
      </c>
      <c r="W65" s="31">
        <f t="shared" si="23"/>
        <v>0</v>
      </c>
      <c r="X65" s="31">
        <f t="shared" si="23"/>
        <v>0</v>
      </c>
      <c r="Y65" s="31">
        <f t="shared" si="23"/>
        <v>0</v>
      </c>
      <c r="Z65" s="31">
        <f t="shared" si="23"/>
        <v>0</v>
      </c>
      <c r="AA65" s="31">
        <f t="shared" si="23"/>
        <v>0</v>
      </c>
      <c r="AB65" s="31">
        <f t="shared" si="23"/>
        <v>0</v>
      </c>
      <c r="AC65" s="31">
        <f t="shared" si="23"/>
        <v>0</v>
      </c>
      <c r="AD65" s="31">
        <f t="shared" si="23"/>
        <v>0</v>
      </c>
      <c r="AE65" s="31">
        <f t="shared" si="23"/>
        <v>75416</v>
      </c>
      <c r="AF65" s="31">
        <f t="shared" si="23"/>
        <v>0</v>
      </c>
      <c r="AG65" s="31">
        <f t="shared" si="23"/>
        <v>0</v>
      </c>
      <c r="AH65" s="35" t="s">
        <v>896</v>
      </c>
      <c r="AI65" s="35" t="s">
        <v>896</v>
      </c>
      <c r="AJ65" s="35" t="s">
        <v>896</v>
      </c>
    </row>
    <row r="66" spans="1:36" s="20" customFormat="1" ht="61.5" x14ac:dyDescent="0.85">
      <c r="A66" s="20">
        <v>1</v>
      </c>
      <c r="B66" s="66">
        <f>SUBTOTAL(103,$A$65:A66)</f>
        <v>1</v>
      </c>
      <c r="C66" s="24" t="s">
        <v>1027</v>
      </c>
      <c r="D66" s="68" t="s">
        <v>1045</v>
      </c>
      <c r="E66" s="69">
        <v>1.0003</v>
      </c>
      <c r="F66" s="31">
        <f t="shared" ref="F66:F68" si="24">G66+H66+I66+J66+K66+L66+N66+P66+R66+T66+V66+W66+X66+Y66+Z66+AA66+AB66+AC66+AD66+AE66+AF66+AG66</f>
        <v>1063050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76">
        <v>0</v>
      </c>
      <c r="N66" s="31">
        <v>0</v>
      </c>
      <c r="O66" s="31">
        <v>257</v>
      </c>
      <c r="P66" s="31">
        <v>1047339.9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67">
        <f>ROUND(P66*1.5%,2)</f>
        <v>15710.1</v>
      </c>
      <c r="AF66" s="67">
        <v>0</v>
      </c>
      <c r="AG66" s="67">
        <v>0</v>
      </c>
      <c r="AH66" s="35" t="s">
        <v>270</v>
      </c>
      <c r="AI66" s="35">
        <v>2021</v>
      </c>
      <c r="AJ66" s="35">
        <v>2021</v>
      </c>
    </row>
    <row r="67" spans="1:36" s="20" customFormat="1" ht="61.5" x14ac:dyDescent="0.85">
      <c r="A67" s="20">
        <v>1</v>
      </c>
      <c r="B67" s="66">
        <f>SUBTOTAL(103,$A$65:A67)</f>
        <v>2</v>
      </c>
      <c r="C67" s="24" t="s">
        <v>1090</v>
      </c>
      <c r="D67" s="68" t="s">
        <v>1046</v>
      </c>
      <c r="E67" s="69">
        <v>1.0026999999999999</v>
      </c>
      <c r="F67" s="31">
        <f t="shared" si="24"/>
        <v>2595067.46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76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521.92999999999995</v>
      </c>
      <c r="T67" s="31">
        <v>2556716.71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67">
        <f>ROUND(T67*1.5%,2)</f>
        <v>38350.75</v>
      </c>
      <c r="AF67" s="67">
        <v>0</v>
      </c>
      <c r="AG67" s="67">
        <v>0</v>
      </c>
      <c r="AH67" s="35" t="s">
        <v>270</v>
      </c>
      <c r="AI67" s="35">
        <v>2021</v>
      </c>
      <c r="AJ67" s="35">
        <v>2021</v>
      </c>
    </row>
    <row r="68" spans="1:36" s="20" customFormat="1" ht="61.5" x14ac:dyDescent="0.85">
      <c r="A68" s="20">
        <v>1</v>
      </c>
      <c r="B68" s="66">
        <f>SUBTOTAL(103,$A$65:A68)</f>
        <v>3</v>
      </c>
      <c r="C68" s="24" t="s">
        <v>1406</v>
      </c>
      <c r="D68" s="68" t="s">
        <v>1044</v>
      </c>
      <c r="E68" s="69">
        <v>1.0036</v>
      </c>
      <c r="F68" s="31">
        <f t="shared" si="24"/>
        <v>1445032.0299999998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76">
        <v>0</v>
      </c>
      <c r="N68" s="31">
        <v>0</v>
      </c>
      <c r="O68" s="31">
        <v>374.93</v>
      </c>
      <c r="P68" s="31">
        <v>1423676.88</v>
      </c>
      <c r="Q68" s="31">
        <v>0</v>
      </c>
      <c r="R68" s="31">
        <v>0</v>
      </c>
      <c r="S68" s="31">
        <v>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67">
        <f>ROUND(P68*1.5%,2)</f>
        <v>21355.15</v>
      </c>
      <c r="AF68" s="67">
        <v>0</v>
      </c>
      <c r="AG68" s="67">
        <v>0</v>
      </c>
      <c r="AH68" s="35" t="s">
        <v>270</v>
      </c>
      <c r="AI68" s="35">
        <v>2021</v>
      </c>
      <c r="AJ68" s="35">
        <v>2021</v>
      </c>
    </row>
    <row r="69" spans="1:36" s="20" customFormat="1" ht="61.5" x14ac:dyDescent="0.85">
      <c r="B69" s="70" t="s">
        <v>830</v>
      </c>
      <c r="C69" s="24"/>
      <c r="D69" s="68" t="s">
        <v>896</v>
      </c>
      <c r="E69" s="69">
        <f>AVERAGE(E70)</f>
        <v>1.0308999999999999</v>
      </c>
      <c r="F69" s="31">
        <f>F70</f>
        <v>1315440</v>
      </c>
      <c r="G69" s="31">
        <f t="shared" ref="G69:AG69" si="25">G70</f>
        <v>0</v>
      </c>
      <c r="H69" s="31">
        <f t="shared" si="25"/>
        <v>0</v>
      </c>
      <c r="I69" s="31">
        <f t="shared" si="25"/>
        <v>0</v>
      </c>
      <c r="J69" s="31">
        <f t="shared" si="25"/>
        <v>0</v>
      </c>
      <c r="K69" s="31">
        <f t="shared" si="25"/>
        <v>0</v>
      </c>
      <c r="L69" s="31">
        <f t="shared" si="25"/>
        <v>0</v>
      </c>
      <c r="M69" s="76">
        <f t="shared" si="25"/>
        <v>0</v>
      </c>
      <c r="N69" s="31">
        <f t="shared" si="25"/>
        <v>0</v>
      </c>
      <c r="O69" s="31">
        <f t="shared" si="25"/>
        <v>292.8</v>
      </c>
      <c r="P69" s="31">
        <f t="shared" si="25"/>
        <v>1296000</v>
      </c>
      <c r="Q69" s="31">
        <f t="shared" si="25"/>
        <v>0</v>
      </c>
      <c r="R69" s="31">
        <f t="shared" si="25"/>
        <v>0</v>
      </c>
      <c r="S69" s="31">
        <f t="shared" si="25"/>
        <v>0</v>
      </c>
      <c r="T69" s="31">
        <f t="shared" si="25"/>
        <v>0</v>
      </c>
      <c r="U69" s="31">
        <f t="shared" si="25"/>
        <v>0</v>
      </c>
      <c r="V69" s="31">
        <f t="shared" si="25"/>
        <v>0</v>
      </c>
      <c r="W69" s="31">
        <f t="shared" si="25"/>
        <v>0</v>
      </c>
      <c r="X69" s="31">
        <f t="shared" si="25"/>
        <v>0</v>
      </c>
      <c r="Y69" s="31">
        <f t="shared" si="25"/>
        <v>0</v>
      </c>
      <c r="Z69" s="31">
        <f t="shared" si="25"/>
        <v>0</v>
      </c>
      <c r="AA69" s="31">
        <f t="shared" si="25"/>
        <v>0</v>
      </c>
      <c r="AB69" s="31">
        <f t="shared" si="25"/>
        <v>0</v>
      </c>
      <c r="AC69" s="31">
        <f t="shared" si="25"/>
        <v>0</v>
      </c>
      <c r="AD69" s="31">
        <f t="shared" si="25"/>
        <v>0</v>
      </c>
      <c r="AE69" s="67">
        <f t="shared" si="25"/>
        <v>19440</v>
      </c>
      <c r="AF69" s="67">
        <f t="shared" si="25"/>
        <v>0</v>
      </c>
      <c r="AG69" s="31">
        <f t="shared" si="25"/>
        <v>0</v>
      </c>
      <c r="AH69" s="35" t="s">
        <v>896</v>
      </c>
      <c r="AI69" s="35" t="s">
        <v>896</v>
      </c>
      <c r="AJ69" s="35" t="s">
        <v>896</v>
      </c>
    </row>
    <row r="70" spans="1:36" s="20" customFormat="1" ht="61.5" x14ac:dyDescent="0.85">
      <c r="A70" s="20">
        <v>1</v>
      </c>
      <c r="B70" s="66">
        <f>SUBTOTAL(103,$A$65:A70)</f>
        <v>4</v>
      </c>
      <c r="C70" s="24" t="s">
        <v>1028</v>
      </c>
      <c r="D70" s="68" t="s">
        <v>1043</v>
      </c>
      <c r="E70" s="69">
        <v>1.0308999999999999</v>
      </c>
      <c r="F70" s="31">
        <f t="shared" ref="F70" si="26">G70+H70+I70+J70+K70+L70+N70+P70+R70+T70+V70+W70+X70+Y70+Z70+AA70+AB70+AC70+AD70+AE70+AF70+AG70</f>
        <v>1315440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76">
        <v>0</v>
      </c>
      <c r="N70" s="31">
        <v>0</v>
      </c>
      <c r="O70" s="31">
        <v>292.8</v>
      </c>
      <c r="P70" s="31">
        <v>1296000</v>
      </c>
      <c r="Q70" s="31">
        <v>0</v>
      </c>
      <c r="R70" s="31">
        <v>0</v>
      </c>
      <c r="S70" s="31">
        <v>0</v>
      </c>
      <c r="T70" s="31">
        <v>0</v>
      </c>
      <c r="U70" s="31">
        <v>0</v>
      </c>
      <c r="V70" s="31">
        <v>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0</v>
      </c>
      <c r="AD70" s="31">
        <v>0</v>
      </c>
      <c r="AE70" s="67">
        <f>ROUND(P70*1.5%,2)</f>
        <v>19440</v>
      </c>
      <c r="AF70" s="67">
        <v>0</v>
      </c>
      <c r="AG70" s="31">
        <v>0</v>
      </c>
      <c r="AH70" s="35" t="s">
        <v>270</v>
      </c>
      <c r="AI70" s="35">
        <v>2021</v>
      </c>
      <c r="AJ70" s="35">
        <v>2021</v>
      </c>
    </row>
    <row r="71" spans="1:36" s="20" customFormat="1" ht="61.5" x14ac:dyDescent="0.85">
      <c r="B71" s="70" t="s">
        <v>1052</v>
      </c>
      <c r="C71" s="24"/>
      <c r="D71" s="68" t="s">
        <v>896</v>
      </c>
      <c r="E71" s="69">
        <f>AVERAGE(E72:E72)</f>
        <v>1.0385</v>
      </c>
      <c r="F71" s="31">
        <f t="shared" ref="F71:AG71" si="27">SUM(F72:F72)</f>
        <v>2607490.21</v>
      </c>
      <c r="G71" s="31">
        <f t="shared" si="27"/>
        <v>0</v>
      </c>
      <c r="H71" s="31">
        <f t="shared" si="27"/>
        <v>0</v>
      </c>
      <c r="I71" s="31">
        <f t="shared" si="27"/>
        <v>0</v>
      </c>
      <c r="J71" s="31">
        <f t="shared" si="27"/>
        <v>0</v>
      </c>
      <c r="K71" s="31">
        <f t="shared" si="27"/>
        <v>0</v>
      </c>
      <c r="L71" s="31">
        <f t="shared" si="27"/>
        <v>0</v>
      </c>
      <c r="M71" s="76">
        <f t="shared" si="27"/>
        <v>0</v>
      </c>
      <c r="N71" s="31">
        <f t="shared" si="27"/>
        <v>0</v>
      </c>
      <c r="O71" s="31">
        <f t="shared" si="27"/>
        <v>344.84</v>
      </c>
      <c r="P71" s="31">
        <f t="shared" si="27"/>
        <v>2421172.62</v>
      </c>
      <c r="Q71" s="31">
        <f t="shared" si="27"/>
        <v>0</v>
      </c>
      <c r="R71" s="31">
        <f t="shared" si="27"/>
        <v>0</v>
      </c>
      <c r="S71" s="31">
        <f t="shared" si="27"/>
        <v>0</v>
      </c>
      <c r="T71" s="31">
        <f t="shared" si="27"/>
        <v>0</v>
      </c>
      <c r="U71" s="31">
        <f t="shared" si="27"/>
        <v>0</v>
      </c>
      <c r="V71" s="31">
        <f t="shared" si="27"/>
        <v>0</v>
      </c>
      <c r="W71" s="31">
        <f t="shared" si="27"/>
        <v>0</v>
      </c>
      <c r="X71" s="31">
        <f t="shared" si="27"/>
        <v>0</v>
      </c>
      <c r="Y71" s="31">
        <f t="shared" si="27"/>
        <v>0</v>
      </c>
      <c r="Z71" s="31">
        <f t="shared" si="27"/>
        <v>0</v>
      </c>
      <c r="AA71" s="31">
        <f t="shared" si="27"/>
        <v>0</v>
      </c>
      <c r="AB71" s="31">
        <f t="shared" si="27"/>
        <v>0</v>
      </c>
      <c r="AC71" s="31">
        <f t="shared" si="27"/>
        <v>0</v>
      </c>
      <c r="AD71" s="31">
        <f t="shared" si="27"/>
        <v>0</v>
      </c>
      <c r="AE71" s="67">
        <f t="shared" si="27"/>
        <v>36317.589999999997</v>
      </c>
      <c r="AF71" s="67">
        <f t="shared" si="27"/>
        <v>150000</v>
      </c>
      <c r="AG71" s="31">
        <f t="shared" si="27"/>
        <v>0</v>
      </c>
      <c r="AH71" s="35" t="s">
        <v>896</v>
      </c>
      <c r="AI71" s="35" t="s">
        <v>896</v>
      </c>
      <c r="AJ71" s="35" t="s">
        <v>896</v>
      </c>
    </row>
    <row r="72" spans="1:36" s="20" customFormat="1" ht="61.5" x14ac:dyDescent="0.85">
      <c r="A72" s="20">
        <v>1</v>
      </c>
      <c r="B72" s="66">
        <f>SUBTOTAL(103,$A$65:A72)</f>
        <v>5</v>
      </c>
      <c r="C72" s="24" t="s">
        <v>1960</v>
      </c>
      <c r="D72" s="68" t="s">
        <v>1046</v>
      </c>
      <c r="E72" s="69">
        <v>1.0385</v>
      </c>
      <c r="F72" s="31">
        <f t="shared" ref="F72" si="28">G72+H72+I72+J72+K72+L72+N72+P72+R72+T72+V72+W72+X72+Y72+Z72+AA72+AB72+AC72+AD72+AE72+AF72+AG72</f>
        <v>2607490.21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76">
        <v>0</v>
      </c>
      <c r="N72" s="31">
        <v>0</v>
      </c>
      <c r="O72" s="31">
        <v>344.84</v>
      </c>
      <c r="P72" s="31">
        <v>2421172.62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0</v>
      </c>
      <c r="AD72" s="31">
        <v>0</v>
      </c>
      <c r="AE72" s="67">
        <f>ROUND(P72*1.5%,2)</f>
        <v>36317.589999999997</v>
      </c>
      <c r="AF72" s="203">
        <v>150000</v>
      </c>
      <c r="AG72" s="31">
        <v>0</v>
      </c>
      <c r="AH72" s="35">
        <v>2021</v>
      </c>
      <c r="AI72" s="35">
        <v>2021</v>
      </c>
      <c r="AJ72" s="35">
        <v>2021</v>
      </c>
    </row>
    <row r="73" spans="1:36" s="20" customFormat="1" ht="61.5" x14ac:dyDescent="0.85">
      <c r="B73" s="70" t="s">
        <v>766</v>
      </c>
      <c r="C73" s="24"/>
      <c r="D73" s="68" t="s">
        <v>896</v>
      </c>
      <c r="E73" s="69">
        <f>AVERAGE(E74:E76)</f>
        <v>1.0097666666666667</v>
      </c>
      <c r="F73" s="31">
        <f>SUM(F74:F76)</f>
        <v>6088266.21</v>
      </c>
      <c r="G73" s="31">
        <f t="shared" ref="G73:AG73" si="29">SUM(G74:G76)</f>
        <v>0</v>
      </c>
      <c r="H73" s="31">
        <f t="shared" si="29"/>
        <v>0</v>
      </c>
      <c r="I73" s="31">
        <f t="shared" si="29"/>
        <v>0</v>
      </c>
      <c r="J73" s="31">
        <f t="shared" si="29"/>
        <v>0</v>
      </c>
      <c r="K73" s="31">
        <f t="shared" si="29"/>
        <v>0</v>
      </c>
      <c r="L73" s="31">
        <f t="shared" si="29"/>
        <v>0</v>
      </c>
      <c r="M73" s="76">
        <f t="shared" si="29"/>
        <v>0</v>
      </c>
      <c r="N73" s="31">
        <f t="shared" si="29"/>
        <v>0</v>
      </c>
      <c r="O73" s="31">
        <f t="shared" si="29"/>
        <v>1215.3400000000001</v>
      </c>
      <c r="P73" s="31">
        <f t="shared" si="29"/>
        <v>5998291.8300000001</v>
      </c>
      <c r="Q73" s="31">
        <f t="shared" si="29"/>
        <v>0</v>
      </c>
      <c r="R73" s="31">
        <f t="shared" si="29"/>
        <v>0</v>
      </c>
      <c r="S73" s="31">
        <f t="shared" si="29"/>
        <v>0</v>
      </c>
      <c r="T73" s="31">
        <f t="shared" si="29"/>
        <v>0</v>
      </c>
      <c r="U73" s="31">
        <f t="shared" si="29"/>
        <v>0</v>
      </c>
      <c r="V73" s="31">
        <f t="shared" si="29"/>
        <v>0</v>
      </c>
      <c r="W73" s="31">
        <f t="shared" si="29"/>
        <v>0</v>
      </c>
      <c r="X73" s="31">
        <f t="shared" si="29"/>
        <v>0</v>
      </c>
      <c r="Y73" s="31">
        <f t="shared" si="29"/>
        <v>0</v>
      </c>
      <c r="Z73" s="31">
        <f t="shared" si="29"/>
        <v>0</v>
      </c>
      <c r="AA73" s="31">
        <f t="shared" si="29"/>
        <v>0</v>
      </c>
      <c r="AB73" s="31">
        <f t="shared" si="29"/>
        <v>0</v>
      </c>
      <c r="AC73" s="31">
        <f t="shared" si="29"/>
        <v>0</v>
      </c>
      <c r="AD73" s="31">
        <f t="shared" si="29"/>
        <v>0</v>
      </c>
      <c r="AE73" s="67">
        <f t="shared" si="29"/>
        <v>89974.38</v>
      </c>
      <c r="AF73" s="67">
        <f t="shared" si="29"/>
        <v>0</v>
      </c>
      <c r="AG73" s="31">
        <f t="shared" si="29"/>
        <v>0</v>
      </c>
      <c r="AH73" s="35" t="s">
        <v>896</v>
      </c>
      <c r="AI73" s="35" t="s">
        <v>896</v>
      </c>
      <c r="AJ73" s="35" t="s">
        <v>896</v>
      </c>
    </row>
    <row r="74" spans="1:36" s="20" customFormat="1" ht="61.5" x14ac:dyDescent="0.85">
      <c r="A74" s="20">
        <v>1</v>
      </c>
      <c r="B74" s="66">
        <f>SUBTOTAL(103,$A$65:A74)</f>
        <v>6</v>
      </c>
      <c r="C74" s="24" t="s">
        <v>1032</v>
      </c>
      <c r="D74" s="68" t="s">
        <v>1045</v>
      </c>
      <c r="E74" s="69">
        <v>1.0043</v>
      </c>
      <c r="F74" s="31">
        <f t="shared" ref="F74:F76" si="30">G74+H74+I74+J74+K74+L74+N74+P74+R74+T74+V74+W74+X74+Y74+Z74+AA74+AB74+AC74+AD74+AE74+AF74+AG74</f>
        <v>987466.21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76">
        <v>0</v>
      </c>
      <c r="N74" s="31">
        <v>0</v>
      </c>
      <c r="O74" s="31">
        <v>206.34</v>
      </c>
      <c r="P74" s="31">
        <v>972873.11</v>
      </c>
      <c r="Q74" s="31">
        <v>0</v>
      </c>
      <c r="R74" s="31">
        <v>0</v>
      </c>
      <c r="S74" s="31">
        <v>0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67">
        <f>ROUND(P74*1.5%,2)</f>
        <v>14593.1</v>
      </c>
      <c r="AF74" s="67">
        <v>0</v>
      </c>
      <c r="AG74" s="31">
        <v>0</v>
      </c>
      <c r="AH74" s="35" t="s">
        <v>270</v>
      </c>
      <c r="AI74" s="35">
        <v>2021</v>
      </c>
      <c r="AJ74" s="35">
        <v>2021</v>
      </c>
    </row>
    <row r="75" spans="1:36" s="20" customFormat="1" ht="61.5" x14ac:dyDescent="0.85">
      <c r="A75" s="20">
        <v>1</v>
      </c>
      <c r="B75" s="66">
        <f>SUBTOTAL(103,$A$65:A75)</f>
        <v>7</v>
      </c>
      <c r="C75" s="24" t="s">
        <v>790</v>
      </c>
      <c r="D75" s="68" t="s">
        <v>1045</v>
      </c>
      <c r="E75" s="69">
        <v>1.0185999999999999</v>
      </c>
      <c r="F75" s="31">
        <f t="shared" si="30"/>
        <v>2664800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76">
        <v>0</v>
      </c>
      <c r="N75" s="31">
        <v>0</v>
      </c>
      <c r="O75" s="31">
        <v>576</v>
      </c>
      <c r="P75" s="31">
        <v>2625418.7200000002</v>
      </c>
      <c r="Q75" s="31">
        <v>0</v>
      </c>
      <c r="R75" s="31">
        <v>0</v>
      </c>
      <c r="S75" s="31">
        <v>0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67">
        <f>ROUND(P75*1.5%,2)</f>
        <v>39381.279999999999</v>
      </c>
      <c r="AF75" s="67">
        <v>0</v>
      </c>
      <c r="AG75" s="31">
        <v>0</v>
      </c>
      <c r="AH75" s="35" t="s">
        <v>270</v>
      </c>
      <c r="AI75" s="35">
        <v>2021</v>
      </c>
      <c r="AJ75" s="35">
        <v>2021</v>
      </c>
    </row>
    <row r="76" spans="1:36" s="20" customFormat="1" ht="61.5" x14ac:dyDescent="0.85">
      <c r="A76" s="20">
        <v>1</v>
      </c>
      <c r="B76" s="66">
        <f>SUBTOTAL(103,$A$65:A76)</f>
        <v>8</v>
      </c>
      <c r="C76" s="24" t="s">
        <v>782</v>
      </c>
      <c r="D76" s="68" t="s">
        <v>1045</v>
      </c>
      <c r="E76" s="69">
        <v>1.0064</v>
      </c>
      <c r="F76" s="31">
        <f t="shared" si="30"/>
        <v>2436000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76">
        <v>0</v>
      </c>
      <c r="N76" s="31">
        <v>0</v>
      </c>
      <c r="O76" s="31">
        <v>433</v>
      </c>
      <c r="P76" s="31">
        <v>2400000</v>
      </c>
      <c r="Q76" s="31">
        <v>0</v>
      </c>
      <c r="R76" s="31">
        <v>0</v>
      </c>
      <c r="S76" s="31">
        <v>0</v>
      </c>
      <c r="T76" s="31">
        <v>0</v>
      </c>
      <c r="U76" s="31">
        <v>0</v>
      </c>
      <c r="V76" s="31">
        <v>0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67">
        <f>ROUND(P76*1.5%,2)</f>
        <v>36000</v>
      </c>
      <c r="AF76" s="67">
        <v>0</v>
      </c>
      <c r="AG76" s="31">
        <v>0</v>
      </c>
      <c r="AH76" s="35" t="s">
        <v>270</v>
      </c>
      <c r="AI76" s="35">
        <v>2021</v>
      </c>
      <c r="AJ76" s="35">
        <v>2021</v>
      </c>
    </row>
    <row r="77" spans="1:36" s="20" customFormat="1" ht="61.5" x14ac:dyDescent="0.85">
      <c r="B77" s="70" t="s">
        <v>846</v>
      </c>
      <c r="C77" s="24"/>
      <c r="D77" s="68" t="s">
        <v>896</v>
      </c>
      <c r="E77" s="69">
        <f>AVERAGE(E78)</f>
        <v>1</v>
      </c>
      <c r="F77" s="31">
        <f>F78</f>
        <v>5538174.9500000002</v>
      </c>
      <c r="G77" s="31">
        <f t="shared" ref="G77:AG79" si="31">G78</f>
        <v>0</v>
      </c>
      <c r="H77" s="31">
        <f t="shared" si="31"/>
        <v>0</v>
      </c>
      <c r="I77" s="31">
        <f t="shared" si="31"/>
        <v>0</v>
      </c>
      <c r="J77" s="31">
        <f t="shared" si="31"/>
        <v>0</v>
      </c>
      <c r="K77" s="31">
        <f t="shared" si="31"/>
        <v>0</v>
      </c>
      <c r="L77" s="31">
        <f t="shared" si="31"/>
        <v>0</v>
      </c>
      <c r="M77" s="76">
        <f t="shared" si="31"/>
        <v>0</v>
      </c>
      <c r="N77" s="31">
        <f t="shared" si="31"/>
        <v>0</v>
      </c>
      <c r="O77" s="31">
        <f t="shared" si="31"/>
        <v>1034.83</v>
      </c>
      <c r="P77" s="31">
        <f t="shared" si="31"/>
        <v>5456330</v>
      </c>
      <c r="Q77" s="31">
        <f t="shared" si="31"/>
        <v>0</v>
      </c>
      <c r="R77" s="31">
        <f t="shared" si="31"/>
        <v>0</v>
      </c>
      <c r="S77" s="31">
        <f t="shared" si="31"/>
        <v>0</v>
      </c>
      <c r="T77" s="31">
        <f t="shared" si="31"/>
        <v>0</v>
      </c>
      <c r="U77" s="31">
        <f t="shared" si="31"/>
        <v>0</v>
      </c>
      <c r="V77" s="31">
        <f t="shared" si="31"/>
        <v>0</v>
      </c>
      <c r="W77" s="31">
        <f t="shared" si="31"/>
        <v>0</v>
      </c>
      <c r="X77" s="31">
        <f t="shared" si="31"/>
        <v>0</v>
      </c>
      <c r="Y77" s="31">
        <f t="shared" si="31"/>
        <v>0</v>
      </c>
      <c r="Z77" s="31">
        <f t="shared" si="31"/>
        <v>0</v>
      </c>
      <c r="AA77" s="31">
        <f t="shared" si="31"/>
        <v>0</v>
      </c>
      <c r="AB77" s="31">
        <f t="shared" si="31"/>
        <v>0</v>
      </c>
      <c r="AC77" s="31">
        <f t="shared" si="31"/>
        <v>0</v>
      </c>
      <c r="AD77" s="31">
        <f t="shared" si="31"/>
        <v>0</v>
      </c>
      <c r="AE77" s="67">
        <f t="shared" si="31"/>
        <v>81844.95</v>
      </c>
      <c r="AF77" s="67">
        <f t="shared" si="31"/>
        <v>0</v>
      </c>
      <c r="AG77" s="31">
        <f t="shared" si="31"/>
        <v>0</v>
      </c>
      <c r="AH77" s="35" t="s">
        <v>896</v>
      </c>
      <c r="AI77" s="35" t="s">
        <v>896</v>
      </c>
      <c r="AJ77" s="35" t="s">
        <v>896</v>
      </c>
    </row>
    <row r="78" spans="1:36" s="20" customFormat="1" ht="61.5" x14ac:dyDescent="0.85">
      <c r="A78" s="20">
        <v>1</v>
      </c>
      <c r="B78" s="66">
        <f>SUBTOTAL(103,$A$65:A78)</f>
        <v>9</v>
      </c>
      <c r="C78" s="24" t="s">
        <v>1034</v>
      </c>
      <c r="D78" s="68" t="s">
        <v>1046</v>
      </c>
      <c r="E78" s="69">
        <v>1</v>
      </c>
      <c r="F78" s="31">
        <f t="shared" ref="F78" si="32">G78+H78+I78+J78+K78+L78+N78+P78+R78+T78+V78+W78+X78+Y78+Z78+AA78+AB78+AC78+AD78+AE78+AF78+AG78</f>
        <v>5538174.9500000002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76">
        <v>0</v>
      </c>
      <c r="N78" s="31">
        <v>0</v>
      </c>
      <c r="O78" s="31">
        <v>1034.83</v>
      </c>
      <c r="P78" s="31">
        <v>5456330</v>
      </c>
      <c r="Q78" s="31">
        <v>0</v>
      </c>
      <c r="R78" s="31">
        <v>0</v>
      </c>
      <c r="S78" s="31">
        <v>0</v>
      </c>
      <c r="T78" s="31">
        <v>0</v>
      </c>
      <c r="U78" s="31">
        <v>0</v>
      </c>
      <c r="V78" s="31">
        <v>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67">
        <f>ROUND(P78*1.5%,2)</f>
        <v>81844.95</v>
      </c>
      <c r="AF78" s="67">
        <v>0</v>
      </c>
      <c r="AG78" s="31">
        <v>0</v>
      </c>
      <c r="AH78" s="35" t="s">
        <v>270</v>
      </c>
      <c r="AI78" s="35">
        <v>2021</v>
      </c>
      <c r="AJ78" s="35">
        <v>2021</v>
      </c>
    </row>
    <row r="79" spans="1:36" s="20" customFormat="1" ht="61.5" x14ac:dyDescent="0.85">
      <c r="B79" s="70" t="s">
        <v>1718</v>
      </c>
      <c r="C79" s="24"/>
      <c r="D79" s="68" t="s">
        <v>896</v>
      </c>
      <c r="E79" s="69">
        <f>AVERAGE(E80)</f>
        <v>1.0524</v>
      </c>
      <c r="F79" s="31">
        <f>F80</f>
        <v>3672464.4</v>
      </c>
      <c r="G79" s="31">
        <f t="shared" si="31"/>
        <v>0</v>
      </c>
      <c r="H79" s="31">
        <f t="shared" si="31"/>
        <v>0</v>
      </c>
      <c r="I79" s="31">
        <f t="shared" si="31"/>
        <v>0</v>
      </c>
      <c r="J79" s="31">
        <f t="shared" si="31"/>
        <v>0</v>
      </c>
      <c r="K79" s="31">
        <f t="shared" si="31"/>
        <v>0</v>
      </c>
      <c r="L79" s="31">
        <f t="shared" si="31"/>
        <v>0</v>
      </c>
      <c r="M79" s="76">
        <f t="shared" si="31"/>
        <v>0</v>
      </c>
      <c r="N79" s="31">
        <f t="shared" si="31"/>
        <v>0</v>
      </c>
      <c r="O79" s="31">
        <f t="shared" si="31"/>
        <v>664.6</v>
      </c>
      <c r="P79" s="31">
        <f t="shared" si="31"/>
        <v>3470408.28</v>
      </c>
      <c r="Q79" s="31">
        <f t="shared" si="31"/>
        <v>0</v>
      </c>
      <c r="R79" s="31">
        <f t="shared" si="31"/>
        <v>0</v>
      </c>
      <c r="S79" s="31">
        <f t="shared" si="31"/>
        <v>0</v>
      </c>
      <c r="T79" s="31">
        <f t="shared" si="31"/>
        <v>0</v>
      </c>
      <c r="U79" s="31">
        <f t="shared" si="31"/>
        <v>0</v>
      </c>
      <c r="V79" s="31">
        <f t="shared" si="31"/>
        <v>0</v>
      </c>
      <c r="W79" s="31">
        <f t="shared" si="31"/>
        <v>0</v>
      </c>
      <c r="X79" s="31">
        <f t="shared" si="31"/>
        <v>0</v>
      </c>
      <c r="Y79" s="31">
        <f t="shared" si="31"/>
        <v>0</v>
      </c>
      <c r="Z79" s="31">
        <f t="shared" si="31"/>
        <v>0</v>
      </c>
      <c r="AA79" s="31">
        <f t="shared" si="31"/>
        <v>0</v>
      </c>
      <c r="AB79" s="31">
        <f t="shared" si="31"/>
        <v>0</v>
      </c>
      <c r="AC79" s="31">
        <f t="shared" si="31"/>
        <v>0</v>
      </c>
      <c r="AD79" s="31">
        <f t="shared" si="31"/>
        <v>0</v>
      </c>
      <c r="AE79" s="67">
        <f t="shared" si="31"/>
        <v>52056.12</v>
      </c>
      <c r="AF79" s="67">
        <f t="shared" si="31"/>
        <v>150000</v>
      </c>
      <c r="AG79" s="31">
        <f t="shared" si="31"/>
        <v>0</v>
      </c>
      <c r="AH79" s="35" t="s">
        <v>896</v>
      </c>
      <c r="AI79" s="35" t="s">
        <v>896</v>
      </c>
      <c r="AJ79" s="35" t="s">
        <v>896</v>
      </c>
    </row>
    <row r="80" spans="1:36" s="20" customFormat="1" ht="61.5" x14ac:dyDescent="0.85">
      <c r="A80" s="20">
        <v>1</v>
      </c>
      <c r="B80" s="66">
        <f>SUBTOTAL(103,$A$65:A80)</f>
        <v>10</v>
      </c>
      <c r="C80" s="24" t="s">
        <v>1717</v>
      </c>
      <c r="D80" s="68" t="s">
        <v>1046</v>
      </c>
      <c r="E80" s="69">
        <v>1.0524</v>
      </c>
      <c r="F80" s="31">
        <f t="shared" ref="F80" si="33">G80+H80+I80+J80+K80+L80+N80+P80+R80+T80+V80+W80+X80+Y80+Z80+AA80+AB80+AC80+AD80+AE80+AF80+AG80</f>
        <v>3672464.4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76">
        <v>0</v>
      </c>
      <c r="N80" s="31">
        <v>0</v>
      </c>
      <c r="O80" s="31">
        <v>664.6</v>
      </c>
      <c r="P80" s="31">
        <v>3470408.28</v>
      </c>
      <c r="Q80" s="31">
        <v>0</v>
      </c>
      <c r="R80" s="31">
        <v>0</v>
      </c>
      <c r="S80" s="31">
        <v>0</v>
      </c>
      <c r="T80" s="31">
        <v>0</v>
      </c>
      <c r="U80" s="31">
        <v>0</v>
      </c>
      <c r="V80" s="31">
        <v>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67">
        <f>ROUND(P80*1.5%,2)</f>
        <v>52056.12</v>
      </c>
      <c r="AF80" s="123">
        <v>150000</v>
      </c>
      <c r="AG80" s="31">
        <v>0</v>
      </c>
      <c r="AH80" s="35">
        <v>2021</v>
      </c>
      <c r="AI80" s="35">
        <v>2021</v>
      </c>
      <c r="AJ80" s="35">
        <v>2021</v>
      </c>
    </row>
    <row r="81" spans="1:40" s="20" customFormat="1" ht="61.5" x14ac:dyDescent="0.85">
      <c r="B81" s="70" t="s">
        <v>857</v>
      </c>
      <c r="C81" s="24"/>
      <c r="D81" s="68" t="s">
        <v>896</v>
      </c>
      <c r="E81" s="69">
        <f>AVERAGE(E82)</f>
        <v>1.008</v>
      </c>
      <c r="F81" s="31">
        <f>F82</f>
        <v>2030000</v>
      </c>
      <c r="G81" s="31">
        <f t="shared" ref="G81:AG81" si="34">G82</f>
        <v>0</v>
      </c>
      <c r="H81" s="31">
        <f t="shared" si="34"/>
        <v>0</v>
      </c>
      <c r="I81" s="31">
        <f t="shared" si="34"/>
        <v>0</v>
      </c>
      <c r="J81" s="31">
        <f t="shared" si="34"/>
        <v>0</v>
      </c>
      <c r="K81" s="31">
        <f t="shared" si="34"/>
        <v>0</v>
      </c>
      <c r="L81" s="31">
        <f t="shared" si="34"/>
        <v>0</v>
      </c>
      <c r="M81" s="76">
        <f t="shared" si="34"/>
        <v>0</v>
      </c>
      <c r="N81" s="31">
        <f t="shared" si="34"/>
        <v>0</v>
      </c>
      <c r="O81" s="31">
        <f t="shared" si="34"/>
        <v>352.5</v>
      </c>
      <c r="P81" s="31">
        <f t="shared" si="34"/>
        <v>2000000</v>
      </c>
      <c r="Q81" s="31">
        <f t="shared" si="34"/>
        <v>0</v>
      </c>
      <c r="R81" s="31">
        <f t="shared" si="34"/>
        <v>0</v>
      </c>
      <c r="S81" s="31">
        <f t="shared" si="34"/>
        <v>0</v>
      </c>
      <c r="T81" s="31">
        <f t="shared" si="34"/>
        <v>0</v>
      </c>
      <c r="U81" s="31">
        <f t="shared" si="34"/>
        <v>0</v>
      </c>
      <c r="V81" s="31">
        <f t="shared" si="34"/>
        <v>0</v>
      </c>
      <c r="W81" s="31">
        <f t="shared" si="34"/>
        <v>0</v>
      </c>
      <c r="X81" s="31">
        <f t="shared" si="34"/>
        <v>0</v>
      </c>
      <c r="Y81" s="31">
        <f t="shared" si="34"/>
        <v>0</v>
      </c>
      <c r="Z81" s="31">
        <f t="shared" si="34"/>
        <v>0</v>
      </c>
      <c r="AA81" s="31">
        <f t="shared" si="34"/>
        <v>0</v>
      </c>
      <c r="AB81" s="31">
        <f t="shared" si="34"/>
        <v>0</v>
      </c>
      <c r="AC81" s="31">
        <f t="shared" si="34"/>
        <v>0</v>
      </c>
      <c r="AD81" s="31">
        <f t="shared" si="34"/>
        <v>0</v>
      </c>
      <c r="AE81" s="67">
        <f t="shared" si="34"/>
        <v>30000</v>
      </c>
      <c r="AF81" s="67">
        <f t="shared" si="34"/>
        <v>0</v>
      </c>
      <c r="AG81" s="31">
        <f t="shared" si="34"/>
        <v>0</v>
      </c>
      <c r="AH81" s="35" t="s">
        <v>896</v>
      </c>
      <c r="AI81" s="35" t="s">
        <v>896</v>
      </c>
      <c r="AJ81" s="35" t="s">
        <v>896</v>
      </c>
    </row>
    <row r="82" spans="1:40" s="20" customFormat="1" ht="61.5" x14ac:dyDescent="0.85">
      <c r="A82" s="20">
        <v>1</v>
      </c>
      <c r="B82" s="66">
        <f>SUBTOTAL(103,$A$65:A82)</f>
        <v>11</v>
      </c>
      <c r="C82" s="24" t="s">
        <v>1038</v>
      </c>
      <c r="D82" s="68" t="s">
        <v>1044</v>
      </c>
      <c r="E82" s="69">
        <v>1.008</v>
      </c>
      <c r="F82" s="31">
        <f t="shared" ref="F82" si="35">G82+H82+I82+J82+K82+L82+N82+P82+R82+T82+V82+W82+X82+Y82+Z82+AA82+AB82+AC82+AD82+AE82+AF82+AG82</f>
        <v>2030000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76">
        <v>0</v>
      </c>
      <c r="N82" s="31">
        <v>0</v>
      </c>
      <c r="O82" s="31">
        <v>352.5</v>
      </c>
      <c r="P82" s="31">
        <v>2000000</v>
      </c>
      <c r="Q82" s="31">
        <v>0</v>
      </c>
      <c r="R82" s="31">
        <v>0</v>
      </c>
      <c r="S82" s="31">
        <v>0</v>
      </c>
      <c r="T82" s="31">
        <v>0</v>
      </c>
      <c r="U82" s="31">
        <v>0</v>
      </c>
      <c r="V82" s="31">
        <v>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67">
        <f>ROUND(P82*1.5%,2)</f>
        <v>30000</v>
      </c>
      <c r="AF82" s="67">
        <v>0</v>
      </c>
      <c r="AG82" s="31">
        <v>0</v>
      </c>
      <c r="AH82" s="35" t="s">
        <v>270</v>
      </c>
      <c r="AI82" s="35">
        <v>2021</v>
      </c>
      <c r="AJ82" s="35">
        <v>2021</v>
      </c>
    </row>
    <row r="83" spans="1:40" s="20" customFormat="1" ht="61.5" x14ac:dyDescent="0.85">
      <c r="B83" s="70" t="s">
        <v>840</v>
      </c>
      <c r="C83" s="24"/>
      <c r="D83" s="68" t="s">
        <v>896</v>
      </c>
      <c r="E83" s="69">
        <f>E84</f>
        <v>1.009761876417796</v>
      </c>
      <c r="F83" s="31">
        <f>F84</f>
        <v>3628625</v>
      </c>
      <c r="G83" s="31">
        <f t="shared" ref="G83:AG83" si="36">G84</f>
        <v>0</v>
      </c>
      <c r="H83" s="31">
        <f t="shared" si="36"/>
        <v>0</v>
      </c>
      <c r="I83" s="31">
        <f t="shared" si="36"/>
        <v>0</v>
      </c>
      <c r="J83" s="31">
        <f t="shared" si="36"/>
        <v>0</v>
      </c>
      <c r="K83" s="31">
        <f t="shared" si="36"/>
        <v>0</v>
      </c>
      <c r="L83" s="31">
        <f t="shared" si="36"/>
        <v>0</v>
      </c>
      <c r="M83" s="76">
        <f t="shared" si="36"/>
        <v>0</v>
      </c>
      <c r="N83" s="31">
        <f t="shared" si="36"/>
        <v>0</v>
      </c>
      <c r="O83" s="31">
        <f t="shared" si="36"/>
        <v>715</v>
      </c>
      <c r="P83" s="31">
        <f t="shared" si="36"/>
        <v>3575000</v>
      </c>
      <c r="Q83" s="31">
        <f t="shared" si="36"/>
        <v>0</v>
      </c>
      <c r="R83" s="31">
        <f t="shared" si="36"/>
        <v>0</v>
      </c>
      <c r="S83" s="31">
        <f t="shared" si="36"/>
        <v>0</v>
      </c>
      <c r="T83" s="31">
        <f t="shared" si="36"/>
        <v>0</v>
      </c>
      <c r="U83" s="31">
        <f t="shared" si="36"/>
        <v>0</v>
      </c>
      <c r="V83" s="31">
        <f t="shared" si="36"/>
        <v>0</v>
      </c>
      <c r="W83" s="31">
        <f t="shared" si="36"/>
        <v>0</v>
      </c>
      <c r="X83" s="31">
        <f t="shared" si="36"/>
        <v>0</v>
      </c>
      <c r="Y83" s="31">
        <f t="shared" si="36"/>
        <v>0</v>
      </c>
      <c r="Z83" s="31">
        <f t="shared" si="36"/>
        <v>0</v>
      </c>
      <c r="AA83" s="31">
        <f t="shared" si="36"/>
        <v>0</v>
      </c>
      <c r="AB83" s="31">
        <f t="shared" si="36"/>
        <v>0</v>
      </c>
      <c r="AC83" s="31">
        <f t="shared" si="36"/>
        <v>0</v>
      </c>
      <c r="AD83" s="31">
        <f t="shared" si="36"/>
        <v>0</v>
      </c>
      <c r="AE83" s="31">
        <f t="shared" si="36"/>
        <v>53625</v>
      </c>
      <c r="AF83" s="31">
        <f t="shared" si="36"/>
        <v>0</v>
      </c>
      <c r="AG83" s="31">
        <f t="shared" si="36"/>
        <v>0</v>
      </c>
      <c r="AH83" s="35" t="s">
        <v>896</v>
      </c>
      <c r="AI83" s="35" t="s">
        <v>896</v>
      </c>
      <c r="AJ83" s="35" t="s">
        <v>896</v>
      </c>
    </row>
    <row r="84" spans="1:40" s="20" customFormat="1" ht="61.5" x14ac:dyDescent="0.85">
      <c r="A84" s="20">
        <v>1</v>
      </c>
      <c r="B84" s="66">
        <f>SUBTOTAL(103,$A$65:A84)</f>
        <v>12</v>
      </c>
      <c r="C84" s="24" t="s">
        <v>1408</v>
      </c>
      <c r="D84" s="68" t="s">
        <v>1048</v>
      </c>
      <c r="E84" s="69">
        <v>1.009761876417796</v>
      </c>
      <c r="F84" s="31">
        <f t="shared" ref="F84" si="37">G84+H84+I84+J84+K84+L84+N84+P84+R84+T84+V84+W84+X84+Y84+Z84+AA84+AB84+AC84+AD84+AE84+AF84+AG84</f>
        <v>3628625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76">
        <v>0</v>
      </c>
      <c r="N84" s="31">
        <v>0</v>
      </c>
      <c r="O84" s="31">
        <v>715</v>
      </c>
      <c r="P84" s="31">
        <v>3575000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0</v>
      </c>
      <c r="AD84" s="31">
        <v>0</v>
      </c>
      <c r="AE84" s="31">
        <f>ROUND(P84*1.5%,2)</f>
        <v>53625</v>
      </c>
      <c r="AF84" s="67">
        <v>0</v>
      </c>
      <c r="AG84" s="31">
        <v>0</v>
      </c>
      <c r="AH84" s="35" t="s">
        <v>270</v>
      </c>
      <c r="AI84" s="35">
        <v>2021</v>
      </c>
      <c r="AJ84" s="35">
        <v>2021</v>
      </c>
    </row>
    <row r="85" spans="1:40" ht="61.5" x14ac:dyDescent="0.25">
      <c r="B85" s="392" t="s">
        <v>1410</v>
      </c>
      <c r="C85" s="392"/>
      <c r="D85" s="392"/>
      <c r="E85" s="392"/>
      <c r="F85" s="392"/>
      <c r="G85" s="392"/>
      <c r="H85" s="392"/>
      <c r="I85" s="392"/>
      <c r="J85" s="392"/>
      <c r="K85" s="392"/>
      <c r="L85" s="392"/>
      <c r="M85" s="392"/>
      <c r="N85" s="392"/>
      <c r="O85" s="392"/>
      <c r="P85" s="392"/>
      <c r="Q85" s="392"/>
      <c r="R85" s="392"/>
      <c r="S85" s="392"/>
      <c r="T85" s="392"/>
      <c r="U85" s="392"/>
      <c r="V85" s="392"/>
      <c r="W85" s="392"/>
      <c r="X85" s="392"/>
      <c r="Y85" s="392"/>
      <c r="Z85" s="392"/>
      <c r="AA85" s="392"/>
      <c r="AB85" s="392"/>
      <c r="AC85" s="392"/>
      <c r="AD85" s="392"/>
      <c r="AE85" s="392"/>
      <c r="AF85" s="392"/>
      <c r="AG85" s="392"/>
      <c r="AH85" s="392"/>
      <c r="AI85" s="392"/>
      <c r="AJ85" s="392"/>
    </row>
    <row r="86" spans="1:40" ht="61.5" x14ac:dyDescent="0.85">
      <c r="B86" s="399" t="s">
        <v>1055</v>
      </c>
      <c r="C86" s="400"/>
      <c r="D86" s="283" t="s">
        <v>896</v>
      </c>
      <c r="E86" s="69">
        <v>0.89549999999999996</v>
      </c>
      <c r="F86" s="31">
        <f t="shared" ref="F86:AG86" si="38">F87+F96+F100+F117+F125+F130+F161+F177+F183+F186+F189+F191+F196+F198+F201+F204+F208+F210+F212+F214+F218+F220+F222+F224+F226+F228+F230+F233+F235+F237</f>
        <v>37865799.850000024</v>
      </c>
      <c r="G86" s="31">
        <f t="shared" si="38"/>
        <v>7510</v>
      </c>
      <c r="H86" s="31">
        <f t="shared" si="38"/>
        <v>0</v>
      </c>
      <c r="I86" s="31">
        <f t="shared" si="38"/>
        <v>204413.62</v>
      </c>
      <c r="J86" s="31">
        <f t="shared" si="38"/>
        <v>0</v>
      </c>
      <c r="K86" s="31">
        <f t="shared" si="38"/>
        <v>265366.61</v>
      </c>
      <c r="L86" s="31">
        <f t="shared" si="38"/>
        <v>0</v>
      </c>
      <c r="M86" s="31">
        <f t="shared" si="38"/>
        <v>0</v>
      </c>
      <c r="N86" s="31">
        <f t="shared" si="38"/>
        <v>0</v>
      </c>
      <c r="O86" s="31">
        <f t="shared" si="38"/>
        <v>86470.61</v>
      </c>
      <c r="P86" s="31">
        <f t="shared" si="38"/>
        <v>34685912.830000013</v>
      </c>
      <c r="Q86" s="31">
        <f t="shared" si="38"/>
        <v>0</v>
      </c>
      <c r="R86" s="31">
        <f t="shared" si="38"/>
        <v>0</v>
      </c>
      <c r="S86" s="31">
        <f t="shared" si="38"/>
        <v>7004.24</v>
      </c>
      <c r="T86" s="31">
        <f t="shared" si="38"/>
        <v>1657267.95</v>
      </c>
      <c r="U86" s="31">
        <f t="shared" si="38"/>
        <v>143.80000000000001</v>
      </c>
      <c r="V86" s="31">
        <f t="shared" si="38"/>
        <v>109992</v>
      </c>
      <c r="W86" s="31">
        <f t="shared" si="38"/>
        <v>0</v>
      </c>
      <c r="X86" s="31">
        <f t="shared" si="38"/>
        <v>407238.37</v>
      </c>
      <c r="Y86" s="31">
        <f t="shared" si="38"/>
        <v>0</v>
      </c>
      <c r="Z86" s="31">
        <f t="shared" si="38"/>
        <v>0</v>
      </c>
      <c r="AA86" s="31">
        <f t="shared" si="38"/>
        <v>0</v>
      </c>
      <c r="AB86" s="31">
        <f t="shared" si="38"/>
        <v>0</v>
      </c>
      <c r="AC86" s="31">
        <f t="shared" si="38"/>
        <v>0</v>
      </c>
      <c r="AD86" s="31">
        <f t="shared" si="38"/>
        <v>0</v>
      </c>
      <c r="AE86" s="31">
        <f t="shared" si="38"/>
        <v>528098.47</v>
      </c>
      <c r="AF86" s="31">
        <f t="shared" si="38"/>
        <v>0</v>
      </c>
      <c r="AG86" s="31">
        <f t="shared" si="38"/>
        <v>0</v>
      </c>
      <c r="AH86" s="284" t="s">
        <v>896</v>
      </c>
      <c r="AI86" s="284" t="s">
        <v>896</v>
      </c>
      <c r="AJ86" s="284" t="s">
        <v>896</v>
      </c>
    </row>
    <row r="87" spans="1:40" ht="62.25" x14ac:dyDescent="0.9">
      <c r="B87" s="285" t="s">
        <v>821</v>
      </c>
      <c r="C87" s="286"/>
      <c r="D87" s="287" t="s">
        <v>896</v>
      </c>
      <c r="E87" s="69">
        <f>AVERAGE(E88:E93)</f>
        <v>0.82381693240432963</v>
      </c>
      <c r="F87" s="31">
        <f>SUM(F88:F93)</f>
        <v>3112010.69</v>
      </c>
      <c r="G87" s="31">
        <f t="shared" ref="G87:AG87" si="39">SUM(G88:G93)</f>
        <v>0</v>
      </c>
      <c r="H87" s="31">
        <f t="shared" si="39"/>
        <v>0</v>
      </c>
      <c r="I87" s="31">
        <f t="shared" si="39"/>
        <v>0</v>
      </c>
      <c r="J87" s="31">
        <f t="shared" si="39"/>
        <v>0</v>
      </c>
      <c r="K87" s="31">
        <f t="shared" si="39"/>
        <v>0</v>
      </c>
      <c r="L87" s="31">
        <f t="shared" si="39"/>
        <v>0</v>
      </c>
      <c r="M87" s="74">
        <f t="shared" si="39"/>
        <v>0</v>
      </c>
      <c r="N87" s="31">
        <f t="shared" si="39"/>
        <v>0</v>
      </c>
      <c r="O87" s="31">
        <f t="shared" si="39"/>
        <v>4824.3</v>
      </c>
      <c r="P87" s="31">
        <f t="shared" si="39"/>
        <v>2728780.0100000002</v>
      </c>
      <c r="Q87" s="31">
        <f t="shared" si="39"/>
        <v>0</v>
      </c>
      <c r="R87" s="31">
        <f t="shared" si="39"/>
        <v>0</v>
      </c>
      <c r="S87" s="31">
        <f t="shared" si="39"/>
        <v>0</v>
      </c>
      <c r="T87" s="31">
        <f t="shared" si="39"/>
        <v>0</v>
      </c>
      <c r="U87" s="31">
        <f t="shared" si="39"/>
        <v>0</v>
      </c>
      <c r="V87" s="31">
        <f t="shared" si="39"/>
        <v>0</v>
      </c>
      <c r="W87" s="31">
        <f t="shared" si="39"/>
        <v>0</v>
      </c>
      <c r="X87" s="31">
        <f t="shared" si="39"/>
        <v>337240.37</v>
      </c>
      <c r="Y87" s="31">
        <f t="shared" si="39"/>
        <v>0</v>
      </c>
      <c r="Z87" s="31">
        <f t="shared" si="39"/>
        <v>0</v>
      </c>
      <c r="AA87" s="31">
        <f t="shared" si="39"/>
        <v>0</v>
      </c>
      <c r="AB87" s="31">
        <f t="shared" si="39"/>
        <v>0</v>
      </c>
      <c r="AC87" s="31">
        <f t="shared" si="39"/>
        <v>0</v>
      </c>
      <c r="AD87" s="31">
        <f t="shared" si="39"/>
        <v>0</v>
      </c>
      <c r="AE87" s="31">
        <f t="shared" si="39"/>
        <v>45990.31</v>
      </c>
      <c r="AF87" s="31">
        <f t="shared" si="39"/>
        <v>0</v>
      </c>
      <c r="AG87" s="31">
        <f t="shared" si="39"/>
        <v>0</v>
      </c>
      <c r="AH87" s="284" t="s">
        <v>896</v>
      </c>
      <c r="AI87" s="284" t="s">
        <v>896</v>
      </c>
      <c r="AJ87" s="284" t="s">
        <v>896</v>
      </c>
    </row>
    <row r="88" spans="1:40" ht="62.25" x14ac:dyDescent="0.9">
      <c r="A88" s="6">
        <v>1</v>
      </c>
      <c r="B88" s="66">
        <f>SUBTOTAL(103,$A$88:A88)</f>
        <v>1</v>
      </c>
      <c r="C88" s="288" t="s">
        <v>623</v>
      </c>
      <c r="D88" s="72" t="s">
        <v>1899</v>
      </c>
      <c r="E88" s="69">
        <v>0.68103653271030484</v>
      </c>
      <c r="F88" s="31">
        <f t="shared" ref="F88:F184" si="40">G88+H88+I88+J88+K88+L88+N88+P88+R88+T88+V88+W88+X88+Y88+Z88+AA88+AB88+AC88+AD88+AE88+AF88+AG88</f>
        <v>546602.54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74">
        <v>0</v>
      </c>
      <c r="N88" s="31">
        <v>0</v>
      </c>
      <c r="O88" s="31">
        <v>851.8</v>
      </c>
      <c r="P88" s="31">
        <v>538524.67000000004</v>
      </c>
      <c r="Q88" s="31">
        <v>0</v>
      </c>
      <c r="R88" s="31">
        <v>0</v>
      </c>
      <c r="S88" s="31">
        <v>0</v>
      </c>
      <c r="T88" s="289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f>ROUND(P88*1.5%,2)</f>
        <v>8077.87</v>
      </c>
      <c r="AF88" s="31">
        <v>0</v>
      </c>
      <c r="AG88" s="31">
        <v>0</v>
      </c>
      <c r="AH88" s="284" t="s">
        <v>270</v>
      </c>
      <c r="AI88" s="284">
        <v>2020</v>
      </c>
      <c r="AJ88" s="284">
        <v>2020</v>
      </c>
      <c r="AK88" s="64"/>
      <c r="AL88" s="64"/>
      <c r="AM88" s="64"/>
      <c r="AN88" s="64"/>
    </row>
    <row r="89" spans="1:40" ht="62.25" x14ac:dyDescent="0.9">
      <c r="A89" s="6">
        <v>1</v>
      </c>
      <c r="B89" s="66">
        <f>SUBTOTAL(103,$A$88:A89)</f>
        <v>2</v>
      </c>
      <c r="C89" s="288" t="s">
        <v>1414</v>
      </c>
      <c r="D89" s="72" t="s">
        <v>1899</v>
      </c>
      <c r="E89" s="69">
        <v>0.76770000000000005</v>
      </c>
      <c r="F89" s="31">
        <f t="shared" si="40"/>
        <v>491284.57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74">
        <v>0</v>
      </c>
      <c r="N89" s="31">
        <v>0</v>
      </c>
      <c r="O89" s="31">
        <v>901.5</v>
      </c>
      <c r="P89" s="31">
        <v>484024.21</v>
      </c>
      <c r="Q89" s="31">
        <v>0</v>
      </c>
      <c r="R89" s="31">
        <v>0</v>
      </c>
      <c r="S89" s="31">
        <v>0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f>ROUND(P89*1.5%,2)</f>
        <v>7260.36</v>
      </c>
      <c r="AF89" s="31">
        <v>0</v>
      </c>
      <c r="AG89" s="31">
        <v>0</v>
      </c>
      <c r="AH89" s="284" t="s">
        <v>270</v>
      </c>
      <c r="AI89" s="284">
        <v>2020</v>
      </c>
      <c r="AJ89" s="284">
        <v>2020</v>
      </c>
      <c r="AK89" s="64"/>
      <c r="AL89" s="64"/>
      <c r="AM89" s="64"/>
      <c r="AN89" s="64"/>
    </row>
    <row r="90" spans="1:40" ht="62.25" x14ac:dyDescent="0.9">
      <c r="A90" s="6">
        <v>1</v>
      </c>
      <c r="B90" s="66">
        <f>SUBTOTAL(103,$A$88:A90)</f>
        <v>3</v>
      </c>
      <c r="C90" s="288" t="s">
        <v>1415</v>
      </c>
      <c r="D90" s="72" t="s">
        <v>1899</v>
      </c>
      <c r="E90" s="69">
        <v>0.87790000000000001</v>
      </c>
      <c r="F90" s="31">
        <f t="shared" si="40"/>
        <v>1439828.96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74">
        <v>0</v>
      </c>
      <c r="N90" s="31">
        <v>0</v>
      </c>
      <c r="O90" s="31">
        <v>811</v>
      </c>
      <c r="P90" s="31">
        <v>1418550.7</v>
      </c>
      <c r="Q90" s="31">
        <v>0</v>
      </c>
      <c r="R90" s="31">
        <v>0</v>
      </c>
      <c r="S90" s="31">
        <v>0</v>
      </c>
      <c r="T90" s="31">
        <v>0</v>
      </c>
      <c r="U90" s="31">
        <v>0</v>
      </c>
      <c r="V90" s="31">
        <v>0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0</v>
      </c>
      <c r="AE90" s="31">
        <f>ROUND(P90*1.5%,2)</f>
        <v>21278.26</v>
      </c>
      <c r="AF90" s="31">
        <v>0</v>
      </c>
      <c r="AG90" s="31">
        <v>0</v>
      </c>
      <c r="AH90" s="284" t="s">
        <v>270</v>
      </c>
      <c r="AI90" s="284">
        <v>2020</v>
      </c>
      <c r="AJ90" s="284">
        <v>2020</v>
      </c>
      <c r="AK90" s="64"/>
      <c r="AL90" s="64"/>
      <c r="AM90" s="64"/>
      <c r="AN90" s="64"/>
    </row>
    <row r="91" spans="1:40" ht="62.25" x14ac:dyDescent="0.9">
      <c r="A91" s="6">
        <v>1</v>
      </c>
      <c r="B91" s="66">
        <f>SUBTOTAL(103,$A$88:A91)</f>
        <v>4</v>
      </c>
      <c r="C91" s="288" t="s">
        <v>1416</v>
      </c>
      <c r="D91" s="87" t="s">
        <v>1899</v>
      </c>
      <c r="E91" s="69">
        <v>0.74686506171567224</v>
      </c>
      <c r="F91" s="31">
        <f t="shared" si="40"/>
        <v>342298.98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74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289">
        <v>0</v>
      </c>
      <c r="U91" s="31">
        <v>0</v>
      </c>
      <c r="V91" s="31">
        <v>0</v>
      </c>
      <c r="W91" s="31">
        <v>0</v>
      </c>
      <c r="X91" s="31">
        <v>337240.37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f>ROUND(X91*1.5%,2)</f>
        <v>5058.6099999999997</v>
      </c>
      <c r="AF91" s="31">
        <v>0</v>
      </c>
      <c r="AG91" s="31">
        <v>0</v>
      </c>
      <c r="AH91" s="284" t="s">
        <v>270</v>
      </c>
      <c r="AI91" s="35">
        <v>2021</v>
      </c>
      <c r="AJ91" s="35">
        <v>2021</v>
      </c>
      <c r="AK91" s="64"/>
      <c r="AL91" s="64"/>
      <c r="AM91" s="64"/>
      <c r="AN91" s="64"/>
    </row>
    <row r="92" spans="1:40" ht="62.25" x14ac:dyDescent="0.9">
      <c r="A92" s="6">
        <v>1</v>
      </c>
      <c r="B92" s="66">
        <f>SUBTOTAL(103,$A$88:A92)</f>
        <v>5</v>
      </c>
      <c r="C92" s="288" t="s">
        <v>1417</v>
      </c>
      <c r="D92" s="72" t="s">
        <v>1900</v>
      </c>
      <c r="E92" s="69">
        <v>0.94499999999999995</v>
      </c>
      <c r="F92" s="31">
        <f t="shared" si="40"/>
        <v>179920.82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74">
        <v>0</v>
      </c>
      <c r="N92" s="31">
        <v>0</v>
      </c>
      <c r="O92" s="31">
        <v>1160</v>
      </c>
      <c r="P92" s="31">
        <v>177261.89</v>
      </c>
      <c r="Q92" s="31">
        <v>0</v>
      </c>
      <c r="R92" s="31">
        <v>0</v>
      </c>
      <c r="S92" s="31">
        <v>0</v>
      </c>
      <c r="T92" s="289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f>ROUND(P92*1.5%,2)</f>
        <v>2658.93</v>
      </c>
      <c r="AF92" s="31">
        <v>0</v>
      </c>
      <c r="AG92" s="31">
        <v>0</v>
      </c>
      <c r="AH92" s="284" t="s">
        <v>270</v>
      </c>
      <c r="AI92" s="284">
        <v>2020</v>
      </c>
      <c r="AJ92" s="284">
        <v>2020</v>
      </c>
      <c r="AK92" s="64"/>
      <c r="AL92" s="64"/>
      <c r="AM92" s="64"/>
      <c r="AN92" s="64"/>
    </row>
    <row r="93" spans="1:40" ht="62.25" x14ac:dyDescent="0.9">
      <c r="A93" s="6">
        <v>1</v>
      </c>
      <c r="B93" s="66">
        <f>SUBTOTAL(103,$A$88:A93)</f>
        <v>6</v>
      </c>
      <c r="C93" s="288" t="s">
        <v>1418</v>
      </c>
      <c r="D93" s="72" t="s">
        <v>1900</v>
      </c>
      <c r="E93" s="69">
        <v>0.9244</v>
      </c>
      <c r="F93" s="31">
        <f t="shared" si="40"/>
        <v>112074.81999999999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74">
        <v>0</v>
      </c>
      <c r="N93" s="31">
        <v>0</v>
      </c>
      <c r="O93" s="31">
        <v>1100</v>
      </c>
      <c r="P93" s="31">
        <v>110418.54</v>
      </c>
      <c r="Q93" s="31">
        <v>0</v>
      </c>
      <c r="R93" s="31">
        <v>0</v>
      </c>
      <c r="S93" s="31">
        <v>0</v>
      </c>
      <c r="T93" s="289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f>ROUND(P93*1.5%,2)</f>
        <v>1656.28</v>
      </c>
      <c r="AF93" s="31">
        <v>0</v>
      </c>
      <c r="AG93" s="31">
        <v>0</v>
      </c>
      <c r="AH93" s="284" t="s">
        <v>270</v>
      </c>
      <c r="AI93" s="284">
        <v>2020</v>
      </c>
      <c r="AJ93" s="284">
        <v>2020</v>
      </c>
      <c r="AK93" s="64"/>
      <c r="AL93" s="64"/>
      <c r="AM93" s="64"/>
      <c r="AN93" s="64"/>
    </row>
    <row r="94" spans="1:40" ht="62.25" x14ac:dyDescent="0.9">
      <c r="B94" s="285" t="s">
        <v>822</v>
      </c>
      <c r="C94" s="286"/>
      <c r="D94" s="287" t="s">
        <v>896</v>
      </c>
      <c r="E94" s="69">
        <f t="shared" ref="E94:N94" si="41">E95</f>
        <v>0.88649999999999995</v>
      </c>
      <c r="F94" s="31">
        <f t="shared" si="41"/>
        <v>418959.01</v>
      </c>
      <c r="G94" s="31">
        <f t="shared" si="41"/>
        <v>0</v>
      </c>
      <c r="H94" s="31">
        <f t="shared" si="41"/>
        <v>0</v>
      </c>
      <c r="I94" s="31">
        <f t="shared" si="41"/>
        <v>0</v>
      </c>
      <c r="J94" s="31">
        <f t="shared" si="41"/>
        <v>0</v>
      </c>
      <c r="K94" s="31">
        <f t="shared" si="41"/>
        <v>0</v>
      </c>
      <c r="L94" s="31">
        <f t="shared" si="41"/>
        <v>0</v>
      </c>
      <c r="M94" s="74">
        <f t="shared" si="41"/>
        <v>0</v>
      </c>
      <c r="N94" s="31">
        <f t="shared" si="41"/>
        <v>0</v>
      </c>
      <c r="O94" s="31">
        <f>O95</f>
        <v>819.7</v>
      </c>
      <c r="P94" s="31">
        <f t="shared" ref="P94:AG94" si="42">P95</f>
        <v>412767.5</v>
      </c>
      <c r="Q94" s="31">
        <f t="shared" si="42"/>
        <v>0</v>
      </c>
      <c r="R94" s="31">
        <f t="shared" si="42"/>
        <v>0</v>
      </c>
      <c r="S94" s="31">
        <f t="shared" si="42"/>
        <v>0</v>
      </c>
      <c r="T94" s="31">
        <f t="shared" si="42"/>
        <v>0</v>
      </c>
      <c r="U94" s="31">
        <f t="shared" si="42"/>
        <v>0</v>
      </c>
      <c r="V94" s="31">
        <f t="shared" si="42"/>
        <v>0</v>
      </c>
      <c r="W94" s="31">
        <f t="shared" si="42"/>
        <v>0</v>
      </c>
      <c r="X94" s="31">
        <f t="shared" si="42"/>
        <v>0</v>
      </c>
      <c r="Y94" s="31">
        <f t="shared" si="42"/>
        <v>0</v>
      </c>
      <c r="Z94" s="31">
        <f t="shared" si="42"/>
        <v>0</v>
      </c>
      <c r="AA94" s="31">
        <f t="shared" si="42"/>
        <v>0</v>
      </c>
      <c r="AB94" s="31">
        <f t="shared" si="42"/>
        <v>0</v>
      </c>
      <c r="AC94" s="31">
        <f t="shared" si="42"/>
        <v>0</v>
      </c>
      <c r="AD94" s="31">
        <f t="shared" si="42"/>
        <v>0</v>
      </c>
      <c r="AE94" s="31">
        <f t="shared" si="42"/>
        <v>6191.51</v>
      </c>
      <c r="AF94" s="31">
        <f t="shared" si="42"/>
        <v>0</v>
      </c>
      <c r="AG94" s="31">
        <f t="shared" si="42"/>
        <v>0</v>
      </c>
      <c r="AH94" s="284" t="s">
        <v>896</v>
      </c>
      <c r="AI94" s="284" t="s">
        <v>896</v>
      </c>
      <c r="AJ94" s="284" t="s">
        <v>896</v>
      </c>
    </row>
    <row r="95" spans="1:40" ht="62.25" x14ac:dyDescent="0.9">
      <c r="A95" s="6">
        <v>1</v>
      </c>
      <c r="B95" s="66">
        <f>SUBTOTAL(103,$A$88:A95)</f>
        <v>7</v>
      </c>
      <c r="C95" s="288" t="s">
        <v>1946</v>
      </c>
      <c r="D95" s="72">
        <v>2016</v>
      </c>
      <c r="E95" s="69">
        <v>0.88649999999999995</v>
      </c>
      <c r="F95" s="31">
        <f t="shared" ref="F95" si="43">G95+H95+I95+J95+K95+L95+N95+P95+R95+T95+V95+W95+X95+Y95+Z95+AA95+AB95+AC95+AD95+AE95+AF95+AG95</f>
        <v>418959.01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74">
        <v>0</v>
      </c>
      <c r="N95" s="31">
        <v>0</v>
      </c>
      <c r="O95" s="31">
        <v>819.7</v>
      </c>
      <c r="P95" s="31">
        <v>412767.5</v>
      </c>
      <c r="Q95" s="31">
        <v>0</v>
      </c>
      <c r="R95" s="31">
        <v>0</v>
      </c>
      <c r="S95" s="31">
        <v>0</v>
      </c>
      <c r="T95" s="289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f>ROUND(P95*1.5%,2)</f>
        <v>6191.51</v>
      </c>
      <c r="AF95" s="31">
        <v>0</v>
      </c>
      <c r="AG95" s="31">
        <v>0</v>
      </c>
      <c r="AH95" s="284" t="s">
        <v>270</v>
      </c>
      <c r="AI95" s="284">
        <v>2021</v>
      </c>
      <c r="AJ95" s="284">
        <v>2021</v>
      </c>
      <c r="AK95" s="64"/>
      <c r="AL95" s="64"/>
      <c r="AM95" s="64"/>
      <c r="AN95" s="64"/>
    </row>
    <row r="96" spans="1:40" ht="62.25" x14ac:dyDescent="0.9">
      <c r="B96" s="285" t="s">
        <v>825</v>
      </c>
      <c r="C96" s="286"/>
      <c r="D96" s="287" t="s">
        <v>896</v>
      </c>
      <c r="E96" s="69">
        <f>AVERAGE(E97:E99)</f>
        <v>0.94748668819388027</v>
      </c>
      <c r="F96" s="31">
        <f>F97+F98+F99</f>
        <v>34418.18</v>
      </c>
      <c r="G96" s="31">
        <f t="shared" ref="G96:AG96" si="44">G97+G98+G99</f>
        <v>0</v>
      </c>
      <c r="H96" s="31">
        <f t="shared" si="44"/>
        <v>0</v>
      </c>
      <c r="I96" s="31">
        <f t="shared" si="44"/>
        <v>0</v>
      </c>
      <c r="J96" s="31">
        <f t="shared" si="44"/>
        <v>0</v>
      </c>
      <c r="K96" s="31">
        <f t="shared" si="44"/>
        <v>0</v>
      </c>
      <c r="L96" s="31">
        <f t="shared" si="44"/>
        <v>0</v>
      </c>
      <c r="M96" s="31">
        <f t="shared" si="44"/>
        <v>0</v>
      </c>
      <c r="N96" s="31">
        <f t="shared" si="44"/>
        <v>0</v>
      </c>
      <c r="O96" s="31">
        <f t="shared" si="44"/>
        <v>2012</v>
      </c>
      <c r="P96" s="31">
        <f t="shared" si="44"/>
        <v>34004.050000000003</v>
      </c>
      <c r="Q96" s="31">
        <f t="shared" si="44"/>
        <v>0</v>
      </c>
      <c r="R96" s="31">
        <f t="shared" si="44"/>
        <v>0</v>
      </c>
      <c r="S96" s="31">
        <f t="shared" si="44"/>
        <v>0</v>
      </c>
      <c r="T96" s="31">
        <f t="shared" si="44"/>
        <v>0</v>
      </c>
      <c r="U96" s="31">
        <f t="shared" si="44"/>
        <v>0</v>
      </c>
      <c r="V96" s="31">
        <f t="shared" si="44"/>
        <v>0</v>
      </c>
      <c r="W96" s="31">
        <f t="shared" si="44"/>
        <v>0</v>
      </c>
      <c r="X96" s="31">
        <f t="shared" si="44"/>
        <v>0</v>
      </c>
      <c r="Y96" s="31">
        <f t="shared" si="44"/>
        <v>0</v>
      </c>
      <c r="Z96" s="31">
        <f t="shared" si="44"/>
        <v>0</v>
      </c>
      <c r="AA96" s="31">
        <f t="shared" si="44"/>
        <v>0</v>
      </c>
      <c r="AB96" s="31">
        <f t="shared" si="44"/>
        <v>0</v>
      </c>
      <c r="AC96" s="31">
        <f t="shared" si="44"/>
        <v>0</v>
      </c>
      <c r="AD96" s="31">
        <f t="shared" si="44"/>
        <v>0</v>
      </c>
      <c r="AE96" s="31">
        <f t="shared" si="44"/>
        <v>414.13</v>
      </c>
      <c r="AF96" s="31">
        <f t="shared" si="44"/>
        <v>0</v>
      </c>
      <c r="AG96" s="31">
        <f t="shared" si="44"/>
        <v>0</v>
      </c>
      <c r="AH96" s="284" t="s">
        <v>896</v>
      </c>
      <c r="AI96" s="284" t="s">
        <v>896</v>
      </c>
      <c r="AJ96" s="284" t="s">
        <v>896</v>
      </c>
      <c r="AK96" s="64"/>
      <c r="AL96" s="64"/>
      <c r="AM96" s="64"/>
      <c r="AN96" s="64"/>
    </row>
    <row r="97" spans="1:40" ht="62.25" x14ac:dyDescent="0.9">
      <c r="A97" s="6">
        <v>1</v>
      </c>
      <c r="B97" s="66">
        <f>SUBTOTAL(103,$A$88:A97)</f>
        <v>8</v>
      </c>
      <c r="C97" s="288" t="s">
        <v>1419</v>
      </c>
      <c r="D97" s="72" t="s">
        <v>1900</v>
      </c>
      <c r="E97" s="69">
        <v>0.95197013899993665</v>
      </c>
      <c r="F97" s="31">
        <f t="shared" si="40"/>
        <v>11221.62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74">
        <v>0</v>
      </c>
      <c r="N97" s="31">
        <v>0</v>
      </c>
      <c r="O97" s="31">
        <v>924</v>
      </c>
      <c r="P97" s="31">
        <v>11055.78</v>
      </c>
      <c r="Q97" s="31">
        <v>0</v>
      </c>
      <c r="R97" s="31">
        <v>0</v>
      </c>
      <c r="S97" s="31">
        <v>0</v>
      </c>
      <c r="T97" s="289">
        <v>0</v>
      </c>
      <c r="U97" s="31">
        <v>0</v>
      </c>
      <c r="V97" s="31">
        <v>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0</v>
      </c>
      <c r="AE97" s="31">
        <f>ROUND(P97*1.5%,2)</f>
        <v>165.84</v>
      </c>
      <c r="AF97" s="31">
        <v>0</v>
      </c>
      <c r="AG97" s="31">
        <v>0</v>
      </c>
      <c r="AH97" s="284" t="s">
        <v>270</v>
      </c>
      <c r="AI97" s="284">
        <v>2020</v>
      </c>
      <c r="AJ97" s="284">
        <v>2020</v>
      </c>
      <c r="AK97" s="64"/>
      <c r="AL97" s="64"/>
      <c r="AM97" s="64"/>
      <c r="AN97" s="64"/>
    </row>
    <row r="98" spans="1:40" ht="62.25" x14ac:dyDescent="0.9">
      <c r="A98" s="6">
        <v>1</v>
      </c>
      <c r="B98" s="66">
        <f>SUBTOTAL(103,$A$88:A98)</f>
        <v>9</v>
      </c>
      <c r="C98" s="288" t="s">
        <v>1420</v>
      </c>
      <c r="D98" s="72" t="s">
        <v>1900</v>
      </c>
      <c r="E98" s="69">
        <v>0.89759999999999995</v>
      </c>
      <c r="F98" s="31">
        <f t="shared" si="40"/>
        <v>19576.66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74">
        <v>0</v>
      </c>
      <c r="N98" s="31">
        <v>0</v>
      </c>
      <c r="O98" s="31">
        <v>746</v>
      </c>
      <c r="P98" s="31">
        <v>19381.87</v>
      </c>
      <c r="Q98" s="31">
        <v>0</v>
      </c>
      <c r="R98" s="31">
        <v>0</v>
      </c>
      <c r="S98" s="31">
        <v>0</v>
      </c>
      <c r="T98" s="289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194.79</v>
      </c>
      <c r="AF98" s="31">
        <v>0</v>
      </c>
      <c r="AG98" s="31">
        <v>0</v>
      </c>
      <c r="AH98" s="284" t="s">
        <v>270</v>
      </c>
      <c r="AI98" s="284">
        <v>2020</v>
      </c>
      <c r="AJ98" s="284">
        <v>2020</v>
      </c>
      <c r="AK98" s="64"/>
      <c r="AL98" s="64"/>
      <c r="AM98" s="64"/>
      <c r="AN98" s="64"/>
    </row>
    <row r="99" spans="1:40" ht="62.25" x14ac:dyDescent="0.9">
      <c r="A99" s="6">
        <v>1</v>
      </c>
      <c r="B99" s="66">
        <f>SUBTOTAL(103,$A$88:A99)</f>
        <v>10</v>
      </c>
      <c r="C99" s="288" t="s">
        <v>1901</v>
      </c>
      <c r="D99" s="72" t="s">
        <v>1899</v>
      </c>
      <c r="E99" s="69">
        <v>0.9928899255817043</v>
      </c>
      <c r="F99" s="31">
        <f>P99+AE99</f>
        <v>3619.9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74">
        <v>0</v>
      </c>
      <c r="N99" s="31">
        <v>0</v>
      </c>
      <c r="O99" s="31">
        <v>342</v>
      </c>
      <c r="P99" s="31">
        <v>3566.4</v>
      </c>
      <c r="Q99" s="31">
        <v>0</v>
      </c>
      <c r="R99" s="31">
        <v>0</v>
      </c>
      <c r="S99" s="31">
        <v>0</v>
      </c>
      <c r="T99" s="289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f>ROUND(P99*1.5%,2)</f>
        <v>53.5</v>
      </c>
      <c r="AF99" s="31">
        <v>0</v>
      </c>
      <c r="AG99" s="31">
        <v>0</v>
      </c>
      <c r="AH99" s="284" t="s">
        <v>270</v>
      </c>
      <c r="AI99" s="284">
        <v>2021</v>
      </c>
      <c r="AJ99" s="284">
        <v>2021</v>
      </c>
      <c r="AK99" s="64"/>
      <c r="AL99" s="64"/>
      <c r="AM99" s="64"/>
      <c r="AN99" s="64"/>
    </row>
    <row r="100" spans="1:40" ht="62.25" x14ac:dyDescent="0.9">
      <c r="B100" s="285" t="s">
        <v>1051</v>
      </c>
      <c r="C100" s="286"/>
      <c r="D100" s="287" t="s">
        <v>896</v>
      </c>
      <c r="E100" s="69">
        <f>AVERAGE(E101:E116)</f>
        <v>0.95278854188545492</v>
      </c>
      <c r="F100" s="31">
        <f>SUM(F101:F116)</f>
        <v>1958443.2499999998</v>
      </c>
      <c r="G100" s="31">
        <f t="shared" ref="G100:AG100" si="45">SUM(G101:G116)</f>
        <v>0</v>
      </c>
      <c r="H100" s="31">
        <f t="shared" si="45"/>
        <v>0</v>
      </c>
      <c r="I100" s="31">
        <f t="shared" si="45"/>
        <v>0</v>
      </c>
      <c r="J100" s="31">
        <f t="shared" si="45"/>
        <v>0</v>
      </c>
      <c r="K100" s="31">
        <f t="shared" si="45"/>
        <v>0</v>
      </c>
      <c r="L100" s="31">
        <f t="shared" si="45"/>
        <v>0</v>
      </c>
      <c r="M100" s="31">
        <f t="shared" si="45"/>
        <v>0</v>
      </c>
      <c r="N100" s="31">
        <f t="shared" si="45"/>
        <v>0</v>
      </c>
      <c r="O100" s="31">
        <f t="shared" si="45"/>
        <v>10624.560000000001</v>
      </c>
      <c r="P100" s="31">
        <f t="shared" si="45"/>
        <v>1392822.9000000001</v>
      </c>
      <c r="Q100" s="31">
        <f t="shared" si="45"/>
        <v>0</v>
      </c>
      <c r="R100" s="31">
        <f t="shared" si="45"/>
        <v>0</v>
      </c>
      <c r="S100" s="31">
        <f t="shared" si="45"/>
        <v>853.2</v>
      </c>
      <c r="T100" s="31">
        <f t="shared" si="45"/>
        <v>427011.58</v>
      </c>
      <c r="U100" s="31">
        <f t="shared" si="45"/>
        <v>143.80000000000001</v>
      </c>
      <c r="V100" s="31">
        <f t="shared" si="45"/>
        <v>109992</v>
      </c>
      <c r="W100" s="31">
        <f t="shared" si="45"/>
        <v>0</v>
      </c>
      <c r="X100" s="31">
        <f t="shared" si="45"/>
        <v>0</v>
      </c>
      <c r="Y100" s="31">
        <f t="shared" si="45"/>
        <v>0</v>
      </c>
      <c r="Z100" s="31">
        <f t="shared" si="45"/>
        <v>0</v>
      </c>
      <c r="AA100" s="31">
        <f t="shared" si="45"/>
        <v>0</v>
      </c>
      <c r="AB100" s="31">
        <f t="shared" si="45"/>
        <v>0</v>
      </c>
      <c r="AC100" s="31">
        <f t="shared" si="45"/>
        <v>0</v>
      </c>
      <c r="AD100" s="31">
        <f t="shared" si="45"/>
        <v>0</v>
      </c>
      <c r="AE100" s="31">
        <f t="shared" si="45"/>
        <v>28616.77</v>
      </c>
      <c r="AF100" s="31">
        <f t="shared" si="45"/>
        <v>0</v>
      </c>
      <c r="AG100" s="31">
        <f t="shared" si="45"/>
        <v>0</v>
      </c>
      <c r="AH100" s="284" t="s">
        <v>896</v>
      </c>
      <c r="AI100" s="284" t="s">
        <v>896</v>
      </c>
      <c r="AJ100" s="284" t="s">
        <v>896</v>
      </c>
      <c r="AK100" s="64"/>
      <c r="AL100" s="64"/>
      <c r="AM100" s="64"/>
      <c r="AN100" s="64"/>
    </row>
    <row r="101" spans="1:40" ht="62.25" x14ac:dyDescent="0.9">
      <c r="A101" s="6">
        <v>1</v>
      </c>
      <c r="B101" s="66">
        <f>SUBTOTAL(103,$A$88:A101)</f>
        <v>11</v>
      </c>
      <c r="C101" s="288" t="s">
        <v>1421</v>
      </c>
      <c r="D101" s="72" t="s">
        <v>1900</v>
      </c>
      <c r="E101" s="69">
        <v>0.97330000000000005</v>
      </c>
      <c r="F101" s="31">
        <f t="shared" si="40"/>
        <v>9167.9599999999991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74">
        <v>0</v>
      </c>
      <c r="N101" s="31">
        <v>0</v>
      </c>
      <c r="O101" s="31">
        <v>1120</v>
      </c>
      <c r="P101" s="31">
        <v>9032.4699999999993</v>
      </c>
      <c r="Q101" s="31">
        <v>0</v>
      </c>
      <c r="R101" s="31">
        <v>0</v>
      </c>
      <c r="S101" s="31">
        <v>0</v>
      </c>
      <c r="T101" s="289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f>ROUND(P101*1.5%,2)</f>
        <v>135.49</v>
      </c>
      <c r="AF101" s="31">
        <v>0</v>
      </c>
      <c r="AG101" s="31">
        <v>0</v>
      </c>
      <c r="AH101" s="284" t="s">
        <v>270</v>
      </c>
      <c r="AI101" s="284">
        <v>2020</v>
      </c>
      <c r="AJ101" s="284">
        <v>2020</v>
      </c>
      <c r="AK101" s="64"/>
      <c r="AL101" s="64"/>
      <c r="AM101" s="64"/>
      <c r="AN101" s="64"/>
    </row>
    <row r="102" spans="1:40" ht="62.25" x14ac:dyDescent="0.9">
      <c r="A102" s="6">
        <v>1</v>
      </c>
      <c r="B102" s="66">
        <f>SUBTOTAL(103,$A$88:A102)</f>
        <v>12</v>
      </c>
      <c r="C102" s="288" t="s">
        <v>1422</v>
      </c>
      <c r="D102" s="72" t="s">
        <v>1899</v>
      </c>
      <c r="E102" s="69">
        <v>0.86990000000000001</v>
      </c>
      <c r="F102" s="31">
        <f t="shared" si="40"/>
        <v>208611.94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74">
        <v>0</v>
      </c>
      <c r="N102" s="31">
        <v>0</v>
      </c>
      <c r="O102" s="31">
        <v>728.12</v>
      </c>
      <c r="P102" s="31">
        <v>205529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f t="shared" ref="AE102:AE107" si="46">ROUND(P102*1.5%,2)</f>
        <v>3082.94</v>
      </c>
      <c r="AF102" s="31">
        <v>0</v>
      </c>
      <c r="AG102" s="31">
        <v>0</v>
      </c>
      <c r="AH102" s="284" t="s">
        <v>270</v>
      </c>
      <c r="AI102" s="284">
        <v>2020</v>
      </c>
      <c r="AJ102" s="284">
        <v>2020</v>
      </c>
      <c r="AK102" s="64"/>
      <c r="AL102" s="64"/>
      <c r="AM102" s="64"/>
      <c r="AN102" s="64"/>
    </row>
    <row r="103" spans="1:40" ht="62.25" x14ac:dyDescent="0.9">
      <c r="A103" s="6">
        <v>1</v>
      </c>
      <c r="B103" s="66">
        <f>SUBTOTAL(103,$A$88:A103)</f>
        <v>13</v>
      </c>
      <c r="C103" s="288" t="s">
        <v>1423</v>
      </c>
      <c r="D103" s="72" t="s">
        <v>1900</v>
      </c>
      <c r="E103" s="69">
        <v>0.95440000000000003</v>
      </c>
      <c r="F103" s="31">
        <f t="shared" si="40"/>
        <v>170151.06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74">
        <v>0</v>
      </c>
      <c r="N103" s="31">
        <v>0</v>
      </c>
      <c r="O103" s="31">
        <v>755</v>
      </c>
      <c r="P103" s="31">
        <v>167636.51</v>
      </c>
      <c r="Q103" s="31">
        <v>0</v>
      </c>
      <c r="R103" s="31">
        <v>0</v>
      </c>
      <c r="S103" s="31">
        <v>0</v>
      </c>
      <c r="T103" s="289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2514.5500000000002</v>
      </c>
      <c r="AF103" s="31">
        <v>0</v>
      </c>
      <c r="AG103" s="31">
        <v>0</v>
      </c>
      <c r="AH103" s="284" t="s">
        <v>270</v>
      </c>
      <c r="AI103" s="284">
        <v>2020</v>
      </c>
      <c r="AJ103" s="284">
        <v>2020</v>
      </c>
      <c r="AK103" s="64"/>
      <c r="AL103" s="64"/>
      <c r="AM103" s="64"/>
      <c r="AN103" s="64"/>
    </row>
    <row r="104" spans="1:40" ht="62.25" x14ac:dyDescent="0.9">
      <c r="A104" s="6">
        <v>1</v>
      </c>
      <c r="B104" s="66">
        <f>SUBTOTAL(103,$A$88:A104)</f>
        <v>14</v>
      </c>
      <c r="C104" s="288" t="s">
        <v>1424</v>
      </c>
      <c r="D104" s="72" t="s">
        <v>1900</v>
      </c>
      <c r="E104" s="69">
        <v>1.0023</v>
      </c>
      <c r="F104" s="31">
        <f t="shared" si="40"/>
        <v>48424.71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74">
        <v>0</v>
      </c>
      <c r="N104" s="31">
        <v>0</v>
      </c>
      <c r="O104" s="31">
        <v>497</v>
      </c>
      <c r="P104" s="31">
        <v>47709.07</v>
      </c>
      <c r="Q104" s="31">
        <v>0</v>
      </c>
      <c r="R104" s="31">
        <v>0</v>
      </c>
      <c r="S104" s="31">
        <v>0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f t="shared" si="46"/>
        <v>715.64</v>
      </c>
      <c r="AF104" s="31">
        <v>0</v>
      </c>
      <c r="AG104" s="31">
        <v>0</v>
      </c>
      <c r="AH104" s="284" t="s">
        <v>270</v>
      </c>
      <c r="AI104" s="35">
        <v>2021</v>
      </c>
      <c r="AJ104" s="35">
        <v>2021</v>
      </c>
      <c r="AK104" s="64"/>
      <c r="AL104" s="64"/>
      <c r="AM104" s="64"/>
      <c r="AN104" s="64"/>
    </row>
    <row r="105" spans="1:40" ht="62.25" x14ac:dyDescent="0.9">
      <c r="A105" s="6">
        <v>1</v>
      </c>
      <c r="B105" s="66">
        <f>SUBTOTAL(103,$A$88:A105)</f>
        <v>15</v>
      </c>
      <c r="C105" s="288" t="s">
        <v>1425</v>
      </c>
      <c r="D105" s="72" t="s">
        <v>1899</v>
      </c>
      <c r="E105" s="69">
        <v>0.96599999999999997</v>
      </c>
      <c r="F105" s="31">
        <f t="shared" si="40"/>
        <v>35463.9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74">
        <v>0</v>
      </c>
      <c r="N105" s="31">
        <v>0</v>
      </c>
      <c r="O105" s="31">
        <v>636</v>
      </c>
      <c r="P105" s="31">
        <v>34939.800000000003</v>
      </c>
      <c r="Q105" s="31">
        <v>0</v>
      </c>
      <c r="R105" s="31">
        <v>0</v>
      </c>
      <c r="S105" s="31">
        <v>0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f t="shared" si="46"/>
        <v>524.1</v>
      </c>
      <c r="AF105" s="31">
        <v>0</v>
      </c>
      <c r="AG105" s="31">
        <v>0</v>
      </c>
      <c r="AH105" s="284" t="s">
        <v>270</v>
      </c>
      <c r="AI105" s="284">
        <v>2020</v>
      </c>
      <c r="AJ105" s="284">
        <v>2020</v>
      </c>
      <c r="AK105" s="64"/>
      <c r="AL105" s="64"/>
      <c r="AM105" s="64"/>
      <c r="AN105" s="64"/>
    </row>
    <row r="106" spans="1:40" ht="62.25" x14ac:dyDescent="0.9">
      <c r="A106" s="6">
        <v>1</v>
      </c>
      <c r="B106" s="66">
        <f>SUBTOTAL(103,$A$88:A106)</f>
        <v>16</v>
      </c>
      <c r="C106" s="288" t="s">
        <v>1426</v>
      </c>
      <c r="D106" s="72" t="s">
        <v>1900</v>
      </c>
      <c r="E106" s="69">
        <v>0.90890000000000004</v>
      </c>
      <c r="F106" s="31">
        <f t="shared" si="40"/>
        <v>381944.5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74">
        <v>0</v>
      </c>
      <c r="N106" s="31">
        <v>0</v>
      </c>
      <c r="O106" s="31">
        <v>645</v>
      </c>
      <c r="P106" s="31">
        <v>376300</v>
      </c>
      <c r="Q106" s="31">
        <v>0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f t="shared" si="46"/>
        <v>5644.5</v>
      </c>
      <c r="AF106" s="31">
        <v>0</v>
      </c>
      <c r="AG106" s="31">
        <v>0</v>
      </c>
      <c r="AH106" s="284" t="s">
        <v>270</v>
      </c>
      <c r="AI106" s="35">
        <v>2021</v>
      </c>
      <c r="AJ106" s="35">
        <v>2021</v>
      </c>
      <c r="AK106" s="64"/>
      <c r="AL106" s="64"/>
      <c r="AM106" s="64"/>
      <c r="AN106" s="64"/>
    </row>
    <row r="107" spans="1:40" ht="62.25" x14ac:dyDescent="0.9">
      <c r="A107" s="6">
        <v>1</v>
      </c>
      <c r="B107" s="66">
        <f>SUBTOTAL(103,$A$88:A107)</f>
        <v>17</v>
      </c>
      <c r="C107" s="288" t="s">
        <v>1427</v>
      </c>
      <c r="D107" s="72" t="s">
        <v>1899</v>
      </c>
      <c r="E107" s="69">
        <v>0.97260000000000002</v>
      </c>
      <c r="F107" s="31">
        <f t="shared" si="40"/>
        <v>14784.77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74">
        <v>0</v>
      </c>
      <c r="N107" s="31">
        <v>0</v>
      </c>
      <c r="O107" s="31">
        <v>691.81</v>
      </c>
      <c r="P107" s="31">
        <v>14566.28</v>
      </c>
      <c r="Q107" s="31">
        <v>0</v>
      </c>
      <c r="R107" s="31">
        <v>0</v>
      </c>
      <c r="S107" s="31">
        <v>0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f t="shared" si="46"/>
        <v>218.49</v>
      </c>
      <c r="AF107" s="31">
        <v>0</v>
      </c>
      <c r="AG107" s="31">
        <v>0</v>
      </c>
      <c r="AH107" s="284" t="s">
        <v>270</v>
      </c>
      <c r="AI107" s="35">
        <v>2021</v>
      </c>
      <c r="AJ107" s="35">
        <v>2021</v>
      </c>
      <c r="AK107" s="64"/>
      <c r="AL107" s="64"/>
      <c r="AM107" s="64"/>
      <c r="AN107" s="64"/>
    </row>
    <row r="108" spans="1:40" ht="62.25" x14ac:dyDescent="0.9">
      <c r="A108" s="6">
        <v>1</v>
      </c>
      <c r="B108" s="66">
        <f>SUBTOTAL(103,$A$88:A108)</f>
        <v>18</v>
      </c>
      <c r="C108" s="288" t="s">
        <v>1428</v>
      </c>
      <c r="D108" s="87" t="s">
        <v>1900</v>
      </c>
      <c r="E108" s="69">
        <v>0.9919</v>
      </c>
      <c r="F108" s="31">
        <f t="shared" si="40"/>
        <v>433416.75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74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853.2</v>
      </c>
      <c r="T108" s="289">
        <v>427011.58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6405.17</v>
      </c>
      <c r="AF108" s="31">
        <v>0</v>
      </c>
      <c r="AG108" s="31">
        <v>0</v>
      </c>
      <c r="AH108" s="284" t="s">
        <v>270</v>
      </c>
      <c r="AI108" s="284">
        <v>2020</v>
      </c>
      <c r="AJ108" s="284">
        <v>2020</v>
      </c>
      <c r="AK108" s="64"/>
      <c r="AL108" s="64"/>
      <c r="AM108" s="64"/>
      <c r="AN108" s="64"/>
    </row>
    <row r="109" spans="1:40" ht="62.25" x14ac:dyDescent="0.9">
      <c r="A109" s="6">
        <v>1</v>
      </c>
      <c r="B109" s="66">
        <f>SUBTOTAL(103,$A$88:A109)</f>
        <v>19</v>
      </c>
      <c r="C109" s="288" t="s">
        <v>1124</v>
      </c>
      <c r="D109" s="72" t="s">
        <v>1539</v>
      </c>
      <c r="E109" s="69">
        <v>0.96870000000000001</v>
      </c>
      <c r="F109" s="31">
        <f t="shared" si="40"/>
        <v>167825.19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74">
        <v>0</v>
      </c>
      <c r="N109" s="31">
        <v>0</v>
      </c>
      <c r="O109" s="31">
        <v>404</v>
      </c>
      <c r="P109" s="31">
        <v>165540.73000000001</v>
      </c>
      <c r="Q109" s="31">
        <v>0</v>
      </c>
      <c r="R109" s="31">
        <v>0</v>
      </c>
      <c r="S109" s="31">
        <v>0</v>
      </c>
      <c r="T109" s="289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2284.46</v>
      </c>
      <c r="AF109" s="31">
        <v>0</v>
      </c>
      <c r="AG109" s="31">
        <v>0</v>
      </c>
      <c r="AH109" s="284" t="s">
        <v>270</v>
      </c>
      <c r="AI109" s="284">
        <v>2020</v>
      </c>
      <c r="AJ109" s="284">
        <v>2020</v>
      </c>
      <c r="AK109" s="64"/>
      <c r="AL109" s="64"/>
      <c r="AM109" s="64"/>
      <c r="AN109" s="64"/>
    </row>
    <row r="110" spans="1:40" ht="62.25" x14ac:dyDescent="0.9">
      <c r="A110" s="6">
        <v>1</v>
      </c>
      <c r="B110" s="66">
        <f>SUBTOTAL(103,$A$88:A110)</f>
        <v>20</v>
      </c>
      <c r="C110" s="288" t="s">
        <v>1429</v>
      </c>
      <c r="D110" s="72" t="s">
        <v>1902</v>
      </c>
      <c r="E110" s="69">
        <v>1.0038</v>
      </c>
      <c r="F110" s="31">
        <f t="shared" si="40"/>
        <v>11016.92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74">
        <v>0</v>
      </c>
      <c r="N110" s="31">
        <v>0</v>
      </c>
      <c r="O110" s="31">
        <v>1156</v>
      </c>
      <c r="P110" s="31">
        <v>10854.11</v>
      </c>
      <c r="Q110" s="31">
        <v>0</v>
      </c>
      <c r="R110" s="31">
        <v>0</v>
      </c>
      <c r="S110" s="31">
        <v>0</v>
      </c>
      <c r="T110" s="289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f>ROUND(P110*1.5%,2)</f>
        <v>162.81</v>
      </c>
      <c r="AF110" s="31">
        <v>0</v>
      </c>
      <c r="AG110" s="31">
        <v>0</v>
      </c>
      <c r="AH110" s="284" t="s">
        <v>270</v>
      </c>
      <c r="AI110" s="284">
        <v>2020</v>
      </c>
      <c r="AJ110" s="284">
        <v>2020</v>
      </c>
      <c r="AK110" s="64"/>
      <c r="AL110" s="64"/>
      <c r="AM110" s="64"/>
      <c r="AN110" s="64"/>
    </row>
    <row r="111" spans="1:40" ht="62.25" x14ac:dyDescent="0.9">
      <c r="A111" s="6">
        <v>1</v>
      </c>
      <c r="B111" s="66">
        <f>SUBTOTAL(103,$A$88:A111)</f>
        <v>21</v>
      </c>
      <c r="C111" s="288" t="s">
        <v>1500</v>
      </c>
      <c r="D111" s="87" t="s">
        <v>1539</v>
      </c>
      <c r="E111" s="69">
        <v>0.97260000000000002</v>
      </c>
      <c r="F111" s="31">
        <f t="shared" si="40"/>
        <v>111509.89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74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289">
        <v>0</v>
      </c>
      <c r="U111" s="31">
        <v>143.80000000000001</v>
      </c>
      <c r="V111" s="31">
        <v>109992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1517.89</v>
      </c>
      <c r="AF111" s="31">
        <v>0</v>
      </c>
      <c r="AG111" s="31">
        <v>0</v>
      </c>
      <c r="AH111" s="284" t="s">
        <v>270</v>
      </c>
      <c r="AI111" s="284">
        <v>2020</v>
      </c>
      <c r="AJ111" s="284">
        <v>2020</v>
      </c>
      <c r="AK111" s="64"/>
      <c r="AL111" s="64"/>
      <c r="AM111" s="64"/>
      <c r="AN111" s="64"/>
    </row>
    <row r="112" spans="1:40" ht="62.25" x14ac:dyDescent="0.9">
      <c r="A112" s="6">
        <v>1</v>
      </c>
      <c r="B112" s="66">
        <f>SUBTOTAL(103,$A$88:A112)</f>
        <v>22</v>
      </c>
      <c r="C112" s="288" t="s">
        <v>1501</v>
      </c>
      <c r="D112" s="72" t="s">
        <v>1899</v>
      </c>
      <c r="E112" s="69">
        <v>0.9859</v>
      </c>
      <c r="F112" s="31">
        <f t="shared" si="40"/>
        <v>159880.51999999999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74">
        <v>0</v>
      </c>
      <c r="N112" s="31">
        <v>0</v>
      </c>
      <c r="O112" s="31">
        <v>622.63</v>
      </c>
      <c r="P112" s="31">
        <v>157517.75</v>
      </c>
      <c r="Q112" s="31">
        <v>0</v>
      </c>
      <c r="R112" s="31">
        <v>0</v>
      </c>
      <c r="S112" s="31">
        <v>0</v>
      </c>
      <c r="T112" s="289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f>ROUND(P112*1.5%,2)</f>
        <v>2362.77</v>
      </c>
      <c r="AF112" s="31">
        <v>0</v>
      </c>
      <c r="AG112" s="31">
        <v>0</v>
      </c>
      <c r="AH112" s="284" t="s">
        <v>270</v>
      </c>
      <c r="AI112" s="35">
        <v>2021</v>
      </c>
      <c r="AJ112" s="35">
        <v>2021</v>
      </c>
      <c r="AK112" s="64"/>
      <c r="AL112" s="64"/>
      <c r="AM112" s="64"/>
      <c r="AN112" s="64"/>
    </row>
    <row r="113" spans="1:40" ht="62.25" x14ac:dyDescent="0.9">
      <c r="A113" s="6">
        <v>1</v>
      </c>
      <c r="B113" s="66">
        <f>SUBTOTAL(103,$A$88:A113)</f>
        <v>23</v>
      </c>
      <c r="C113" s="288" t="s">
        <v>1502</v>
      </c>
      <c r="D113" s="72" t="s">
        <v>1900</v>
      </c>
      <c r="E113" s="69">
        <v>1.0001</v>
      </c>
      <c r="F113" s="31">
        <f t="shared" si="40"/>
        <v>9497.9600000000009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74">
        <v>0</v>
      </c>
      <c r="N113" s="31">
        <v>0</v>
      </c>
      <c r="O113" s="31">
        <v>550</v>
      </c>
      <c r="P113" s="31">
        <v>9357.6</v>
      </c>
      <c r="Q113" s="31">
        <v>0</v>
      </c>
      <c r="R113" s="31">
        <v>0</v>
      </c>
      <c r="S113" s="31">
        <v>0</v>
      </c>
      <c r="T113" s="289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f>ROUND(P113*1.5%,2)</f>
        <v>140.36000000000001</v>
      </c>
      <c r="AF113" s="31">
        <v>0</v>
      </c>
      <c r="AG113" s="31">
        <v>0</v>
      </c>
      <c r="AH113" s="284" t="s">
        <v>270</v>
      </c>
      <c r="AI113" s="35">
        <v>2021</v>
      </c>
      <c r="AJ113" s="35">
        <v>2021</v>
      </c>
      <c r="AK113" s="64"/>
      <c r="AL113" s="64"/>
      <c r="AM113" s="64"/>
      <c r="AN113" s="64"/>
    </row>
    <row r="114" spans="1:40" ht="62.25" x14ac:dyDescent="0.9">
      <c r="A114" s="6">
        <v>1</v>
      </c>
      <c r="B114" s="66">
        <f>SUBTOTAL(103,$A$88:A114)</f>
        <v>24</v>
      </c>
      <c r="C114" s="288" t="s">
        <v>1503</v>
      </c>
      <c r="D114" s="72" t="s">
        <v>1902</v>
      </c>
      <c r="E114" s="69">
        <v>0.95650000000000002</v>
      </c>
      <c r="F114" s="31">
        <f t="shared" si="40"/>
        <v>61000.020000000004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74">
        <v>0</v>
      </c>
      <c r="N114" s="31">
        <v>0</v>
      </c>
      <c r="O114" s="31">
        <v>807</v>
      </c>
      <c r="P114" s="31">
        <v>60098.54</v>
      </c>
      <c r="Q114" s="31">
        <v>0</v>
      </c>
      <c r="R114" s="31">
        <v>0</v>
      </c>
      <c r="S114" s="31">
        <v>0</v>
      </c>
      <c r="T114" s="289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f>ROUND(P114*1.5%,2)</f>
        <v>901.48</v>
      </c>
      <c r="AF114" s="31">
        <v>0</v>
      </c>
      <c r="AG114" s="31">
        <v>0</v>
      </c>
      <c r="AH114" s="284" t="s">
        <v>270</v>
      </c>
      <c r="AI114" s="35">
        <v>2021</v>
      </c>
      <c r="AJ114" s="35">
        <v>2021</v>
      </c>
      <c r="AK114" s="64"/>
      <c r="AL114" s="64"/>
      <c r="AM114" s="64"/>
      <c r="AN114" s="64"/>
    </row>
    <row r="115" spans="1:40" ht="62.25" x14ac:dyDescent="0.9">
      <c r="A115" s="6">
        <v>1</v>
      </c>
      <c r="B115" s="66">
        <f>SUBTOTAL(103,$A$88:A115)</f>
        <v>25</v>
      </c>
      <c r="C115" s="288" t="s">
        <v>1612</v>
      </c>
      <c r="D115" s="72" t="s">
        <v>1900</v>
      </c>
      <c r="E115" s="69">
        <v>0.76249999999999996</v>
      </c>
      <c r="F115" s="31">
        <f t="shared" si="40"/>
        <v>91802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74">
        <v>0</v>
      </c>
      <c r="N115" s="31">
        <v>0</v>
      </c>
      <c r="O115" s="31">
        <v>1059</v>
      </c>
      <c r="P115" s="31">
        <v>90445.32</v>
      </c>
      <c r="Q115" s="31">
        <v>0</v>
      </c>
      <c r="R115" s="31">
        <v>0</v>
      </c>
      <c r="S115" s="31">
        <v>0</v>
      </c>
      <c r="T115" s="289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f>ROUND(P115*1.5%,2)</f>
        <v>1356.68</v>
      </c>
      <c r="AF115" s="31">
        <v>0</v>
      </c>
      <c r="AG115" s="31">
        <v>0</v>
      </c>
      <c r="AH115" s="284" t="s">
        <v>270</v>
      </c>
      <c r="AI115" s="35">
        <v>2021</v>
      </c>
      <c r="AJ115" s="35">
        <v>2021</v>
      </c>
      <c r="AK115" s="64"/>
      <c r="AL115" s="64"/>
      <c r="AM115" s="64"/>
      <c r="AN115" s="64"/>
    </row>
    <row r="116" spans="1:40" ht="62.25" x14ac:dyDescent="0.9">
      <c r="A116" s="6">
        <v>1</v>
      </c>
      <c r="B116" s="66">
        <f>SUBTOTAL(103,$A$88:A116)</f>
        <v>26</v>
      </c>
      <c r="C116" s="288" t="s">
        <v>1903</v>
      </c>
      <c r="D116" s="72" t="s">
        <v>1902</v>
      </c>
      <c r="E116" s="69">
        <v>0.95521667016728007</v>
      </c>
      <c r="F116" s="31">
        <f>P116+AE116</f>
        <v>43945.16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74">
        <v>0</v>
      </c>
      <c r="N116" s="31">
        <v>0</v>
      </c>
      <c r="O116" s="31">
        <v>953</v>
      </c>
      <c r="P116" s="31">
        <v>43295.72</v>
      </c>
      <c r="Q116" s="31">
        <v>0</v>
      </c>
      <c r="R116" s="31">
        <v>0</v>
      </c>
      <c r="S116" s="31">
        <v>0</v>
      </c>
      <c r="T116" s="289">
        <v>0</v>
      </c>
      <c r="U116" s="31">
        <v>0</v>
      </c>
      <c r="V116" s="31">
        <v>0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0</v>
      </c>
      <c r="AD116" s="31">
        <v>0</v>
      </c>
      <c r="AE116" s="31">
        <f>ROUND(P116*1.5%,2)</f>
        <v>649.44000000000005</v>
      </c>
      <c r="AF116" s="31">
        <v>0</v>
      </c>
      <c r="AG116" s="31">
        <v>0</v>
      </c>
      <c r="AH116" s="284" t="s">
        <v>270</v>
      </c>
      <c r="AI116" s="284">
        <v>2020</v>
      </c>
      <c r="AJ116" s="284">
        <v>2020</v>
      </c>
      <c r="AK116" s="64"/>
      <c r="AL116" s="64"/>
      <c r="AM116" s="64"/>
      <c r="AN116" s="64"/>
    </row>
    <row r="117" spans="1:40" ht="62.25" x14ac:dyDescent="0.9">
      <c r="B117" s="285" t="s">
        <v>829</v>
      </c>
      <c r="C117" s="286"/>
      <c r="D117" s="287" t="s">
        <v>896</v>
      </c>
      <c r="E117" s="69">
        <f>AVERAGE(E118:E124)</f>
        <v>0.79046997917439299</v>
      </c>
      <c r="F117" s="31">
        <f>SUM(F118:F124)</f>
        <v>2682931.6799999997</v>
      </c>
      <c r="G117" s="31">
        <f t="shared" ref="G117:AG117" si="47">SUM(G118:G124)</f>
        <v>0</v>
      </c>
      <c r="H117" s="31">
        <f t="shared" si="47"/>
        <v>0</v>
      </c>
      <c r="I117" s="31">
        <f t="shared" si="47"/>
        <v>0</v>
      </c>
      <c r="J117" s="31">
        <f t="shared" si="47"/>
        <v>0</v>
      </c>
      <c r="K117" s="31">
        <f t="shared" si="47"/>
        <v>0</v>
      </c>
      <c r="L117" s="31">
        <f t="shared" si="47"/>
        <v>0</v>
      </c>
      <c r="M117" s="31">
        <f t="shared" si="47"/>
        <v>0</v>
      </c>
      <c r="N117" s="31">
        <f t="shared" si="47"/>
        <v>0</v>
      </c>
      <c r="O117" s="31">
        <f t="shared" si="47"/>
        <v>6319.26</v>
      </c>
      <c r="P117" s="31">
        <f t="shared" si="47"/>
        <v>2644410.02</v>
      </c>
      <c r="Q117" s="31">
        <f t="shared" si="47"/>
        <v>0</v>
      </c>
      <c r="R117" s="31">
        <f t="shared" si="47"/>
        <v>0</v>
      </c>
      <c r="S117" s="31">
        <f t="shared" si="47"/>
        <v>0</v>
      </c>
      <c r="T117" s="31">
        <f t="shared" si="47"/>
        <v>0</v>
      </c>
      <c r="U117" s="31">
        <f t="shared" si="47"/>
        <v>0</v>
      </c>
      <c r="V117" s="31">
        <f t="shared" si="47"/>
        <v>0</v>
      </c>
      <c r="W117" s="31">
        <f t="shared" si="47"/>
        <v>0</v>
      </c>
      <c r="X117" s="31">
        <f t="shared" si="47"/>
        <v>0</v>
      </c>
      <c r="Y117" s="31">
        <f t="shared" si="47"/>
        <v>0</v>
      </c>
      <c r="Z117" s="31">
        <f t="shared" si="47"/>
        <v>0</v>
      </c>
      <c r="AA117" s="31">
        <f t="shared" si="47"/>
        <v>0</v>
      </c>
      <c r="AB117" s="31">
        <f t="shared" si="47"/>
        <v>0</v>
      </c>
      <c r="AC117" s="31">
        <f t="shared" si="47"/>
        <v>0</v>
      </c>
      <c r="AD117" s="31">
        <f t="shared" si="47"/>
        <v>0</v>
      </c>
      <c r="AE117" s="31">
        <f t="shared" si="47"/>
        <v>38521.659999999989</v>
      </c>
      <c r="AF117" s="31">
        <f t="shared" si="47"/>
        <v>0</v>
      </c>
      <c r="AG117" s="31">
        <f t="shared" si="47"/>
        <v>0</v>
      </c>
      <c r="AH117" s="284" t="s">
        <v>896</v>
      </c>
      <c r="AI117" s="284" t="s">
        <v>896</v>
      </c>
      <c r="AJ117" s="284" t="s">
        <v>896</v>
      </c>
      <c r="AK117" s="64"/>
      <c r="AL117" s="64"/>
      <c r="AM117" s="64"/>
      <c r="AN117" s="64"/>
    </row>
    <row r="118" spans="1:40" ht="62.25" x14ac:dyDescent="0.9">
      <c r="A118" s="6">
        <v>1</v>
      </c>
      <c r="B118" s="66">
        <f>SUBTOTAL(103,$A$88:A118)</f>
        <v>27</v>
      </c>
      <c r="C118" s="288" t="s">
        <v>1430</v>
      </c>
      <c r="D118" s="72" t="s">
        <v>1900</v>
      </c>
      <c r="E118" s="69">
        <v>0.79441212856856191</v>
      </c>
      <c r="F118" s="31">
        <f t="shared" si="40"/>
        <v>505301.78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74">
        <v>0</v>
      </c>
      <c r="N118" s="31">
        <v>0</v>
      </c>
      <c r="O118" s="31">
        <v>1148</v>
      </c>
      <c r="P118" s="31">
        <v>497834.27</v>
      </c>
      <c r="Q118" s="31">
        <v>0</v>
      </c>
      <c r="R118" s="31">
        <v>0</v>
      </c>
      <c r="S118" s="31">
        <v>0</v>
      </c>
      <c r="T118" s="289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f t="shared" ref="AE118:AE124" si="48">ROUND(P118*1.5%,2)</f>
        <v>7467.51</v>
      </c>
      <c r="AF118" s="31">
        <v>0</v>
      </c>
      <c r="AG118" s="31">
        <v>0</v>
      </c>
      <c r="AH118" s="284" t="s">
        <v>270</v>
      </c>
      <c r="AI118" s="284">
        <v>2020</v>
      </c>
      <c r="AJ118" s="284">
        <v>2020</v>
      </c>
      <c r="AK118" s="64"/>
      <c r="AL118" s="64"/>
      <c r="AM118" s="64"/>
      <c r="AN118" s="64"/>
    </row>
    <row r="119" spans="1:40" ht="62.25" x14ac:dyDescent="0.9">
      <c r="A119" s="6">
        <v>1</v>
      </c>
      <c r="B119" s="66">
        <f>SUBTOTAL(103,$A$88:A119)</f>
        <v>28</v>
      </c>
      <c r="C119" s="288" t="s">
        <v>1431</v>
      </c>
      <c r="D119" s="72" t="s">
        <v>1900</v>
      </c>
      <c r="E119" s="69">
        <v>0.77911652932310516</v>
      </c>
      <c r="F119" s="31">
        <f t="shared" si="40"/>
        <v>1853524.39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74">
        <v>0</v>
      </c>
      <c r="N119" s="31">
        <v>0</v>
      </c>
      <c r="O119" s="31">
        <v>812.5</v>
      </c>
      <c r="P119" s="31">
        <v>1826132.4</v>
      </c>
      <c r="Q119" s="31">
        <v>0</v>
      </c>
      <c r="R119" s="31">
        <v>0</v>
      </c>
      <c r="S119" s="31">
        <v>0</v>
      </c>
      <c r="T119" s="289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f t="shared" si="48"/>
        <v>27391.99</v>
      </c>
      <c r="AF119" s="31">
        <v>0</v>
      </c>
      <c r="AG119" s="31">
        <v>0</v>
      </c>
      <c r="AH119" s="284" t="s">
        <v>270</v>
      </c>
      <c r="AI119" s="35">
        <v>2021</v>
      </c>
      <c r="AJ119" s="35">
        <v>2021</v>
      </c>
      <c r="AK119" s="64"/>
      <c r="AL119" s="64"/>
      <c r="AM119" s="64"/>
      <c r="AN119" s="64"/>
    </row>
    <row r="120" spans="1:40" ht="62.25" x14ac:dyDescent="0.9">
      <c r="A120" s="6">
        <v>1</v>
      </c>
      <c r="B120" s="66">
        <f>SUBTOTAL(103,$A$88:A120)</f>
        <v>29</v>
      </c>
      <c r="C120" s="288" t="s">
        <v>1432</v>
      </c>
      <c r="D120" s="72" t="s">
        <v>1539</v>
      </c>
      <c r="E120" s="69">
        <v>0.64500000000000002</v>
      </c>
      <c r="F120" s="31">
        <f t="shared" si="40"/>
        <v>57982.38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74">
        <v>0</v>
      </c>
      <c r="N120" s="31">
        <v>0</v>
      </c>
      <c r="O120" s="31">
        <v>1240.56</v>
      </c>
      <c r="P120" s="289">
        <v>57405.46</v>
      </c>
      <c r="Q120" s="31">
        <v>0</v>
      </c>
      <c r="R120" s="31">
        <v>0</v>
      </c>
      <c r="S120" s="31">
        <v>0</v>
      </c>
      <c r="T120" s="289">
        <v>0</v>
      </c>
      <c r="U120" s="31">
        <v>0</v>
      </c>
      <c r="V120" s="31">
        <v>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576.91999999999996</v>
      </c>
      <c r="AF120" s="31">
        <v>0</v>
      </c>
      <c r="AG120" s="31">
        <v>0</v>
      </c>
      <c r="AH120" s="284" t="s">
        <v>270</v>
      </c>
      <c r="AI120" s="284">
        <v>2020</v>
      </c>
      <c r="AJ120" s="284">
        <v>2020</v>
      </c>
      <c r="AK120" s="64"/>
      <c r="AL120" s="64"/>
      <c r="AM120" s="64"/>
      <c r="AN120" s="64"/>
    </row>
    <row r="121" spans="1:40" ht="62.25" x14ac:dyDescent="0.9">
      <c r="A121" s="6">
        <v>1</v>
      </c>
      <c r="B121" s="66">
        <f>SUBTOTAL(103,$A$88:A121)</f>
        <v>30</v>
      </c>
      <c r="C121" s="288" t="s">
        <v>1433</v>
      </c>
      <c r="D121" s="72" t="s">
        <v>1900</v>
      </c>
      <c r="E121" s="69">
        <v>0.88700000000000001</v>
      </c>
      <c r="F121" s="31">
        <f t="shared" si="40"/>
        <v>175548.91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74">
        <v>0</v>
      </c>
      <c r="N121" s="31">
        <v>0</v>
      </c>
      <c r="O121" s="31">
        <v>838</v>
      </c>
      <c r="P121" s="31">
        <v>173802.2</v>
      </c>
      <c r="Q121" s="31">
        <v>0</v>
      </c>
      <c r="R121" s="31">
        <v>0</v>
      </c>
      <c r="S121" s="31">
        <v>0</v>
      </c>
      <c r="T121" s="289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1746.71</v>
      </c>
      <c r="AF121" s="31">
        <v>0</v>
      </c>
      <c r="AG121" s="31">
        <v>0</v>
      </c>
      <c r="AH121" s="284" t="s">
        <v>270</v>
      </c>
      <c r="AI121" s="284">
        <v>2020</v>
      </c>
      <c r="AJ121" s="284">
        <v>2020</v>
      </c>
      <c r="AK121" s="64"/>
      <c r="AL121" s="64"/>
      <c r="AM121" s="64"/>
      <c r="AN121" s="64"/>
    </row>
    <row r="122" spans="1:40" ht="62.25" x14ac:dyDescent="0.9">
      <c r="A122" s="6">
        <v>1</v>
      </c>
      <c r="B122" s="66">
        <f>SUBTOTAL(103,$A$88:A122)</f>
        <v>31</v>
      </c>
      <c r="C122" s="288" t="s">
        <v>1434</v>
      </c>
      <c r="D122" s="72" t="s">
        <v>1900</v>
      </c>
      <c r="E122" s="69">
        <v>0.78459999999999996</v>
      </c>
      <c r="F122" s="31">
        <f t="shared" si="40"/>
        <v>63876.88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74">
        <v>0</v>
      </c>
      <c r="N122" s="31">
        <v>0</v>
      </c>
      <c r="O122" s="31">
        <v>823.2</v>
      </c>
      <c r="P122" s="31">
        <v>62932.89</v>
      </c>
      <c r="Q122" s="31">
        <v>0</v>
      </c>
      <c r="R122" s="31">
        <v>0</v>
      </c>
      <c r="S122" s="31">
        <v>0</v>
      </c>
      <c r="T122" s="289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f t="shared" si="48"/>
        <v>943.99</v>
      </c>
      <c r="AF122" s="31">
        <v>0</v>
      </c>
      <c r="AG122" s="31">
        <v>0</v>
      </c>
      <c r="AH122" s="284" t="s">
        <v>270</v>
      </c>
      <c r="AI122" s="284">
        <v>2020</v>
      </c>
      <c r="AJ122" s="284">
        <v>2020</v>
      </c>
      <c r="AK122" s="64"/>
      <c r="AL122" s="64"/>
      <c r="AM122" s="64"/>
      <c r="AN122" s="64"/>
    </row>
    <row r="123" spans="1:40" ht="62.25" x14ac:dyDescent="0.9">
      <c r="A123" s="6">
        <v>1</v>
      </c>
      <c r="B123" s="66">
        <f>SUBTOTAL(103,$A$88:A123)</f>
        <v>32</v>
      </c>
      <c r="C123" s="288" t="s">
        <v>1435</v>
      </c>
      <c r="D123" s="72" t="s">
        <v>1900</v>
      </c>
      <c r="E123" s="69">
        <v>0.70240000000000002</v>
      </c>
      <c r="F123" s="31">
        <f t="shared" si="40"/>
        <v>2454.27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74">
        <v>0</v>
      </c>
      <c r="N123" s="31">
        <v>0</v>
      </c>
      <c r="O123" s="31">
        <v>472</v>
      </c>
      <c r="P123" s="31">
        <v>2418</v>
      </c>
      <c r="Q123" s="31">
        <v>0</v>
      </c>
      <c r="R123" s="31">
        <v>0</v>
      </c>
      <c r="S123" s="31">
        <v>0</v>
      </c>
      <c r="T123" s="289">
        <v>0</v>
      </c>
      <c r="U123" s="31">
        <v>0</v>
      </c>
      <c r="V123" s="31">
        <v>0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0</v>
      </c>
      <c r="AD123" s="31">
        <v>0</v>
      </c>
      <c r="AE123" s="31">
        <f t="shared" si="48"/>
        <v>36.270000000000003</v>
      </c>
      <c r="AF123" s="31">
        <v>0</v>
      </c>
      <c r="AG123" s="31">
        <v>0</v>
      </c>
      <c r="AH123" s="284" t="s">
        <v>270</v>
      </c>
      <c r="AI123" s="284">
        <v>2020</v>
      </c>
      <c r="AJ123" s="284">
        <v>2020</v>
      </c>
      <c r="AK123" s="64"/>
      <c r="AL123" s="64"/>
      <c r="AM123" s="64"/>
      <c r="AN123" s="64"/>
    </row>
    <row r="124" spans="1:40" ht="62.25" x14ac:dyDescent="0.9">
      <c r="A124" s="6">
        <v>1</v>
      </c>
      <c r="B124" s="66">
        <f>SUBTOTAL(103,$A$88:A124)</f>
        <v>33</v>
      </c>
      <c r="C124" s="288" t="s">
        <v>1904</v>
      </c>
      <c r="D124" s="72" t="s">
        <v>1539</v>
      </c>
      <c r="E124" s="69">
        <v>0.94076119632908406</v>
      </c>
      <c r="F124" s="31">
        <f>P124+AE124</f>
        <v>24243.07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74">
        <v>0</v>
      </c>
      <c r="N124" s="31">
        <v>0</v>
      </c>
      <c r="O124" s="31">
        <v>985</v>
      </c>
      <c r="P124" s="31">
        <v>23884.799999999999</v>
      </c>
      <c r="Q124" s="31">
        <v>0</v>
      </c>
      <c r="R124" s="31">
        <v>0</v>
      </c>
      <c r="S124" s="31">
        <v>0</v>
      </c>
      <c r="T124" s="289">
        <v>0</v>
      </c>
      <c r="U124" s="31">
        <v>0</v>
      </c>
      <c r="V124" s="31">
        <v>0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0</v>
      </c>
      <c r="AE124" s="31">
        <f t="shared" si="48"/>
        <v>358.27</v>
      </c>
      <c r="AF124" s="31">
        <v>0</v>
      </c>
      <c r="AG124" s="31">
        <v>0</v>
      </c>
      <c r="AH124" s="284" t="s">
        <v>270</v>
      </c>
      <c r="AI124" s="284">
        <v>2021</v>
      </c>
      <c r="AJ124" s="284">
        <v>2021</v>
      </c>
      <c r="AK124" s="64"/>
      <c r="AL124" s="64"/>
      <c r="AM124" s="64"/>
      <c r="AN124" s="64"/>
    </row>
    <row r="125" spans="1:40" ht="62.25" x14ac:dyDescent="0.9">
      <c r="B125" s="285" t="s">
        <v>828</v>
      </c>
      <c r="C125" s="286"/>
      <c r="D125" s="287" t="s">
        <v>896</v>
      </c>
      <c r="E125" s="69">
        <f>AVERAGE(E126:E129)</f>
        <v>0.6400023136337607</v>
      </c>
      <c r="F125" s="31">
        <f>SUM(F126:F129)</f>
        <v>3091318.25</v>
      </c>
      <c r="G125" s="31">
        <f t="shared" ref="G125:AG125" si="49">SUM(G126:G129)</f>
        <v>0</v>
      </c>
      <c r="H125" s="31">
        <f t="shared" si="49"/>
        <v>0</v>
      </c>
      <c r="I125" s="31">
        <f t="shared" si="49"/>
        <v>0</v>
      </c>
      <c r="J125" s="31">
        <f t="shared" si="49"/>
        <v>0</v>
      </c>
      <c r="K125" s="31">
        <f t="shared" si="49"/>
        <v>0</v>
      </c>
      <c r="L125" s="31">
        <f t="shared" si="49"/>
        <v>0</v>
      </c>
      <c r="M125" s="74">
        <f t="shared" si="49"/>
        <v>0</v>
      </c>
      <c r="N125" s="31">
        <f t="shared" si="49"/>
        <v>0</v>
      </c>
      <c r="O125" s="31">
        <f t="shared" si="49"/>
        <v>1984</v>
      </c>
      <c r="P125" s="31">
        <f t="shared" si="49"/>
        <v>3046165.91</v>
      </c>
      <c r="Q125" s="31">
        <f t="shared" si="49"/>
        <v>0</v>
      </c>
      <c r="R125" s="31">
        <f t="shared" si="49"/>
        <v>0</v>
      </c>
      <c r="S125" s="31">
        <f t="shared" si="49"/>
        <v>0</v>
      </c>
      <c r="T125" s="31">
        <f t="shared" si="49"/>
        <v>0</v>
      </c>
      <c r="U125" s="31">
        <f t="shared" si="49"/>
        <v>0</v>
      </c>
      <c r="V125" s="31">
        <f t="shared" si="49"/>
        <v>0</v>
      </c>
      <c r="W125" s="31">
        <f t="shared" si="49"/>
        <v>0</v>
      </c>
      <c r="X125" s="31">
        <f t="shared" si="49"/>
        <v>0</v>
      </c>
      <c r="Y125" s="31">
        <f t="shared" si="49"/>
        <v>0</v>
      </c>
      <c r="Z125" s="31">
        <f t="shared" si="49"/>
        <v>0</v>
      </c>
      <c r="AA125" s="31">
        <f t="shared" si="49"/>
        <v>0</v>
      </c>
      <c r="AB125" s="31">
        <f t="shared" si="49"/>
        <v>0</v>
      </c>
      <c r="AC125" s="31">
        <f t="shared" si="49"/>
        <v>0</v>
      </c>
      <c r="AD125" s="31">
        <f t="shared" si="49"/>
        <v>0</v>
      </c>
      <c r="AE125" s="31">
        <f t="shared" si="49"/>
        <v>45152.340000000004</v>
      </c>
      <c r="AF125" s="31">
        <f t="shared" si="49"/>
        <v>0</v>
      </c>
      <c r="AG125" s="31">
        <f t="shared" si="49"/>
        <v>0</v>
      </c>
      <c r="AH125" s="284" t="s">
        <v>896</v>
      </c>
      <c r="AI125" s="284" t="s">
        <v>896</v>
      </c>
      <c r="AJ125" s="284" t="s">
        <v>896</v>
      </c>
      <c r="AK125" s="64"/>
      <c r="AL125" s="64"/>
      <c r="AM125" s="64"/>
      <c r="AN125" s="64"/>
    </row>
    <row r="126" spans="1:40" ht="62.25" x14ac:dyDescent="0.9">
      <c r="A126" s="6">
        <v>1</v>
      </c>
      <c r="B126" s="66">
        <f>SUBTOTAL(103,$A$88:A126)</f>
        <v>34</v>
      </c>
      <c r="C126" s="288" t="s">
        <v>1436</v>
      </c>
      <c r="D126" s="72" t="s">
        <v>1900</v>
      </c>
      <c r="E126" s="69">
        <v>0.4062203289705193</v>
      </c>
      <c r="F126" s="31">
        <f t="shared" si="40"/>
        <v>48915.49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74">
        <v>0</v>
      </c>
      <c r="N126" s="31">
        <v>0</v>
      </c>
      <c r="O126" s="103">
        <v>412</v>
      </c>
      <c r="P126" s="31">
        <v>48428.78</v>
      </c>
      <c r="Q126" s="31">
        <v>0</v>
      </c>
      <c r="R126" s="31">
        <v>0</v>
      </c>
      <c r="S126" s="31">
        <v>0</v>
      </c>
      <c r="T126" s="289">
        <v>0</v>
      </c>
      <c r="U126" s="31">
        <v>0</v>
      </c>
      <c r="V126" s="31">
        <v>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0</v>
      </c>
      <c r="AE126" s="31">
        <v>486.71</v>
      </c>
      <c r="AF126" s="31">
        <v>0</v>
      </c>
      <c r="AG126" s="31">
        <v>0</v>
      </c>
      <c r="AH126" s="284" t="s">
        <v>270</v>
      </c>
      <c r="AI126" s="284">
        <v>2020</v>
      </c>
      <c r="AJ126" s="284">
        <v>2020</v>
      </c>
      <c r="AK126" s="64"/>
      <c r="AL126" s="64"/>
      <c r="AM126" s="64"/>
      <c r="AN126" s="64"/>
    </row>
    <row r="127" spans="1:40" ht="62.25" x14ac:dyDescent="0.9">
      <c r="A127" s="6">
        <v>1</v>
      </c>
      <c r="B127" s="66">
        <f>SUBTOTAL(103,$A$88:A127)</f>
        <v>35</v>
      </c>
      <c r="C127" s="288" t="s">
        <v>1437</v>
      </c>
      <c r="D127" s="72" t="s">
        <v>1900</v>
      </c>
      <c r="E127" s="69">
        <v>0.69908892556452351</v>
      </c>
      <c r="F127" s="31">
        <f t="shared" si="40"/>
        <v>14682.87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74">
        <v>0</v>
      </c>
      <c r="N127" s="31">
        <v>0</v>
      </c>
      <c r="O127" s="31">
        <v>508</v>
      </c>
      <c r="P127" s="31">
        <v>14536.78</v>
      </c>
      <c r="Q127" s="31">
        <v>0</v>
      </c>
      <c r="R127" s="31">
        <v>0</v>
      </c>
      <c r="S127" s="31">
        <v>0</v>
      </c>
      <c r="T127" s="289">
        <v>0</v>
      </c>
      <c r="U127" s="31">
        <v>0</v>
      </c>
      <c r="V127" s="31">
        <v>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0</v>
      </c>
      <c r="AE127" s="31">
        <v>146.09</v>
      </c>
      <c r="AF127" s="31">
        <v>0</v>
      </c>
      <c r="AG127" s="31">
        <v>0</v>
      </c>
      <c r="AH127" s="284" t="s">
        <v>270</v>
      </c>
      <c r="AI127" s="284">
        <v>2020</v>
      </c>
      <c r="AJ127" s="284">
        <v>2020</v>
      </c>
      <c r="AK127" s="64"/>
      <c r="AL127" s="64"/>
      <c r="AM127" s="64"/>
      <c r="AN127" s="64"/>
    </row>
    <row r="128" spans="1:40" ht="62.25" x14ac:dyDescent="0.9">
      <c r="A128" s="6">
        <v>1</v>
      </c>
      <c r="B128" s="66">
        <f>SUBTOTAL(103,$A$88:A128)</f>
        <v>36</v>
      </c>
      <c r="C128" s="288" t="s">
        <v>1438</v>
      </c>
      <c r="D128" s="72" t="s">
        <v>1900</v>
      </c>
      <c r="E128" s="69">
        <v>0.53310000000000002</v>
      </c>
      <c r="F128" s="31">
        <f t="shared" si="40"/>
        <v>2981100.72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74">
        <v>0</v>
      </c>
      <c r="N128" s="31">
        <v>0</v>
      </c>
      <c r="O128" s="31">
        <v>730</v>
      </c>
      <c r="P128" s="31">
        <v>2937045.04</v>
      </c>
      <c r="Q128" s="31">
        <v>0</v>
      </c>
      <c r="R128" s="31">
        <v>0</v>
      </c>
      <c r="S128" s="31">
        <v>0</v>
      </c>
      <c r="T128" s="289">
        <v>0</v>
      </c>
      <c r="U128" s="31">
        <v>0</v>
      </c>
      <c r="V128" s="31">
        <v>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0</v>
      </c>
      <c r="AE128" s="31">
        <f>ROUND(P128*1.5%,2)</f>
        <v>44055.68</v>
      </c>
      <c r="AF128" s="31">
        <v>0</v>
      </c>
      <c r="AG128" s="31">
        <v>0</v>
      </c>
      <c r="AH128" s="284" t="s">
        <v>270</v>
      </c>
      <c r="AI128" s="35">
        <v>2021</v>
      </c>
      <c r="AJ128" s="35">
        <v>2021</v>
      </c>
      <c r="AK128" s="64"/>
      <c r="AL128" s="64"/>
      <c r="AM128" s="64"/>
      <c r="AN128" s="64"/>
    </row>
    <row r="129" spans="1:40" ht="62.25" x14ac:dyDescent="0.9">
      <c r="A129" s="6">
        <v>1</v>
      </c>
      <c r="B129" s="66">
        <f>SUBTOTAL(103,$A$88:A129)</f>
        <v>37</v>
      </c>
      <c r="C129" s="288" t="s">
        <v>1439</v>
      </c>
      <c r="D129" s="72" t="s">
        <v>1899</v>
      </c>
      <c r="E129" s="69">
        <v>0.92159999999999997</v>
      </c>
      <c r="F129" s="31">
        <f t="shared" si="40"/>
        <v>46619.17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74">
        <v>0</v>
      </c>
      <c r="N129" s="31">
        <v>0</v>
      </c>
      <c r="O129" s="31">
        <v>334</v>
      </c>
      <c r="P129" s="31">
        <v>46155.31</v>
      </c>
      <c r="Q129" s="31">
        <v>0</v>
      </c>
      <c r="R129" s="31">
        <v>0</v>
      </c>
      <c r="S129" s="31">
        <v>0</v>
      </c>
      <c r="T129" s="289">
        <v>0</v>
      </c>
      <c r="U129" s="31">
        <v>0</v>
      </c>
      <c r="V129" s="31">
        <v>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0</v>
      </c>
      <c r="AE129" s="31">
        <v>463.86</v>
      </c>
      <c r="AF129" s="31">
        <v>0</v>
      </c>
      <c r="AG129" s="31">
        <v>0</v>
      </c>
      <c r="AH129" s="284" t="s">
        <v>270</v>
      </c>
      <c r="AI129" s="284">
        <v>2020</v>
      </c>
      <c r="AJ129" s="284">
        <v>2020</v>
      </c>
      <c r="AK129" s="64"/>
      <c r="AL129" s="64"/>
      <c r="AM129" s="64"/>
      <c r="AN129" s="64"/>
    </row>
    <row r="130" spans="1:40" ht="62.25" x14ac:dyDescent="0.9">
      <c r="B130" s="285" t="s">
        <v>766</v>
      </c>
      <c r="C130" s="286"/>
      <c r="D130" s="287" t="s">
        <v>896</v>
      </c>
      <c r="E130" s="69">
        <f>AVERAGE(E131:E160)</f>
        <v>0.86356413161943657</v>
      </c>
      <c r="F130" s="31">
        <f t="shared" ref="F130:AG130" si="50">SUM(F131:F160)</f>
        <v>9439005.0200000033</v>
      </c>
      <c r="G130" s="31">
        <f t="shared" si="50"/>
        <v>7510</v>
      </c>
      <c r="H130" s="31">
        <f t="shared" si="50"/>
        <v>0</v>
      </c>
      <c r="I130" s="31">
        <f t="shared" si="50"/>
        <v>0</v>
      </c>
      <c r="J130" s="31">
        <f t="shared" si="50"/>
        <v>0</v>
      </c>
      <c r="K130" s="31">
        <f t="shared" si="50"/>
        <v>265366.61</v>
      </c>
      <c r="L130" s="31">
        <f t="shared" si="50"/>
        <v>0</v>
      </c>
      <c r="M130" s="31">
        <f t="shared" si="50"/>
        <v>0</v>
      </c>
      <c r="N130" s="31">
        <f t="shared" si="50"/>
        <v>0</v>
      </c>
      <c r="O130" s="31">
        <f t="shared" si="50"/>
        <v>18074.939999999999</v>
      </c>
      <c r="P130" s="31">
        <f t="shared" si="50"/>
        <v>8387876.9900000002</v>
      </c>
      <c r="Q130" s="31">
        <f t="shared" si="50"/>
        <v>0</v>
      </c>
      <c r="R130" s="31">
        <f t="shared" si="50"/>
        <v>0</v>
      </c>
      <c r="S130" s="31">
        <f t="shared" si="50"/>
        <v>5134.45</v>
      </c>
      <c r="T130" s="31">
        <f t="shared" si="50"/>
        <v>645132.4800000001</v>
      </c>
      <c r="U130" s="31">
        <f t="shared" si="50"/>
        <v>0</v>
      </c>
      <c r="V130" s="31">
        <f t="shared" si="50"/>
        <v>0</v>
      </c>
      <c r="W130" s="31">
        <f t="shared" si="50"/>
        <v>0</v>
      </c>
      <c r="X130" s="31">
        <f t="shared" si="50"/>
        <v>0</v>
      </c>
      <c r="Y130" s="31">
        <f t="shared" si="50"/>
        <v>0</v>
      </c>
      <c r="Z130" s="31">
        <f t="shared" si="50"/>
        <v>0</v>
      </c>
      <c r="AA130" s="31">
        <f t="shared" si="50"/>
        <v>0</v>
      </c>
      <c r="AB130" s="31">
        <f t="shared" si="50"/>
        <v>0</v>
      </c>
      <c r="AC130" s="31">
        <f t="shared" si="50"/>
        <v>0</v>
      </c>
      <c r="AD130" s="31">
        <f t="shared" si="50"/>
        <v>0</v>
      </c>
      <c r="AE130" s="31">
        <f t="shared" si="50"/>
        <v>133118.93999999994</v>
      </c>
      <c r="AF130" s="31">
        <f t="shared" si="50"/>
        <v>0</v>
      </c>
      <c r="AG130" s="31">
        <f t="shared" si="50"/>
        <v>0</v>
      </c>
      <c r="AH130" s="284" t="s">
        <v>896</v>
      </c>
      <c r="AI130" s="284" t="s">
        <v>896</v>
      </c>
      <c r="AJ130" s="284" t="s">
        <v>896</v>
      </c>
      <c r="AK130" s="64"/>
      <c r="AL130" s="64"/>
      <c r="AM130" s="64"/>
      <c r="AN130" s="64"/>
    </row>
    <row r="131" spans="1:40" ht="62.25" x14ac:dyDescent="0.9">
      <c r="A131" s="6">
        <v>1</v>
      </c>
      <c r="B131" s="66">
        <f>SUBTOTAL(103,$A$88:A131)</f>
        <v>38</v>
      </c>
      <c r="C131" s="288" t="s">
        <v>1440</v>
      </c>
      <c r="D131" s="72" t="s">
        <v>1899</v>
      </c>
      <c r="E131" s="69">
        <v>0.87120114478643584</v>
      </c>
      <c r="F131" s="31">
        <f t="shared" si="40"/>
        <v>15597.11</v>
      </c>
      <c r="G131" s="31">
        <v>0</v>
      </c>
      <c r="H131" s="31">
        <v>0</v>
      </c>
      <c r="I131" s="31">
        <v>0</v>
      </c>
      <c r="J131" s="31">
        <v>0</v>
      </c>
      <c r="K131" s="31">
        <v>15366.61</v>
      </c>
      <c r="L131" s="31">
        <v>0</v>
      </c>
      <c r="M131" s="74">
        <v>0</v>
      </c>
      <c r="N131" s="31">
        <v>0</v>
      </c>
      <c r="O131" s="31">
        <v>0</v>
      </c>
      <c r="P131" s="31">
        <v>0</v>
      </c>
      <c r="Q131" s="31">
        <v>0</v>
      </c>
      <c r="R131" s="31">
        <v>0</v>
      </c>
      <c r="S131" s="31">
        <v>0</v>
      </c>
      <c r="T131" s="289">
        <v>0</v>
      </c>
      <c r="U131" s="31">
        <v>0</v>
      </c>
      <c r="V131" s="31">
        <v>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0</v>
      </c>
      <c r="AE131" s="31">
        <f>ROUND(K131*1.5%,2)</f>
        <v>230.5</v>
      </c>
      <c r="AF131" s="31">
        <v>0</v>
      </c>
      <c r="AG131" s="31">
        <v>0</v>
      </c>
      <c r="AH131" s="284" t="s">
        <v>270</v>
      </c>
      <c r="AI131" s="35">
        <v>2021</v>
      </c>
      <c r="AJ131" s="35">
        <v>2021</v>
      </c>
      <c r="AK131" s="64"/>
      <c r="AL131" s="64"/>
      <c r="AM131" s="64"/>
      <c r="AN131" s="64"/>
    </row>
    <row r="132" spans="1:40" ht="62.25" x14ac:dyDescent="0.9">
      <c r="A132" s="6">
        <v>1</v>
      </c>
      <c r="B132" s="66">
        <f>SUBTOTAL(103,$A$88:A132)</f>
        <v>39</v>
      </c>
      <c r="C132" s="288" t="s">
        <v>1441</v>
      </c>
      <c r="D132" s="72" t="s">
        <v>1899</v>
      </c>
      <c r="E132" s="69">
        <v>0.88725132075072177</v>
      </c>
      <c r="F132" s="31">
        <f t="shared" si="40"/>
        <v>2190830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74">
        <v>0</v>
      </c>
      <c r="N132" s="31">
        <v>0</v>
      </c>
      <c r="O132" s="31">
        <v>1600</v>
      </c>
      <c r="P132" s="31">
        <v>2158453.2000000002</v>
      </c>
      <c r="Q132" s="31">
        <v>0</v>
      </c>
      <c r="R132" s="31">
        <v>0</v>
      </c>
      <c r="S132" s="31">
        <v>0</v>
      </c>
      <c r="T132" s="289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f t="shared" ref="AE132:AE139" si="51">ROUND(P132*1.5%,2)</f>
        <v>32376.799999999999</v>
      </c>
      <c r="AF132" s="31">
        <v>0</v>
      </c>
      <c r="AG132" s="31">
        <v>0</v>
      </c>
      <c r="AH132" s="284" t="s">
        <v>270</v>
      </c>
      <c r="AI132" s="35">
        <v>2021</v>
      </c>
      <c r="AJ132" s="35">
        <v>2021</v>
      </c>
      <c r="AK132" s="64"/>
      <c r="AL132" s="64"/>
      <c r="AM132" s="64"/>
      <c r="AN132" s="64"/>
    </row>
    <row r="133" spans="1:40" ht="62.25" x14ac:dyDescent="0.9">
      <c r="A133" s="6">
        <v>1</v>
      </c>
      <c r="B133" s="66">
        <f>SUBTOTAL(103,$A$88:A133)</f>
        <v>40</v>
      </c>
      <c r="C133" s="288" t="s">
        <v>1442</v>
      </c>
      <c r="D133" s="72" t="s">
        <v>1539</v>
      </c>
      <c r="E133" s="69">
        <v>0.86073469797958557</v>
      </c>
      <c r="F133" s="31">
        <f t="shared" si="40"/>
        <v>485978.33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74">
        <v>0</v>
      </c>
      <c r="N133" s="31">
        <v>0</v>
      </c>
      <c r="O133" s="31">
        <v>824.88</v>
      </c>
      <c r="P133" s="31">
        <v>478796.38</v>
      </c>
      <c r="Q133" s="31">
        <v>0</v>
      </c>
      <c r="R133" s="31">
        <v>0</v>
      </c>
      <c r="S133" s="31">
        <v>0</v>
      </c>
      <c r="T133" s="289">
        <v>0</v>
      </c>
      <c r="U133" s="31">
        <v>0</v>
      </c>
      <c r="V133" s="31">
        <v>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f t="shared" si="51"/>
        <v>7181.95</v>
      </c>
      <c r="AF133" s="31">
        <v>0</v>
      </c>
      <c r="AG133" s="31">
        <v>0</v>
      </c>
      <c r="AH133" s="284" t="s">
        <v>270</v>
      </c>
      <c r="AI133" s="35">
        <v>2021</v>
      </c>
      <c r="AJ133" s="35">
        <v>2021</v>
      </c>
      <c r="AK133" s="64"/>
      <c r="AL133" s="64"/>
      <c r="AM133" s="64"/>
      <c r="AN133" s="64"/>
    </row>
    <row r="134" spans="1:40" ht="62.25" x14ac:dyDescent="0.9">
      <c r="A134" s="6">
        <v>1</v>
      </c>
      <c r="B134" s="66">
        <f>SUBTOTAL(103,$A$88:A134)</f>
        <v>41</v>
      </c>
      <c r="C134" s="288" t="s">
        <v>1443</v>
      </c>
      <c r="D134" s="72" t="s">
        <v>1900</v>
      </c>
      <c r="E134" s="69">
        <v>0.94940000000000002</v>
      </c>
      <c r="F134" s="31">
        <f t="shared" si="40"/>
        <v>450455.92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74">
        <v>0</v>
      </c>
      <c r="N134" s="31">
        <v>0</v>
      </c>
      <c r="O134" s="31">
        <v>477.6</v>
      </c>
      <c r="P134" s="31">
        <v>443798.94</v>
      </c>
      <c r="Q134" s="31">
        <v>0</v>
      </c>
      <c r="R134" s="31">
        <v>0</v>
      </c>
      <c r="S134" s="31">
        <v>0</v>
      </c>
      <c r="T134" s="289">
        <v>0</v>
      </c>
      <c r="U134" s="31">
        <v>0</v>
      </c>
      <c r="V134" s="31">
        <v>0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0</v>
      </c>
      <c r="AE134" s="31">
        <f t="shared" si="51"/>
        <v>6656.98</v>
      </c>
      <c r="AF134" s="31">
        <v>0</v>
      </c>
      <c r="AG134" s="31">
        <v>0</v>
      </c>
      <c r="AH134" s="284" t="s">
        <v>270</v>
      </c>
      <c r="AI134" s="35">
        <v>2021</v>
      </c>
      <c r="AJ134" s="35">
        <v>2021</v>
      </c>
      <c r="AK134" s="64"/>
      <c r="AL134" s="64"/>
      <c r="AM134" s="64"/>
      <c r="AN134" s="64"/>
    </row>
    <row r="135" spans="1:40" ht="62.25" x14ac:dyDescent="0.9">
      <c r="A135" s="6">
        <v>1</v>
      </c>
      <c r="B135" s="66">
        <f>SUBTOTAL(103,$A$88:A135)</f>
        <v>42</v>
      </c>
      <c r="C135" s="288" t="s">
        <v>1444</v>
      </c>
      <c r="D135" s="72" t="s">
        <v>1899</v>
      </c>
      <c r="E135" s="69">
        <v>0.50380000000000003</v>
      </c>
      <c r="F135" s="31">
        <f t="shared" si="40"/>
        <v>428766.45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74">
        <v>0</v>
      </c>
      <c r="N135" s="31">
        <v>0</v>
      </c>
      <c r="O135" s="31">
        <v>431.8</v>
      </c>
      <c r="P135" s="31">
        <v>422430</v>
      </c>
      <c r="Q135" s="31">
        <v>0</v>
      </c>
      <c r="R135" s="31">
        <v>0</v>
      </c>
      <c r="S135" s="31">
        <v>0</v>
      </c>
      <c r="T135" s="289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f t="shared" si="51"/>
        <v>6336.45</v>
      </c>
      <c r="AF135" s="31">
        <v>0</v>
      </c>
      <c r="AG135" s="31">
        <v>0</v>
      </c>
      <c r="AH135" s="284" t="s">
        <v>270</v>
      </c>
      <c r="AI135" s="35">
        <v>2021</v>
      </c>
      <c r="AJ135" s="35">
        <v>2021</v>
      </c>
      <c r="AK135" s="64"/>
      <c r="AL135" s="64"/>
      <c r="AM135" s="64"/>
      <c r="AN135" s="64"/>
    </row>
    <row r="136" spans="1:40" ht="62.25" x14ac:dyDescent="0.9">
      <c r="A136" s="6">
        <v>1</v>
      </c>
      <c r="B136" s="66">
        <f>SUBTOTAL(103,$A$88:A136)</f>
        <v>43</v>
      </c>
      <c r="C136" s="288" t="s">
        <v>1445</v>
      </c>
      <c r="D136" s="72" t="s">
        <v>1899</v>
      </c>
      <c r="E136" s="69">
        <v>0.97430000000000005</v>
      </c>
      <c r="F136" s="31">
        <f t="shared" si="40"/>
        <v>32554.69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74">
        <v>0</v>
      </c>
      <c r="N136" s="31">
        <v>0</v>
      </c>
      <c r="O136" s="31">
        <v>775</v>
      </c>
      <c r="P136" s="31">
        <v>32073.59</v>
      </c>
      <c r="Q136" s="31">
        <v>0</v>
      </c>
      <c r="R136" s="31">
        <v>0</v>
      </c>
      <c r="S136" s="31">
        <v>0</v>
      </c>
      <c r="T136" s="289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f t="shared" si="51"/>
        <v>481.1</v>
      </c>
      <c r="AF136" s="31">
        <v>0</v>
      </c>
      <c r="AG136" s="31">
        <v>0</v>
      </c>
      <c r="AH136" s="284" t="s">
        <v>270</v>
      </c>
      <c r="AI136" s="35">
        <v>2021</v>
      </c>
      <c r="AJ136" s="35">
        <v>2021</v>
      </c>
      <c r="AK136" s="64"/>
      <c r="AL136" s="64"/>
      <c r="AM136" s="64"/>
      <c r="AN136" s="64"/>
    </row>
    <row r="137" spans="1:40" ht="62.25" x14ac:dyDescent="0.9">
      <c r="A137" s="6">
        <v>1</v>
      </c>
      <c r="B137" s="66">
        <f>SUBTOTAL(103,$A$88:A137)</f>
        <v>44</v>
      </c>
      <c r="C137" s="288" t="s">
        <v>1446</v>
      </c>
      <c r="D137" s="72" t="s">
        <v>1899</v>
      </c>
      <c r="E137" s="69">
        <v>0.93600000000000005</v>
      </c>
      <c r="F137" s="31">
        <f t="shared" si="40"/>
        <v>1170243.6200000001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74">
        <v>0</v>
      </c>
      <c r="N137" s="31">
        <v>0</v>
      </c>
      <c r="O137" s="31">
        <v>1110</v>
      </c>
      <c r="P137" s="31">
        <v>1158771.78</v>
      </c>
      <c r="Q137" s="31">
        <v>0</v>
      </c>
      <c r="R137" s="31">
        <v>0</v>
      </c>
      <c r="S137" s="31">
        <v>0</v>
      </c>
      <c r="T137" s="289">
        <v>0</v>
      </c>
      <c r="U137" s="31">
        <v>0</v>
      </c>
      <c r="V137" s="31">
        <v>0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0</v>
      </c>
      <c r="AE137" s="31">
        <v>11471.84</v>
      </c>
      <c r="AF137" s="31">
        <v>0</v>
      </c>
      <c r="AG137" s="31">
        <v>0</v>
      </c>
      <c r="AH137" s="284" t="s">
        <v>270</v>
      </c>
      <c r="AI137" s="284">
        <v>2020</v>
      </c>
      <c r="AJ137" s="284">
        <v>2020</v>
      </c>
      <c r="AK137" s="64"/>
      <c r="AL137" s="64"/>
      <c r="AM137" s="64"/>
      <c r="AN137" s="64"/>
    </row>
    <row r="138" spans="1:40" ht="62.25" x14ac:dyDescent="0.9">
      <c r="A138" s="6">
        <v>1</v>
      </c>
      <c r="B138" s="66">
        <f>SUBTOTAL(103,$A$88:A138)</f>
        <v>45</v>
      </c>
      <c r="C138" s="288" t="s">
        <v>1447</v>
      </c>
      <c r="D138" s="72" t="s">
        <v>1899</v>
      </c>
      <c r="E138" s="69">
        <v>0.91669999999999996</v>
      </c>
      <c r="F138" s="31">
        <f t="shared" si="40"/>
        <v>99562.97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74">
        <v>0</v>
      </c>
      <c r="N138" s="31">
        <v>0</v>
      </c>
      <c r="O138" s="31">
        <v>1586.2</v>
      </c>
      <c r="P138" s="31">
        <v>98091.6</v>
      </c>
      <c r="Q138" s="31">
        <v>0</v>
      </c>
      <c r="R138" s="31">
        <v>0</v>
      </c>
      <c r="S138" s="31">
        <v>0</v>
      </c>
      <c r="T138" s="31">
        <v>0</v>
      </c>
      <c r="U138" s="31">
        <v>0</v>
      </c>
      <c r="V138" s="31">
        <v>0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0</v>
      </c>
      <c r="AE138" s="31">
        <f t="shared" si="51"/>
        <v>1471.37</v>
      </c>
      <c r="AF138" s="31">
        <v>0</v>
      </c>
      <c r="AG138" s="31">
        <v>0</v>
      </c>
      <c r="AH138" s="284" t="s">
        <v>270</v>
      </c>
      <c r="AI138" s="284">
        <v>2020</v>
      </c>
      <c r="AJ138" s="284">
        <v>2020</v>
      </c>
      <c r="AK138" s="64"/>
      <c r="AL138" s="64"/>
      <c r="AM138" s="64"/>
      <c r="AN138" s="64"/>
    </row>
    <row r="139" spans="1:40" ht="62.25" x14ac:dyDescent="0.9">
      <c r="A139" s="6">
        <v>1</v>
      </c>
      <c r="B139" s="66">
        <f>SUBTOTAL(103,$A$88:A139)</f>
        <v>46</v>
      </c>
      <c r="C139" s="288" t="s">
        <v>1448</v>
      </c>
      <c r="D139" s="72" t="s">
        <v>1899</v>
      </c>
      <c r="E139" s="69">
        <v>0.87539999999999996</v>
      </c>
      <c r="F139" s="31">
        <f t="shared" si="40"/>
        <v>2522.4300000000003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74">
        <v>0</v>
      </c>
      <c r="N139" s="31">
        <v>0</v>
      </c>
      <c r="O139" s="31">
        <v>711</v>
      </c>
      <c r="P139" s="31">
        <v>2485.15</v>
      </c>
      <c r="Q139" s="31">
        <v>0</v>
      </c>
      <c r="R139" s="31">
        <v>0</v>
      </c>
      <c r="S139" s="31">
        <v>0</v>
      </c>
      <c r="T139" s="31">
        <v>0</v>
      </c>
      <c r="U139" s="31">
        <v>0</v>
      </c>
      <c r="V139" s="31">
        <v>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f t="shared" si="51"/>
        <v>37.28</v>
      </c>
      <c r="AF139" s="31">
        <v>0</v>
      </c>
      <c r="AG139" s="31">
        <v>0</v>
      </c>
      <c r="AH139" s="284" t="s">
        <v>270</v>
      </c>
      <c r="AI139" s="35">
        <v>2021</v>
      </c>
      <c r="AJ139" s="35">
        <v>2021</v>
      </c>
      <c r="AK139" s="64"/>
      <c r="AL139" s="64"/>
      <c r="AM139" s="64"/>
      <c r="AN139" s="64"/>
    </row>
    <row r="140" spans="1:40" ht="62.25" x14ac:dyDescent="0.9">
      <c r="A140" s="6">
        <v>1</v>
      </c>
      <c r="B140" s="66">
        <f>SUBTOTAL(103,$A$88:A140)</f>
        <v>47</v>
      </c>
      <c r="C140" s="288" t="s">
        <v>1449</v>
      </c>
      <c r="D140" s="87" t="s">
        <v>1899</v>
      </c>
      <c r="E140" s="69">
        <v>0.86950000000000005</v>
      </c>
      <c r="F140" s="31">
        <f t="shared" si="40"/>
        <v>253750</v>
      </c>
      <c r="G140" s="31">
        <v>0</v>
      </c>
      <c r="H140" s="31">
        <v>0</v>
      </c>
      <c r="I140" s="31">
        <v>0</v>
      </c>
      <c r="J140" s="31">
        <v>0</v>
      </c>
      <c r="K140" s="31">
        <v>250000</v>
      </c>
      <c r="L140" s="31">
        <v>0</v>
      </c>
      <c r="M140" s="74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  <c r="U140" s="31">
        <v>0</v>
      </c>
      <c r="V140" s="31">
        <v>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f>ROUND(K140*1.5%,2)</f>
        <v>3750</v>
      </c>
      <c r="AF140" s="31">
        <v>0</v>
      </c>
      <c r="AG140" s="31">
        <v>0</v>
      </c>
      <c r="AH140" s="284" t="s">
        <v>270</v>
      </c>
      <c r="AI140" s="35">
        <v>2021</v>
      </c>
      <c r="AJ140" s="35">
        <v>2021</v>
      </c>
      <c r="AK140" s="64"/>
      <c r="AL140" s="64"/>
      <c r="AM140" s="64"/>
      <c r="AN140" s="64"/>
    </row>
    <row r="141" spans="1:40" ht="62.25" x14ac:dyDescent="0.9">
      <c r="A141" s="6">
        <v>1</v>
      </c>
      <c r="B141" s="66">
        <f>SUBTOTAL(103,$A$88:A141)</f>
        <v>48</v>
      </c>
      <c r="C141" s="288" t="s">
        <v>1450</v>
      </c>
      <c r="D141" s="72" t="s">
        <v>1899</v>
      </c>
      <c r="E141" s="69">
        <v>0.94930000000000003</v>
      </c>
      <c r="F141" s="31">
        <f t="shared" si="40"/>
        <v>23700.19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74">
        <v>0</v>
      </c>
      <c r="N141" s="31">
        <v>0</v>
      </c>
      <c r="O141" s="31">
        <v>649.79999999999995</v>
      </c>
      <c r="P141" s="31">
        <v>23349.94</v>
      </c>
      <c r="Q141" s="31">
        <v>0</v>
      </c>
      <c r="R141" s="31">
        <v>0</v>
      </c>
      <c r="S141" s="31">
        <v>0</v>
      </c>
      <c r="T141" s="31">
        <v>0</v>
      </c>
      <c r="U141" s="31">
        <v>0</v>
      </c>
      <c r="V141" s="31">
        <v>0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0</v>
      </c>
      <c r="AE141" s="31">
        <f>ROUND(P141*1.5%,2)</f>
        <v>350.25</v>
      </c>
      <c r="AF141" s="31">
        <v>0</v>
      </c>
      <c r="AG141" s="31">
        <v>0</v>
      </c>
      <c r="AH141" s="284" t="s">
        <v>270</v>
      </c>
      <c r="AI141" s="284">
        <v>2020</v>
      </c>
      <c r="AJ141" s="284">
        <v>2020</v>
      </c>
      <c r="AK141" s="64"/>
      <c r="AL141" s="64"/>
      <c r="AM141" s="64"/>
      <c r="AN141" s="64"/>
    </row>
    <row r="142" spans="1:40" ht="62.25" x14ac:dyDescent="0.9">
      <c r="A142" s="6">
        <v>1</v>
      </c>
      <c r="B142" s="66">
        <f>SUBTOTAL(103,$A$88:A142)</f>
        <v>49</v>
      </c>
      <c r="C142" s="288" t="s">
        <v>1451</v>
      </c>
      <c r="D142" s="72" t="s">
        <v>1900</v>
      </c>
      <c r="E142" s="69">
        <v>0.79333438101544396</v>
      </c>
      <c r="F142" s="31">
        <f t="shared" si="40"/>
        <v>1177488.75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74">
        <v>0</v>
      </c>
      <c r="N142" s="31">
        <v>0</v>
      </c>
      <c r="O142" s="31">
        <v>1265</v>
      </c>
      <c r="P142" s="31">
        <v>1160087.44</v>
      </c>
      <c r="Q142" s="31">
        <v>0</v>
      </c>
      <c r="R142" s="31">
        <v>0</v>
      </c>
      <c r="S142" s="31">
        <v>0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f>ROUND(P142*1.5%,2)</f>
        <v>17401.310000000001</v>
      </c>
      <c r="AF142" s="31">
        <v>0</v>
      </c>
      <c r="AG142" s="31">
        <v>0</v>
      </c>
      <c r="AH142" s="284" t="s">
        <v>270</v>
      </c>
      <c r="AI142" s="284">
        <v>2020</v>
      </c>
      <c r="AJ142" s="284">
        <v>2020</v>
      </c>
      <c r="AK142" s="64"/>
      <c r="AL142" s="64"/>
      <c r="AM142" s="64"/>
      <c r="AN142" s="64"/>
    </row>
    <row r="143" spans="1:40" ht="62.25" x14ac:dyDescent="0.9">
      <c r="A143" s="6">
        <v>1</v>
      </c>
      <c r="B143" s="66">
        <f>SUBTOTAL(103,$A$88:A143)</f>
        <v>50</v>
      </c>
      <c r="C143" s="288" t="s">
        <v>1452</v>
      </c>
      <c r="D143" s="72" t="s">
        <v>1899</v>
      </c>
      <c r="E143" s="69">
        <v>0.91920000000000002</v>
      </c>
      <c r="F143" s="31">
        <f t="shared" si="40"/>
        <v>186610.06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74">
        <v>0</v>
      </c>
      <c r="N143" s="31">
        <v>0</v>
      </c>
      <c r="O143" s="31">
        <v>1166</v>
      </c>
      <c r="P143" s="31">
        <v>183852.28</v>
      </c>
      <c r="Q143" s="31">
        <v>0</v>
      </c>
      <c r="R143" s="31">
        <v>0</v>
      </c>
      <c r="S143" s="31">
        <v>0</v>
      </c>
      <c r="T143" s="289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f>ROUND(P143*1.5%,2)</f>
        <v>2757.78</v>
      </c>
      <c r="AF143" s="31">
        <v>0</v>
      </c>
      <c r="AG143" s="31">
        <v>0</v>
      </c>
      <c r="AH143" s="284" t="s">
        <v>270</v>
      </c>
      <c r="AI143" s="35">
        <v>2021</v>
      </c>
      <c r="AJ143" s="35">
        <v>2021</v>
      </c>
      <c r="AK143" s="64"/>
      <c r="AL143" s="64"/>
      <c r="AM143" s="64"/>
      <c r="AN143" s="64"/>
    </row>
    <row r="144" spans="1:40" ht="62.25" x14ac:dyDescent="0.9">
      <c r="A144" s="6">
        <v>1</v>
      </c>
      <c r="B144" s="66">
        <f>SUBTOTAL(103,$A$88:A144)</f>
        <v>51</v>
      </c>
      <c r="C144" s="288" t="s">
        <v>1453</v>
      </c>
      <c r="D144" s="87" t="s">
        <v>1900</v>
      </c>
      <c r="E144" s="69">
        <v>0.80210000000000004</v>
      </c>
      <c r="F144" s="31">
        <f t="shared" si="40"/>
        <v>69345.69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74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276.85000000000002</v>
      </c>
      <c r="T144" s="31">
        <v>68320.88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f>ROUND(T144*1.5%,2)</f>
        <v>1024.81</v>
      </c>
      <c r="AF144" s="31">
        <v>0</v>
      </c>
      <c r="AG144" s="31">
        <v>0</v>
      </c>
      <c r="AH144" s="284" t="s">
        <v>270</v>
      </c>
      <c r="AI144" s="35">
        <v>2021</v>
      </c>
      <c r="AJ144" s="35">
        <v>2021</v>
      </c>
      <c r="AK144" s="64"/>
      <c r="AL144" s="64"/>
      <c r="AM144" s="64"/>
      <c r="AN144" s="64"/>
    </row>
    <row r="145" spans="1:40" ht="62.25" x14ac:dyDescent="0.9">
      <c r="A145" s="6">
        <v>1</v>
      </c>
      <c r="B145" s="66">
        <f>SUBTOTAL(103,$A$88:A145)</f>
        <v>52</v>
      </c>
      <c r="C145" s="288" t="s">
        <v>1454</v>
      </c>
      <c r="D145" s="72" t="s">
        <v>1900</v>
      </c>
      <c r="E145" s="69">
        <v>0.67430000000000001</v>
      </c>
      <c r="F145" s="31">
        <f t="shared" si="40"/>
        <v>8410.2900000000009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74">
        <v>0</v>
      </c>
      <c r="N145" s="31">
        <v>0</v>
      </c>
      <c r="O145" s="31">
        <v>583</v>
      </c>
      <c r="P145" s="31">
        <v>8286</v>
      </c>
      <c r="Q145" s="31">
        <v>0</v>
      </c>
      <c r="R145" s="31">
        <v>0</v>
      </c>
      <c r="S145" s="31">
        <v>0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f>ROUND(P145*1.5%,2)</f>
        <v>124.29</v>
      </c>
      <c r="AF145" s="31">
        <v>0</v>
      </c>
      <c r="AG145" s="31">
        <v>0</v>
      </c>
      <c r="AH145" s="284" t="s">
        <v>270</v>
      </c>
      <c r="AI145" s="35">
        <v>2021</v>
      </c>
      <c r="AJ145" s="35">
        <v>2021</v>
      </c>
      <c r="AK145" s="64"/>
      <c r="AL145" s="64"/>
      <c r="AM145" s="64"/>
      <c r="AN145" s="64"/>
    </row>
    <row r="146" spans="1:40" ht="62.25" x14ac:dyDescent="0.9">
      <c r="A146" s="6">
        <v>1</v>
      </c>
      <c r="B146" s="66">
        <f>SUBTOTAL(103,$A$88:A146)</f>
        <v>53</v>
      </c>
      <c r="C146" s="288" t="s">
        <v>1455</v>
      </c>
      <c r="D146" s="87" t="s">
        <v>1900</v>
      </c>
      <c r="E146" s="69">
        <v>0.90800000000000003</v>
      </c>
      <c r="F146" s="31">
        <f t="shared" si="40"/>
        <v>7622.65</v>
      </c>
      <c r="G146" s="31">
        <v>7510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74">
        <v>0</v>
      </c>
      <c r="N146" s="31">
        <v>0</v>
      </c>
      <c r="O146" s="31">
        <v>0</v>
      </c>
      <c r="P146" s="31">
        <v>0</v>
      </c>
      <c r="Q146" s="31">
        <v>0</v>
      </c>
      <c r="R146" s="31">
        <v>0</v>
      </c>
      <c r="S146" s="31">
        <v>0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f>ROUND(G146*1.5%,2)</f>
        <v>112.65</v>
      </c>
      <c r="AF146" s="31">
        <v>0</v>
      </c>
      <c r="AG146" s="31">
        <v>0</v>
      </c>
      <c r="AH146" s="284" t="s">
        <v>270</v>
      </c>
      <c r="AI146" s="35">
        <v>2021</v>
      </c>
      <c r="AJ146" s="35">
        <v>2021</v>
      </c>
      <c r="AK146" s="64"/>
      <c r="AL146" s="64"/>
      <c r="AM146" s="64"/>
      <c r="AN146" s="64"/>
    </row>
    <row r="147" spans="1:40" ht="62.25" x14ac:dyDescent="0.9">
      <c r="A147" s="6">
        <v>1</v>
      </c>
      <c r="B147" s="66">
        <f>SUBTOTAL(103,$A$88:A147)</f>
        <v>54</v>
      </c>
      <c r="C147" s="288" t="s">
        <v>1456</v>
      </c>
      <c r="D147" s="72" t="s">
        <v>1900</v>
      </c>
      <c r="E147" s="69">
        <v>0.98829999999999996</v>
      </c>
      <c r="F147" s="31">
        <f t="shared" si="40"/>
        <v>49508.61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74">
        <v>0</v>
      </c>
      <c r="N147" s="31">
        <v>0</v>
      </c>
      <c r="O147" s="31">
        <v>284.39999999999998</v>
      </c>
      <c r="P147" s="31">
        <v>48776.959999999999</v>
      </c>
      <c r="Q147" s="31">
        <v>0</v>
      </c>
      <c r="R147" s="31">
        <v>0</v>
      </c>
      <c r="S147" s="31">
        <v>0</v>
      </c>
      <c r="T147" s="31">
        <v>0</v>
      </c>
      <c r="U147" s="31">
        <v>0</v>
      </c>
      <c r="V147" s="31">
        <v>0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0</v>
      </c>
      <c r="AD147" s="31">
        <v>0</v>
      </c>
      <c r="AE147" s="31">
        <f>ROUND(P147*1.5%,2)</f>
        <v>731.65</v>
      </c>
      <c r="AF147" s="31">
        <v>0</v>
      </c>
      <c r="AG147" s="31">
        <v>0</v>
      </c>
      <c r="AH147" s="284" t="s">
        <v>270</v>
      </c>
      <c r="AI147" s="35">
        <v>2021</v>
      </c>
      <c r="AJ147" s="35">
        <v>2021</v>
      </c>
      <c r="AK147" s="64"/>
      <c r="AL147" s="64"/>
      <c r="AM147" s="64"/>
      <c r="AN147" s="64"/>
    </row>
    <row r="148" spans="1:40" ht="62.25" x14ac:dyDescent="0.9">
      <c r="A148" s="6">
        <v>1</v>
      </c>
      <c r="B148" s="66">
        <f>SUBTOTAL(103,$A$88:A148)</f>
        <v>55</v>
      </c>
      <c r="C148" s="288" t="s">
        <v>1457</v>
      </c>
      <c r="D148" s="72" t="s">
        <v>1900</v>
      </c>
      <c r="E148" s="69">
        <v>0.86109999999999998</v>
      </c>
      <c r="F148" s="31">
        <f t="shared" si="40"/>
        <v>194179.65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74">
        <v>0</v>
      </c>
      <c r="N148" s="31">
        <v>0</v>
      </c>
      <c r="O148" s="31">
        <v>1539</v>
      </c>
      <c r="P148" s="31">
        <v>191310</v>
      </c>
      <c r="Q148" s="31">
        <v>0</v>
      </c>
      <c r="R148" s="31">
        <v>0</v>
      </c>
      <c r="S148" s="31">
        <v>0</v>
      </c>
      <c r="T148" s="289">
        <v>0</v>
      </c>
      <c r="U148" s="31">
        <v>0</v>
      </c>
      <c r="V148" s="31">
        <v>0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f>ROUND(P148*1.5%,2)</f>
        <v>2869.65</v>
      </c>
      <c r="AF148" s="31">
        <v>0</v>
      </c>
      <c r="AG148" s="31">
        <v>0</v>
      </c>
      <c r="AH148" s="284" t="s">
        <v>270</v>
      </c>
      <c r="AI148" s="35">
        <v>2021</v>
      </c>
      <c r="AJ148" s="35">
        <v>2021</v>
      </c>
      <c r="AK148" s="64"/>
      <c r="AL148" s="64"/>
      <c r="AM148" s="64"/>
      <c r="AN148" s="64"/>
    </row>
    <row r="149" spans="1:40" ht="62.25" x14ac:dyDescent="0.9">
      <c r="A149" s="6">
        <v>1</v>
      </c>
      <c r="B149" s="66">
        <f>SUBTOTAL(103,$A$88:A149)</f>
        <v>56</v>
      </c>
      <c r="C149" s="288" t="s">
        <v>1458</v>
      </c>
      <c r="D149" s="72" t="s">
        <v>1900</v>
      </c>
      <c r="E149" s="69">
        <v>0.85870000000000002</v>
      </c>
      <c r="F149" s="31">
        <f t="shared" si="40"/>
        <v>874380.28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74">
        <v>0</v>
      </c>
      <c r="N149" s="31">
        <v>0</v>
      </c>
      <c r="O149" s="31">
        <v>748</v>
      </c>
      <c r="P149" s="31">
        <v>861458.4</v>
      </c>
      <c r="Q149" s="31">
        <v>0</v>
      </c>
      <c r="R149" s="31">
        <v>0</v>
      </c>
      <c r="S149" s="31">
        <v>0</v>
      </c>
      <c r="T149" s="289">
        <v>0</v>
      </c>
      <c r="U149" s="31">
        <v>0</v>
      </c>
      <c r="V149" s="31">
        <v>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0</v>
      </c>
      <c r="AD149" s="31">
        <v>0</v>
      </c>
      <c r="AE149" s="31">
        <f>ROUND(P149*1.5%,2)</f>
        <v>12921.88</v>
      </c>
      <c r="AF149" s="31">
        <v>0</v>
      </c>
      <c r="AG149" s="31">
        <v>0</v>
      </c>
      <c r="AH149" s="284" t="s">
        <v>270</v>
      </c>
      <c r="AI149" s="35">
        <v>2021</v>
      </c>
      <c r="AJ149" s="35">
        <v>2021</v>
      </c>
      <c r="AK149" s="64"/>
      <c r="AL149" s="64"/>
      <c r="AM149" s="64"/>
      <c r="AN149" s="64"/>
    </row>
    <row r="150" spans="1:40" ht="62.25" x14ac:dyDescent="0.9">
      <c r="A150" s="6">
        <v>1</v>
      </c>
      <c r="B150" s="66">
        <f>SUBTOTAL(103,$A$88:A150)</f>
        <v>57</v>
      </c>
      <c r="C150" s="288" t="s">
        <v>1459</v>
      </c>
      <c r="D150" s="87">
        <v>2015</v>
      </c>
      <c r="E150" s="69">
        <v>0.9476</v>
      </c>
      <c r="F150" s="31">
        <f t="shared" si="40"/>
        <v>37308.06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74">
        <v>0</v>
      </c>
      <c r="N150" s="31">
        <v>0</v>
      </c>
      <c r="O150" s="31">
        <v>0</v>
      </c>
      <c r="P150" s="31">
        <v>0</v>
      </c>
      <c r="Q150" s="31">
        <v>0</v>
      </c>
      <c r="R150" s="31">
        <v>0</v>
      </c>
      <c r="S150" s="31">
        <v>174</v>
      </c>
      <c r="T150" s="289">
        <v>37308.06</v>
      </c>
      <c r="U150" s="31">
        <v>0</v>
      </c>
      <c r="V150" s="31">
        <v>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0</v>
      </c>
      <c r="AD150" s="31">
        <v>0</v>
      </c>
      <c r="AE150" s="31">
        <v>0</v>
      </c>
      <c r="AF150" s="31">
        <v>0</v>
      </c>
      <c r="AG150" s="31">
        <v>0</v>
      </c>
      <c r="AH150" s="284" t="s">
        <v>270</v>
      </c>
      <c r="AI150" s="35">
        <v>2020</v>
      </c>
      <c r="AJ150" s="35" t="s">
        <v>270</v>
      </c>
      <c r="AK150" s="64"/>
      <c r="AL150" s="64"/>
      <c r="AM150" s="64"/>
      <c r="AN150" s="64"/>
    </row>
    <row r="151" spans="1:40" ht="62.25" x14ac:dyDescent="0.9">
      <c r="A151" s="6">
        <v>1</v>
      </c>
      <c r="B151" s="66">
        <f>SUBTOTAL(103,$A$88:A151)</f>
        <v>58</v>
      </c>
      <c r="C151" s="288" t="s">
        <v>1460</v>
      </c>
      <c r="D151" s="72" t="s">
        <v>1900</v>
      </c>
      <c r="E151" s="69">
        <v>0.94679999999999997</v>
      </c>
      <c r="F151" s="31">
        <f t="shared" si="40"/>
        <v>41021.47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74">
        <v>0</v>
      </c>
      <c r="N151" s="31">
        <v>0</v>
      </c>
      <c r="O151" s="31">
        <v>289.66000000000003</v>
      </c>
      <c r="P151" s="31">
        <v>40415.24</v>
      </c>
      <c r="Q151" s="31">
        <v>0</v>
      </c>
      <c r="R151" s="31">
        <v>0</v>
      </c>
      <c r="S151" s="31">
        <v>0</v>
      </c>
      <c r="T151" s="289">
        <v>0</v>
      </c>
      <c r="U151" s="31">
        <v>0</v>
      </c>
      <c r="V151" s="31">
        <v>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0</v>
      </c>
      <c r="AD151" s="31">
        <v>0</v>
      </c>
      <c r="AE151" s="31">
        <f>ROUND(P151*1.5%,2)</f>
        <v>606.23</v>
      </c>
      <c r="AF151" s="31">
        <v>0</v>
      </c>
      <c r="AG151" s="31">
        <v>0</v>
      </c>
      <c r="AH151" s="284" t="s">
        <v>270</v>
      </c>
      <c r="AI151" s="35">
        <v>2021</v>
      </c>
      <c r="AJ151" s="35">
        <v>2021</v>
      </c>
      <c r="AK151" s="64"/>
      <c r="AL151" s="64"/>
      <c r="AM151" s="64"/>
      <c r="AN151" s="64"/>
    </row>
    <row r="152" spans="1:40" ht="62.25" x14ac:dyDescent="0.9">
      <c r="A152" s="6">
        <v>1</v>
      </c>
      <c r="B152" s="66">
        <f>SUBTOTAL(103,$A$88:A152)</f>
        <v>59</v>
      </c>
      <c r="C152" s="288" t="s">
        <v>1461</v>
      </c>
      <c r="D152" s="87" t="s">
        <v>1539</v>
      </c>
      <c r="E152" s="69">
        <v>0.92569999999999997</v>
      </c>
      <c r="F152" s="31">
        <f t="shared" si="40"/>
        <v>504846.64999999997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74">
        <v>0</v>
      </c>
      <c r="N152" s="31">
        <v>0</v>
      </c>
      <c r="O152" s="31">
        <v>0</v>
      </c>
      <c r="P152" s="31">
        <v>0</v>
      </c>
      <c r="Q152" s="31">
        <v>0</v>
      </c>
      <c r="R152" s="31">
        <v>0</v>
      </c>
      <c r="S152" s="31">
        <v>3007.6</v>
      </c>
      <c r="T152" s="289">
        <v>497385.86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f>ROUND(T152*1.5%,2)</f>
        <v>7460.79</v>
      </c>
      <c r="AF152" s="31">
        <v>0</v>
      </c>
      <c r="AG152" s="31">
        <v>0</v>
      </c>
      <c r="AH152" s="284" t="s">
        <v>270</v>
      </c>
      <c r="AI152" s="35">
        <v>2021</v>
      </c>
      <c r="AJ152" s="35">
        <v>2021</v>
      </c>
      <c r="AK152" s="64"/>
      <c r="AL152" s="64"/>
      <c r="AM152" s="64"/>
      <c r="AN152" s="64"/>
    </row>
    <row r="153" spans="1:40" ht="62.25" x14ac:dyDescent="0.9">
      <c r="A153" s="6">
        <v>1</v>
      </c>
      <c r="B153" s="66">
        <f>SUBTOTAL(103,$A$88:A153)</f>
        <v>60</v>
      </c>
      <c r="C153" s="288" t="s">
        <v>1504</v>
      </c>
      <c r="D153" s="87" t="s">
        <v>1539</v>
      </c>
      <c r="E153" s="69">
        <v>0.80649999999999999</v>
      </c>
      <c r="F153" s="31">
        <f t="shared" si="40"/>
        <v>42749.45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74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1676</v>
      </c>
      <c r="T153" s="289">
        <v>42117.68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f>ROUND(T153*1.5%,2)</f>
        <v>631.77</v>
      </c>
      <c r="AF153" s="31">
        <v>0</v>
      </c>
      <c r="AG153" s="31">
        <v>0</v>
      </c>
      <c r="AH153" s="284" t="s">
        <v>270</v>
      </c>
      <c r="AI153" s="35">
        <v>2020</v>
      </c>
      <c r="AJ153" s="35">
        <v>2020</v>
      </c>
      <c r="AK153" s="64"/>
      <c r="AL153" s="64"/>
      <c r="AM153" s="64"/>
      <c r="AN153" s="64"/>
    </row>
    <row r="154" spans="1:40" ht="62.25" x14ac:dyDescent="0.9">
      <c r="A154" s="6">
        <v>1</v>
      </c>
      <c r="B154" s="66">
        <f>SUBTOTAL(103,$A$88:A154)</f>
        <v>61</v>
      </c>
      <c r="C154" s="288" t="s">
        <v>1505</v>
      </c>
      <c r="D154" s="72" t="s">
        <v>1900</v>
      </c>
      <c r="E154" s="69">
        <v>0.79520000000000002</v>
      </c>
      <c r="F154" s="31">
        <f t="shared" si="40"/>
        <v>81763.55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74">
        <v>0</v>
      </c>
      <c r="N154" s="31">
        <v>0</v>
      </c>
      <c r="O154" s="31">
        <v>352</v>
      </c>
      <c r="P154" s="31">
        <v>80555.22</v>
      </c>
      <c r="Q154" s="31">
        <v>0</v>
      </c>
      <c r="R154" s="31">
        <v>0</v>
      </c>
      <c r="S154" s="31">
        <v>0</v>
      </c>
      <c r="T154" s="289">
        <v>0</v>
      </c>
      <c r="U154" s="31">
        <v>0</v>
      </c>
      <c r="V154" s="31">
        <v>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f t="shared" ref="AE154:AE160" si="52">ROUND(P154*1.5%,2)</f>
        <v>1208.33</v>
      </c>
      <c r="AF154" s="31">
        <v>0</v>
      </c>
      <c r="AG154" s="31">
        <v>0</v>
      </c>
      <c r="AH154" s="284" t="s">
        <v>270</v>
      </c>
      <c r="AI154" s="284">
        <v>2020</v>
      </c>
      <c r="AJ154" s="284">
        <v>2020</v>
      </c>
      <c r="AK154" s="64"/>
      <c r="AL154" s="64"/>
      <c r="AM154" s="64"/>
      <c r="AN154" s="64"/>
    </row>
    <row r="155" spans="1:40" ht="62.25" x14ac:dyDescent="0.9">
      <c r="A155" s="6">
        <v>1</v>
      </c>
      <c r="B155" s="66">
        <f>SUBTOTAL(103,$A$88:A155)</f>
        <v>62</v>
      </c>
      <c r="C155" s="288" t="s">
        <v>1506</v>
      </c>
      <c r="D155" s="72" t="s">
        <v>1539</v>
      </c>
      <c r="E155" s="69">
        <v>0.76160000000000005</v>
      </c>
      <c r="F155" s="31">
        <f>G155+H155+I155+J155+K155+L155+N155+P155+R155+T155+V155+W155+X155+Y155+Z155+AA155+AB155+AC155+AD155+AE155+AF155+AG155</f>
        <v>7245.74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74">
        <v>0</v>
      </c>
      <c r="N155" s="31">
        <v>0</v>
      </c>
      <c r="O155" s="31">
        <v>910</v>
      </c>
      <c r="P155" s="31">
        <v>7138.66</v>
      </c>
      <c r="Q155" s="31">
        <v>0</v>
      </c>
      <c r="R155" s="31">
        <v>0</v>
      </c>
      <c r="S155" s="31">
        <v>0</v>
      </c>
      <c r="T155" s="289">
        <v>0</v>
      </c>
      <c r="U155" s="31">
        <v>0</v>
      </c>
      <c r="V155" s="31">
        <v>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0</v>
      </c>
      <c r="AE155" s="31">
        <f t="shared" si="52"/>
        <v>107.08</v>
      </c>
      <c r="AF155" s="31">
        <v>0</v>
      </c>
      <c r="AG155" s="31">
        <v>0</v>
      </c>
      <c r="AH155" s="284" t="s">
        <v>270</v>
      </c>
      <c r="AI155" s="35">
        <v>2021</v>
      </c>
      <c r="AJ155" s="35">
        <v>2021</v>
      </c>
      <c r="AK155" s="64"/>
      <c r="AL155" s="64"/>
      <c r="AM155" s="64"/>
      <c r="AN155" s="64"/>
    </row>
    <row r="156" spans="1:40" ht="62.25" x14ac:dyDescent="0.9">
      <c r="A156" s="6">
        <v>1</v>
      </c>
      <c r="B156" s="66">
        <f>SUBTOTAL(103,$A$88:A156)</f>
        <v>63</v>
      </c>
      <c r="C156" s="288" t="s">
        <v>1685</v>
      </c>
      <c r="D156" s="72" t="s">
        <v>1899</v>
      </c>
      <c r="E156" s="69">
        <v>0.95309999999999995</v>
      </c>
      <c r="F156" s="31">
        <f t="shared" si="40"/>
        <v>16859.560000000001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74">
        <v>0</v>
      </c>
      <c r="N156" s="31">
        <v>0</v>
      </c>
      <c r="O156" s="31">
        <v>900</v>
      </c>
      <c r="P156" s="31">
        <v>16610.400000000001</v>
      </c>
      <c r="Q156" s="31">
        <v>0</v>
      </c>
      <c r="R156" s="31">
        <v>0</v>
      </c>
      <c r="S156" s="31">
        <v>0</v>
      </c>
      <c r="T156" s="289">
        <v>0</v>
      </c>
      <c r="U156" s="31">
        <v>0</v>
      </c>
      <c r="V156" s="31">
        <v>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0</v>
      </c>
      <c r="AD156" s="31">
        <v>0</v>
      </c>
      <c r="AE156" s="31">
        <f t="shared" si="52"/>
        <v>249.16</v>
      </c>
      <c r="AF156" s="31">
        <v>0</v>
      </c>
      <c r="AG156" s="31">
        <v>0</v>
      </c>
      <c r="AH156" s="284" t="s">
        <v>270</v>
      </c>
      <c r="AI156" s="35">
        <v>2021</v>
      </c>
      <c r="AJ156" s="35">
        <v>2021</v>
      </c>
      <c r="AK156" s="64"/>
      <c r="AL156" s="64"/>
      <c r="AM156" s="64"/>
      <c r="AN156" s="64"/>
    </row>
    <row r="157" spans="1:40" ht="62.25" x14ac:dyDescent="0.9">
      <c r="A157" s="6">
        <v>1</v>
      </c>
      <c r="B157" s="66">
        <f>SUBTOTAL(103,$A$88:A157)</f>
        <v>64</v>
      </c>
      <c r="C157" s="288" t="s">
        <v>1905</v>
      </c>
      <c r="D157" s="72" t="s">
        <v>1899</v>
      </c>
      <c r="E157" s="69">
        <v>0.88386686541757653</v>
      </c>
      <c r="F157" s="31">
        <f t="shared" ref="F157:F160" si="53">P157+AE157</f>
        <v>27161.4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74">
        <v>0</v>
      </c>
      <c r="N157" s="31">
        <v>0</v>
      </c>
      <c r="O157" s="31">
        <v>345.6</v>
      </c>
      <c r="P157" s="31">
        <v>26760</v>
      </c>
      <c r="Q157" s="31">
        <v>0</v>
      </c>
      <c r="R157" s="31">
        <v>0</v>
      </c>
      <c r="S157" s="31">
        <v>0</v>
      </c>
      <c r="T157" s="289">
        <v>0</v>
      </c>
      <c r="U157" s="31">
        <v>0</v>
      </c>
      <c r="V157" s="31">
        <v>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0</v>
      </c>
      <c r="AD157" s="31">
        <v>0</v>
      </c>
      <c r="AE157" s="31">
        <f t="shared" si="52"/>
        <v>401.4</v>
      </c>
      <c r="AF157" s="31">
        <v>0</v>
      </c>
      <c r="AG157" s="31">
        <v>0</v>
      </c>
      <c r="AH157" s="284" t="s">
        <v>270</v>
      </c>
      <c r="AI157" s="284">
        <v>2021</v>
      </c>
      <c r="AJ157" s="284">
        <v>2021</v>
      </c>
      <c r="AK157" s="64"/>
      <c r="AL157" s="64"/>
      <c r="AM157" s="64"/>
      <c r="AN157" s="64"/>
    </row>
    <row r="158" spans="1:40" ht="62.25" x14ac:dyDescent="0.9">
      <c r="A158" s="6">
        <v>1</v>
      </c>
      <c r="B158" s="66">
        <f>SUBTOTAL(103,$A$88:A158)</f>
        <v>65</v>
      </c>
      <c r="C158" s="288" t="s">
        <v>1906</v>
      </c>
      <c r="D158" s="72" t="s">
        <v>1899</v>
      </c>
      <c r="E158" s="69">
        <v>0.90569999999999995</v>
      </c>
      <c r="F158" s="31">
        <f t="shared" si="53"/>
        <v>843836.3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74">
        <v>0</v>
      </c>
      <c r="N158" s="31">
        <v>0</v>
      </c>
      <c r="O158" s="31">
        <v>570</v>
      </c>
      <c r="P158" s="31">
        <v>831365.81</v>
      </c>
      <c r="Q158" s="31">
        <v>0</v>
      </c>
      <c r="R158" s="31">
        <v>0</v>
      </c>
      <c r="S158" s="31">
        <v>0</v>
      </c>
      <c r="T158" s="289">
        <v>0</v>
      </c>
      <c r="U158" s="31">
        <v>0</v>
      </c>
      <c r="V158" s="31">
        <v>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f t="shared" si="52"/>
        <v>12470.49</v>
      </c>
      <c r="AF158" s="31">
        <v>0</v>
      </c>
      <c r="AG158" s="31">
        <v>0</v>
      </c>
      <c r="AH158" s="284" t="s">
        <v>270</v>
      </c>
      <c r="AI158" s="284">
        <v>2021</v>
      </c>
      <c r="AJ158" s="284">
        <v>2021</v>
      </c>
      <c r="AK158" s="64"/>
      <c r="AL158" s="64"/>
      <c r="AM158" s="64"/>
      <c r="AN158" s="64"/>
    </row>
    <row r="159" spans="1:40" ht="62.25" x14ac:dyDescent="0.9">
      <c r="A159" s="6">
        <v>1</v>
      </c>
      <c r="B159" s="66">
        <f>SUBTOTAL(103,$A$88:A159)</f>
        <v>66</v>
      </c>
      <c r="C159" s="288" t="s">
        <v>1907</v>
      </c>
      <c r="D159" s="72" t="s">
        <v>1900</v>
      </c>
      <c r="E159" s="69">
        <v>0.76750579810492481</v>
      </c>
      <c r="F159" s="31">
        <f t="shared" si="53"/>
        <v>92522.930000000008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74">
        <v>0</v>
      </c>
      <c r="N159" s="31">
        <v>0</v>
      </c>
      <c r="O159" s="31">
        <v>425</v>
      </c>
      <c r="P159" s="31">
        <v>91155.6</v>
      </c>
      <c r="Q159" s="31">
        <v>0</v>
      </c>
      <c r="R159" s="31">
        <v>0</v>
      </c>
      <c r="S159" s="31">
        <v>0</v>
      </c>
      <c r="T159" s="289">
        <v>0</v>
      </c>
      <c r="U159" s="31">
        <v>0</v>
      </c>
      <c r="V159" s="31">
        <v>0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f t="shared" si="52"/>
        <v>1367.33</v>
      </c>
      <c r="AF159" s="31">
        <v>0</v>
      </c>
      <c r="AG159" s="31">
        <v>0</v>
      </c>
      <c r="AH159" s="284" t="s">
        <v>270</v>
      </c>
      <c r="AI159" s="284">
        <v>2021</v>
      </c>
      <c r="AJ159" s="284">
        <v>2021</v>
      </c>
      <c r="AK159" s="64"/>
      <c r="AL159" s="64"/>
      <c r="AM159" s="64"/>
      <c r="AN159" s="64"/>
    </row>
    <row r="160" spans="1:40" ht="62.25" x14ac:dyDescent="0.9">
      <c r="A160" s="6">
        <v>1</v>
      </c>
      <c r="B160" s="66">
        <f>SUBTOTAL(103,$A$88:A160)</f>
        <v>67</v>
      </c>
      <c r="C160" s="288" t="s">
        <v>1908</v>
      </c>
      <c r="D160" s="72" t="s">
        <v>1900</v>
      </c>
      <c r="E160" s="69">
        <v>0.81472974052840219</v>
      </c>
      <c r="F160" s="31">
        <f t="shared" si="53"/>
        <v>22182.22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74">
        <v>0</v>
      </c>
      <c r="N160" s="31">
        <v>0</v>
      </c>
      <c r="O160" s="31">
        <v>531</v>
      </c>
      <c r="P160" s="31">
        <v>21854.400000000001</v>
      </c>
      <c r="Q160" s="31">
        <v>0</v>
      </c>
      <c r="R160" s="31">
        <v>0</v>
      </c>
      <c r="S160" s="31">
        <v>0</v>
      </c>
      <c r="T160" s="289">
        <v>0</v>
      </c>
      <c r="U160" s="31">
        <v>0</v>
      </c>
      <c r="V160" s="31">
        <v>0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0</v>
      </c>
      <c r="AD160" s="31">
        <v>0</v>
      </c>
      <c r="AE160" s="31">
        <f t="shared" si="52"/>
        <v>327.82</v>
      </c>
      <c r="AF160" s="31">
        <v>0</v>
      </c>
      <c r="AG160" s="31">
        <v>0</v>
      </c>
      <c r="AH160" s="284" t="s">
        <v>270</v>
      </c>
      <c r="AI160" s="284">
        <v>2021</v>
      </c>
      <c r="AJ160" s="284">
        <v>2021</v>
      </c>
      <c r="AK160" s="64"/>
      <c r="AL160" s="64"/>
      <c r="AM160" s="64"/>
      <c r="AN160" s="64"/>
    </row>
    <row r="161" spans="1:40" ht="62.25" x14ac:dyDescent="0.9">
      <c r="B161" s="285" t="s">
        <v>1411</v>
      </c>
      <c r="C161" s="286"/>
      <c r="D161" s="287" t="s">
        <v>896</v>
      </c>
      <c r="E161" s="69">
        <f>AVERAGE(E162:E176)</f>
        <v>0.90385558590968551</v>
      </c>
      <c r="F161" s="31">
        <f>SUM(F162:F176)</f>
        <v>5316085.62</v>
      </c>
      <c r="G161" s="31">
        <f t="shared" ref="G161:AG161" si="54">SUM(G162:G176)</f>
        <v>0</v>
      </c>
      <c r="H161" s="31">
        <f t="shared" si="54"/>
        <v>0</v>
      </c>
      <c r="I161" s="31">
        <f t="shared" si="54"/>
        <v>0</v>
      </c>
      <c r="J161" s="31">
        <f t="shared" si="54"/>
        <v>0</v>
      </c>
      <c r="K161" s="31">
        <f t="shared" si="54"/>
        <v>0</v>
      </c>
      <c r="L161" s="31">
        <f t="shared" si="54"/>
        <v>0</v>
      </c>
      <c r="M161" s="31">
        <f t="shared" si="54"/>
        <v>0</v>
      </c>
      <c r="N161" s="31">
        <f t="shared" si="54"/>
        <v>0</v>
      </c>
      <c r="O161" s="31">
        <f t="shared" si="54"/>
        <v>14263</v>
      </c>
      <c r="P161" s="31">
        <f t="shared" si="54"/>
        <v>5168595.97</v>
      </c>
      <c r="Q161" s="31">
        <f t="shared" si="54"/>
        <v>0</v>
      </c>
      <c r="R161" s="31">
        <f t="shared" si="54"/>
        <v>0</v>
      </c>
      <c r="S161" s="31">
        <f t="shared" si="54"/>
        <v>0</v>
      </c>
      <c r="T161" s="31">
        <f t="shared" si="54"/>
        <v>0</v>
      </c>
      <c r="U161" s="31">
        <f t="shared" si="54"/>
        <v>0</v>
      </c>
      <c r="V161" s="31">
        <f t="shared" si="54"/>
        <v>0</v>
      </c>
      <c r="W161" s="31">
        <f t="shared" si="54"/>
        <v>0</v>
      </c>
      <c r="X161" s="31">
        <f t="shared" si="54"/>
        <v>69998</v>
      </c>
      <c r="Y161" s="31">
        <f t="shared" si="54"/>
        <v>0</v>
      </c>
      <c r="Z161" s="31">
        <f t="shared" si="54"/>
        <v>0</v>
      </c>
      <c r="AA161" s="31">
        <f t="shared" si="54"/>
        <v>0</v>
      </c>
      <c r="AB161" s="31">
        <f t="shared" si="54"/>
        <v>0</v>
      </c>
      <c r="AC161" s="31">
        <f t="shared" si="54"/>
        <v>0</v>
      </c>
      <c r="AD161" s="31">
        <f t="shared" si="54"/>
        <v>0</v>
      </c>
      <c r="AE161" s="31">
        <f t="shared" si="54"/>
        <v>77491.650000000009</v>
      </c>
      <c r="AF161" s="31">
        <f t="shared" si="54"/>
        <v>0</v>
      </c>
      <c r="AG161" s="31">
        <f t="shared" si="54"/>
        <v>0</v>
      </c>
      <c r="AH161" s="284" t="s">
        <v>896</v>
      </c>
      <c r="AI161" s="284" t="s">
        <v>896</v>
      </c>
      <c r="AJ161" s="284" t="s">
        <v>896</v>
      </c>
      <c r="AK161" s="64"/>
      <c r="AL161" s="64"/>
      <c r="AM161" s="64"/>
      <c r="AN161" s="64"/>
    </row>
    <row r="162" spans="1:40" ht="62.25" x14ac:dyDescent="0.9">
      <c r="A162" s="6">
        <v>1</v>
      </c>
      <c r="B162" s="66">
        <f>SUBTOTAL(103,$A$88:A162)</f>
        <v>68</v>
      </c>
      <c r="C162" s="288" t="s">
        <v>1462</v>
      </c>
      <c r="D162" s="72" t="s">
        <v>1900</v>
      </c>
      <c r="E162" s="69">
        <v>0.95770131483230581</v>
      </c>
      <c r="F162" s="31">
        <f t="shared" si="40"/>
        <v>1768733.14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74">
        <v>0</v>
      </c>
      <c r="N162" s="31">
        <v>0</v>
      </c>
      <c r="O162" s="31">
        <v>2039</v>
      </c>
      <c r="P162" s="31">
        <v>1742723</v>
      </c>
      <c r="Q162" s="31">
        <v>0</v>
      </c>
      <c r="R162" s="31">
        <v>0</v>
      </c>
      <c r="S162" s="31">
        <v>0</v>
      </c>
      <c r="T162" s="289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26010.14</v>
      </c>
      <c r="AF162" s="31">
        <v>0</v>
      </c>
      <c r="AG162" s="31">
        <v>0</v>
      </c>
      <c r="AH162" s="284" t="s">
        <v>270</v>
      </c>
      <c r="AI162" s="284">
        <v>2020</v>
      </c>
      <c r="AJ162" s="284">
        <v>2020</v>
      </c>
      <c r="AK162" s="64"/>
      <c r="AL162" s="64"/>
      <c r="AM162" s="64"/>
      <c r="AN162" s="64"/>
    </row>
    <row r="163" spans="1:40" ht="62.25" x14ac:dyDescent="0.9">
      <c r="A163" s="6">
        <v>1</v>
      </c>
      <c r="B163" s="66">
        <f>SUBTOTAL(103,$A$88:A163)</f>
        <v>69</v>
      </c>
      <c r="C163" s="288" t="s">
        <v>1463</v>
      </c>
      <c r="D163" s="72" t="s">
        <v>1899</v>
      </c>
      <c r="E163" s="69">
        <v>0.91669999999999996</v>
      </c>
      <c r="F163" s="31">
        <f t="shared" si="40"/>
        <v>224063.98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74">
        <v>0</v>
      </c>
      <c r="N163" s="31">
        <v>0</v>
      </c>
      <c r="O163" s="31">
        <v>1135</v>
      </c>
      <c r="P163" s="31">
        <v>220769</v>
      </c>
      <c r="Q163" s="31">
        <v>0</v>
      </c>
      <c r="R163" s="31">
        <v>0</v>
      </c>
      <c r="S163" s="31">
        <v>0</v>
      </c>
      <c r="T163" s="289">
        <v>0</v>
      </c>
      <c r="U163" s="31">
        <v>0</v>
      </c>
      <c r="V163" s="31">
        <v>0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0</v>
      </c>
      <c r="AD163" s="31">
        <v>0</v>
      </c>
      <c r="AE163" s="31">
        <v>3294.98</v>
      </c>
      <c r="AF163" s="31">
        <v>0</v>
      </c>
      <c r="AG163" s="31">
        <v>0</v>
      </c>
      <c r="AH163" s="284" t="s">
        <v>270</v>
      </c>
      <c r="AI163" s="284">
        <v>2020</v>
      </c>
      <c r="AJ163" s="284">
        <v>2020</v>
      </c>
      <c r="AK163" s="64"/>
      <c r="AL163" s="64"/>
      <c r="AM163" s="64"/>
      <c r="AN163" s="64"/>
    </row>
    <row r="164" spans="1:40" ht="62.25" x14ac:dyDescent="0.9">
      <c r="A164" s="6">
        <v>1</v>
      </c>
      <c r="B164" s="66">
        <f>SUBTOTAL(103,$A$88:A164)</f>
        <v>70</v>
      </c>
      <c r="C164" s="288" t="s">
        <v>1464</v>
      </c>
      <c r="D164" s="72" t="s">
        <v>1900</v>
      </c>
      <c r="E164" s="69">
        <v>0.98309999999999997</v>
      </c>
      <c r="F164" s="31">
        <f t="shared" si="40"/>
        <v>31696.09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74">
        <v>0</v>
      </c>
      <c r="N164" s="31">
        <v>0</v>
      </c>
      <c r="O164" s="31">
        <v>1845</v>
      </c>
      <c r="P164" s="31">
        <v>31229.98</v>
      </c>
      <c r="Q164" s="31">
        <v>0</v>
      </c>
      <c r="R164" s="31">
        <v>0</v>
      </c>
      <c r="S164" s="31">
        <v>0</v>
      </c>
      <c r="T164" s="289">
        <v>0</v>
      </c>
      <c r="U164" s="31">
        <v>0</v>
      </c>
      <c r="V164" s="31">
        <v>0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0</v>
      </c>
      <c r="AD164" s="31">
        <v>0</v>
      </c>
      <c r="AE164" s="31">
        <v>466.11</v>
      </c>
      <c r="AF164" s="31">
        <v>0</v>
      </c>
      <c r="AG164" s="31">
        <v>0</v>
      </c>
      <c r="AH164" s="284" t="s">
        <v>270</v>
      </c>
      <c r="AI164" s="284">
        <v>2020</v>
      </c>
      <c r="AJ164" s="284">
        <v>2020</v>
      </c>
      <c r="AK164" s="64"/>
      <c r="AL164" s="64"/>
      <c r="AM164" s="64"/>
      <c r="AN164" s="64"/>
    </row>
    <row r="165" spans="1:40" ht="62.25" x14ac:dyDescent="0.9">
      <c r="A165" s="6">
        <v>1</v>
      </c>
      <c r="B165" s="66">
        <f>SUBTOTAL(103,$A$88:A165)</f>
        <v>71</v>
      </c>
      <c r="C165" s="288" t="s">
        <v>1465</v>
      </c>
      <c r="D165" s="72" t="s">
        <v>1900</v>
      </c>
      <c r="E165" s="69">
        <v>0.9163</v>
      </c>
      <c r="F165" s="31">
        <f t="shared" si="40"/>
        <v>97154.82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74">
        <v>0</v>
      </c>
      <c r="N165" s="31">
        <v>0</v>
      </c>
      <c r="O165" s="31">
        <v>736</v>
      </c>
      <c r="P165" s="31">
        <v>95726.11</v>
      </c>
      <c r="Q165" s="31">
        <v>0</v>
      </c>
      <c r="R165" s="31">
        <v>0</v>
      </c>
      <c r="S165" s="31">
        <v>0</v>
      </c>
      <c r="T165" s="289">
        <v>0</v>
      </c>
      <c r="U165" s="31">
        <v>0</v>
      </c>
      <c r="V165" s="31">
        <v>0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1428.71</v>
      </c>
      <c r="AF165" s="31">
        <v>0</v>
      </c>
      <c r="AG165" s="31">
        <v>0</v>
      </c>
      <c r="AH165" s="284" t="s">
        <v>270</v>
      </c>
      <c r="AI165" s="284">
        <v>2020</v>
      </c>
      <c r="AJ165" s="284">
        <v>2020</v>
      </c>
      <c r="AK165" s="64"/>
      <c r="AL165" s="64"/>
      <c r="AM165" s="64"/>
      <c r="AN165" s="64"/>
    </row>
    <row r="166" spans="1:40" ht="62.25" x14ac:dyDescent="0.9">
      <c r="A166" s="6">
        <v>1</v>
      </c>
      <c r="B166" s="66">
        <f>SUBTOTAL(103,$A$88:A166)</f>
        <v>72</v>
      </c>
      <c r="C166" s="288" t="s">
        <v>1466</v>
      </c>
      <c r="D166" s="72" t="s">
        <v>1899</v>
      </c>
      <c r="E166" s="69">
        <v>0.88370000000000004</v>
      </c>
      <c r="F166" s="31">
        <f t="shared" si="40"/>
        <v>115006.25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74">
        <v>0</v>
      </c>
      <c r="N166" s="31">
        <v>0</v>
      </c>
      <c r="O166" s="31">
        <v>518</v>
      </c>
      <c r="P166" s="31">
        <v>113315.02</v>
      </c>
      <c r="Q166" s="31">
        <v>0</v>
      </c>
      <c r="R166" s="31">
        <v>0</v>
      </c>
      <c r="S166" s="31">
        <v>0</v>
      </c>
      <c r="T166" s="289">
        <v>0</v>
      </c>
      <c r="U166" s="31">
        <v>0</v>
      </c>
      <c r="V166" s="31">
        <v>0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0</v>
      </c>
      <c r="AE166" s="31">
        <v>1691.23</v>
      </c>
      <c r="AF166" s="31">
        <v>0</v>
      </c>
      <c r="AG166" s="31">
        <v>0</v>
      </c>
      <c r="AH166" s="284" t="s">
        <v>270</v>
      </c>
      <c r="AI166" s="284">
        <v>2020</v>
      </c>
      <c r="AJ166" s="284">
        <v>2020</v>
      </c>
      <c r="AK166" s="64"/>
      <c r="AL166" s="64"/>
      <c r="AM166" s="64"/>
      <c r="AN166" s="64"/>
    </row>
    <row r="167" spans="1:40" ht="62.25" x14ac:dyDescent="0.9">
      <c r="A167" s="6">
        <v>1</v>
      </c>
      <c r="B167" s="66">
        <f>SUBTOTAL(103,$A$88:A167)</f>
        <v>73</v>
      </c>
      <c r="C167" s="288" t="s">
        <v>1467</v>
      </c>
      <c r="D167" s="72" t="s">
        <v>1900</v>
      </c>
      <c r="E167" s="69">
        <v>1.000675491846317</v>
      </c>
      <c r="F167" s="31">
        <f t="shared" si="40"/>
        <v>1485022.6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74">
        <v>0</v>
      </c>
      <c r="N167" s="31">
        <v>0</v>
      </c>
      <c r="O167" s="31">
        <v>1238</v>
      </c>
      <c r="P167" s="31">
        <v>1463184.57</v>
      </c>
      <c r="Q167" s="31">
        <v>0</v>
      </c>
      <c r="R167" s="31">
        <v>0</v>
      </c>
      <c r="S167" s="31">
        <v>0</v>
      </c>
      <c r="T167" s="289">
        <v>0</v>
      </c>
      <c r="U167" s="31">
        <v>0</v>
      </c>
      <c r="V167" s="31">
        <v>0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21838.03</v>
      </c>
      <c r="AF167" s="31">
        <v>0</v>
      </c>
      <c r="AG167" s="31">
        <v>0</v>
      </c>
      <c r="AH167" s="284" t="s">
        <v>270</v>
      </c>
      <c r="AI167" s="284">
        <v>2020</v>
      </c>
      <c r="AJ167" s="284">
        <v>2020</v>
      </c>
      <c r="AK167" s="64"/>
      <c r="AL167" s="64"/>
      <c r="AM167" s="64"/>
      <c r="AN167" s="64"/>
    </row>
    <row r="168" spans="1:40" ht="62.25" x14ac:dyDescent="0.9">
      <c r="A168" s="6">
        <v>1</v>
      </c>
      <c r="B168" s="66">
        <f>SUBTOTAL(103,$A$88:A168)</f>
        <v>74</v>
      </c>
      <c r="C168" s="288" t="s">
        <v>1468</v>
      </c>
      <c r="D168" s="72" t="s">
        <v>1900</v>
      </c>
      <c r="E168" s="69">
        <v>0.80026822300653366</v>
      </c>
      <c r="F168" s="31">
        <f t="shared" si="40"/>
        <v>179270.28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74">
        <v>0</v>
      </c>
      <c r="N168" s="31">
        <v>0</v>
      </c>
      <c r="O168" s="31">
        <v>668</v>
      </c>
      <c r="P168" s="31">
        <v>176634.02</v>
      </c>
      <c r="Q168" s="31">
        <v>0</v>
      </c>
      <c r="R168" s="31">
        <v>0</v>
      </c>
      <c r="S168" s="31">
        <v>0</v>
      </c>
      <c r="T168" s="289">
        <v>0</v>
      </c>
      <c r="U168" s="31">
        <v>0</v>
      </c>
      <c r="V168" s="31">
        <v>0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0</v>
      </c>
      <c r="AD168" s="31">
        <v>0</v>
      </c>
      <c r="AE168" s="31">
        <v>2636.26</v>
      </c>
      <c r="AF168" s="31">
        <v>0</v>
      </c>
      <c r="AG168" s="31">
        <v>0</v>
      </c>
      <c r="AH168" s="284" t="s">
        <v>270</v>
      </c>
      <c r="AI168" s="284">
        <v>2020</v>
      </c>
      <c r="AJ168" s="284">
        <v>2020</v>
      </c>
      <c r="AK168" s="64"/>
      <c r="AL168" s="64"/>
      <c r="AM168" s="64"/>
      <c r="AN168" s="64"/>
    </row>
    <row r="169" spans="1:40" ht="62.25" x14ac:dyDescent="0.9">
      <c r="A169" s="6">
        <v>1</v>
      </c>
      <c r="B169" s="66">
        <f>SUBTOTAL(103,$A$88:A169)</f>
        <v>75</v>
      </c>
      <c r="C169" s="288" t="s">
        <v>1469</v>
      </c>
      <c r="D169" s="72" t="s">
        <v>1899</v>
      </c>
      <c r="E169" s="69">
        <v>0.92587279445283599</v>
      </c>
      <c r="F169" s="31">
        <f t="shared" si="40"/>
        <v>21660.55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74">
        <v>0</v>
      </c>
      <c r="N169" s="31">
        <v>0</v>
      </c>
      <c r="O169" s="31">
        <v>559</v>
      </c>
      <c r="P169" s="31">
        <v>21342.02</v>
      </c>
      <c r="Q169" s="31">
        <v>0</v>
      </c>
      <c r="R169" s="31">
        <v>0</v>
      </c>
      <c r="S169" s="31">
        <v>0</v>
      </c>
      <c r="T169" s="289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318.52999999999997</v>
      </c>
      <c r="AF169" s="31">
        <v>0</v>
      </c>
      <c r="AG169" s="31">
        <v>0</v>
      </c>
      <c r="AH169" s="284" t="s">
        <v>270</v>
      </c>
      <c r="AI169" s="284">
        <v>2020</v>
      </c>
      <c r="AJ169" s="284">
        <v>2020</v>
      </c>
      <c r="AK169" s="64"/>
      <c r="AL169" s="64"/>
      <c r="AM169" s="64"/>
      <c r="AN169" s="64"/>
    </row>
    <row r="170" spans="1:40" ht="62.25" x14ac:dyDescent="0.9">
      <c r="A170" s="6">
        <v>1</v>
      </c>
      <c r="B170" s="66">
        <f>SUBTOTAL(103,$A$88:A170)</f>
        <v>76</v>
      </c>
      <c r="C170" s="288" t="s">
        <v>1470</v>
      </c>
      <c r="D170" s="72" t="s">
        <v>1900</v>
      </c>
      <c r="E170" s="69">
        <v>0.87360000000000004</v>
      </c>
      <c r="F170" s="31">
        <f t="shared" si="40"/>
        <v>825558.04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74">
        <v>0</v>
      </c>
      <c r="N170" s="31">
        <v>0</v>
      </c>
      <c r="O170" s="31">
        <v>1549</v>
      </c>
      <c r="P170" s="31">
        <v>813417.78</v>
      </c>
      <c r="Q170" s="31">
        <v>0</v>
      </c>
      <c r="R170" s="31">
        <v>0</v>
      </c>
      <c r="S170" s="31">
        <v>0</v>
      </c>
      <c r="T170" s="289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12140.26</v>
      </c>
      <c r="AF170" s="31">
        <v>0</v>
      </c>
      <c r="AG170" s="31">
        <v>0</v>
      </c>
      <c r="AH170" s="284" t="s">
        <v>270</v>
      </c>
      <c r="AI170" s="284">
        <v>2020</v>
      </c>
      <c r="AJ170" s="284">
        <v>2020</v>
      </c>
      <c r="AK170" s="64"/>
      <c r="AL170" s="64"/>
      <c r="AM170" s="64"/>
      <c r="AN170" s="64"/>
    </row>
    <row r="171" spans="1:40" ht="62.25" x14ac:dyDescent="0.9">
      <c r="A171" s="6">
        <v>1</v>
      </c>
      <c r="B171" s="66">
        <f>SUBTOTAL(103,$A$88:A171)</f>
        <v>77</v>
      </c>
      <c r="C171" s="288" t="s">
        <v>1471</v>
      </c>
      <c r="D171" s="72" t="s">
        <v>1899</v>
      </c>
      <c r="E171" s="69">
        <v>0.78059999999999996</v>
      </c>
      <c r="F171" s="31">
        <f t="shared" si="40"/>
        <v>58127.710000000006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74">
        <v>0</v>
      </c>
      <c r="N171" s="31">
        <v>0</v>
      </c>
      <c r="O171" s="31">
        <v>450</v>
      </c>
      <c r="P171" s="31">
        <v>57272.91</v>
      </c>
      <c r="Q171" s="31">
        <v>0</v>
      </c>
      <c r="R171" s="31">
        <v>0</v>
      </c>
      <c r="S171" s="31">
        <v>0</v>
      </c>
      <c r="T171" s="289">
        <v>0</v>
      </c>
      <c r="U171" s="31">
        <v>0</v>
      </c>
      <c r="V171" s="31">
        <v>0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0</v>
      </c>
      <c r="AD171" s="31">
        <v>0</v>
      </c>
      <c r="AE171" s="31">
        <v>854.8</v>
      </c>
      <c r="AF171" s="31">
        <v>0</v>
      </c>
      <c r="AG171" s="31">
        <v>0</v>
      </c>
      <c r="AH171" s="284" t="s">
        <v>270</v>
      </c>
      <c r="AI171" s="284">
        <v>2020</v>
      </c>
      <c r="AJ171" s="284">
        <v>2020</v>
      </c>
      <c r="AK171" s="64"/>
      <c r="AL171" s="64"/>
      <c r="AM171" s="64"/>
      <c r="AN171" s="64"/>
    </row>
    <row r="172" spans="1:40" ht="62.25" x14ac:dyDescent="0.9">
      <c r="A172" s="6">
        <v>1</v>
      </c>
      <c r="B172" s="66">
        <f>SUBTOTAL(103,$A$88:A172)</f>
        <v>78</v>
      </c>
      <c r="C172" s="288" t="s">
        <v>1166</v>
      </c>
      <c r="D172" s="72" t="s">
        <v>1900</v>
      </c>
      <c r="E172" s="69">
        <v>0.88049999999999995</v>
      </c>
      <c r="F172" s="31">
        <f t="shared" si="40"/>
        <v>174209.85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74">
        <v>0</v>
      </c>
      <c r="N172" s="31">
        <v>0</v>
      </c>
      <c r="O172" s="31">
        <v>498</v>
      </c>
      <c r="P172" s="31">
        <v>171648</v>
      </c>
      <c r="Q172" s="31">
        <v>0</v>
      </c>
      <c r="R172" s="31">
        <v>0</v>
      </c>
      <c r="S172" s="31">
        <v>0</v>
      </c>
      <c r="T172" s="289">
        <v>0</v>
      </c>
      <c r="U172" s="31">
        <v>0</v>
      </c>
      <c r="V172" s="31">
        <v>0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0</v>
      </c>
      <c r="AD172" s="31">
        <v>0</v>
      </c>
      <c r="AE172" s="31">
        <v>2561.85</v>
      </c>
      <c r="AF172" s="31">
        <v>0</v>
      </c>
      <c r="AG172" s="31">
        <v>0</v>
      </c>
      <c r="AH172" s="284" t="s">
        <v>270</v>
      </c>
      <c r="AI172" s="284">
        <v>2020</v>
      </c>
      <c r="AJ172" s="284">
        <v>2020</v>
      </c>
      <c r="AK172" s="64"/>
      <c r="AL172" s="64"/>
      <c r="AM172" s="64"/>
      <c r="AN172" s="64"/>
    </row>
    <row r="173" spans="1:40" ht="62.25" x14ac:dyDescent="0.9">
      <c r="A173" s="6">
        <v>1</v>
      </c>
      <c r="B173" s="66">
        <f>SUBTOTAL(103,$A$88:A173)</f>
        <v>79</v>
      </c>
      <c r="C173" s="288" t="s">
        <v>1472</v>
      </c>
      <c r="D173" s="72">
        <v>2017</v>
      </c>
      <c r="E173" s="69">
        <v>0.97189999999999999</v>
      </c>
      <c r="F173" s="31">
        <f t="shared" si="40"/>
        <v>101365.01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74">
        <v>0</v>
      </c>
      <c r="N173" s="31">
        <v>0</v>
      </c>
      <c r="O173" s="31">
        <v>1067</v>
      </c>
      <c r="P173" s="31">
        <v>99867</v>
      </c>
      <c r="Q173" s="31">
        <v>0</v>
      </c>
      <c r="R173" s="31">
        <v>0</v>
      </c>
      <c r="S173" s="31">
        <v>0</v>
      </c>
      <c r="T173" s="289">
        <v>0</v>
      </c>
      <c r="U173" s="31">
        <v>0</v>
      </c>
      <c r="V173" s="31">
        <v>0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f t="shared" ref="AE173" si="55">ROUND(P173*1.5%,2)</f>
        <v>1498.01</v>
      </c>
      <c r="AF173" s="31">
        <v>0</v>
      </c>
      <c r="AG173" s="31">
        <v>0</v>
      </c>
      <c r="AH173" s="284" t="s">
        <v>270</v>
      </c>
      <c r="AI173" s="35">
        <v>2021</v>
      </c>
      <c r="AJ173" s="35">
        <v>2021</v>
      </c>
      <c r="AK173" s="64"/>
      <c r="AL173" s="64"/>
      <c r="AM173" s="64"/>
      <c r="AN173" s="64"/>
    </row>
    <row r="174" spans="1:40" ht="62.25" x14ac:dyDescent="0.9">
      <c r="A174" s="6">
        <v>1</v>
      </c>
      <c r="B174" s="66">
        <f>SUBTOTAL(103,$A$88:A174)</f>
        <v>80</v>
      </c>
      <c r="C174" s="288" t="s">
        <v>1510</v>
      </c>
      <c r="D174" s="87" t="s">
        <v>1539</v>
      </c>
      <c r="E174" s="69">
        <v>0.93899999999999995</v>
      </c>
      <c r="F174" s="31">
        <f t="shared" si="40"/>
        <v>70328.740000000005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74">
        <v>0</v>
      </c>
      <c r="N174" s="31">
        <v>0</v>
      </c>
      <c r="O174" s="31">
        <v>0</v>
      </c>
      <c r="P174" s="31">
        <v>0</v>
      </c>
      <c r="Q174" s="31">
        <v>0</v>
      </c>
      <c r="R174" s="31">
        <v>0</v>
      </c>
      <c r="S174" s="31">
        <v>0</v>
      </c>
      <c r="T174" s="289">
        <v>0</v>
      </c>
      <c r="U174" s="31">
        <v>0</v>
      </c>
      <c r="V174" s="31">
        <v>0</v>
      </c>
      <c r="W174" s="31">
        <v>0</v>
      </c>
      <c r="X174" s="31">
        <v>69998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0</v>
      </c>
      <c r="AE174" s="31">
        <v>330.74</v>
      </c>
      <c r="AF174" s="31">
        <v>0</v>
      </c>
      <c r="AG174" s="31">
        <v>0</v>
      </c>
      <c r="AH174" s="284" t="s">
        <v>270</v>
      </c>
      <c r="AI174" s="284">
        <v>2020</v>
      </c>
      <c r="AJ174" s="284">
        <v>2020</v>
      </c>
      <c r="AK174" s="64"/>
      <c r="AL174" s="64"/>
      <c r="AM174" s="64"/>
      <c r="AN174" s="64"/>
    </row>
    <row r="175" spans="1:40" ht="62.25" x14ac:dyDescent="0.9">
      <c r="A175" s="6">
        <v>1</v>
      </c>
      <c r="B175" s="66">
        <f>SUBTOTAL(103,$A$88:A175)</f>
        <v>81</v>
      </c>
      <c r="C175" s="288" t="s">
        <v>1909</v>
      </c>
      <c r="D175" s="72" t="s">
        <v>1899</v>
      </c>
      <c r="E175" s="69">
        <v>0.97650000000000003</v>
      </c>
      <c r="F175" s="31">
        <f t="shared" ref="F175:F176" si="56">P175+AE175</f>
        <v>53102.53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74">
        <v>0</v>
      </c>
      <c r="N175" s="31">
        <v>0</v>
      </c>
      <c r="O175" s="31">
        <v>1461</v>
      </c>
      <c r="P175" s="31">
        <v>52317.760000000002</v>
      </c>
      <c r="Q175" s="31">
        <v>0</v>
      </c>
      <c r="R175" s="31">
        <v>0</v>
      </c>
      <c r="S175" s="31">
        <v>0</v>
      </c>
      <c r="T175" s="289">
        <v>0</v>
      </c>
      <c r="U175" s="31">
        <v>0</v>
      </c>
      <c r="V175" s="31">
        <v>0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0</v>
      </c>
      <c r="AD175" s="31">
        <v>0</v>
      </c>
      <c r="AE175" s="31">
        <f>ROUND(P175*1.5%,2)</f>
        <v>784.77</v>
      </c>
      <c r="AF175" s="31">
        <v>0</v>
      </c>
      <c r="AG175" s="31">
        <v>0</v>
      </c>
      <c r="AH175" s="284" t="s">
        <v>270</v>
      </c>
      <c r="AI175" s="284">
        <v>2020</v>
      </c>
      <c r="AJ175" s="284">
        <v>2020</v>
      </c>
      <c r="AK175" s="64"/>
      <c r="AL175" s="64"/>
      <c r="AM175" s="64"/>
      <c r="AN175" s="64"/>
    </row>
    <row r="176" spans="1:40" ht="62.25" x14ac:dyDescent="0.9">
      <c r="A176" s="6">
        <v>1</v>
      </c>
      <c r="B176" s="66">
        <f>SUBTOTAL(103,$A$88:A176)</f>
        <v>82</v>
      </c>
      <c r="C176" s="288" t="s">
        <v>1910</v>
      </c>
      <c r="D176" s="72" t="s">
        <v>1899</v>
      </c>
      <c r="E176" s="69">
        <v>0.75141596450729198</v>
      </c>
      <c r="F176" s="31">
        <f t="shared" si="56"/>
        <v>110786.03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74">
        <v>0</v>
      </c>
      <c r="N176" s="31">
        <v>0</v>
      </c>
      <c r="O176" s="31">
        <v>500</v>
      </c>
      <c r="P176" s="31">
        <v>109148.8</v>
      </c>
      <c r="Q176" s="31">
        <v>0</v>
      </c>
      <c r="R176" s="31">
        <v>0</v>
      </c>
      <c r="S176" s="31">
        <v>0</v>
      </c>
      <c r="T176" s="289">
        <v>0</v>
      </c>
      <c r="U176" s="31">
        <v>0</v>
      </c>
      <c r="V176" s="31">
        <v>0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0</v>
      </c>
      <c r="AD176" s="31">
        <v>0</v>
      </c>
      <c r="AE176" s="31">
        <f>ROUND(P176*1.5%,2)</f>
        <v>1637.23</v>
      </c>
      <c r="AF176" s="31">
        <v>0</v>
      </c>
      <c r="AG176" s="31">
        <v>0</v>
      </c>
      <c r="AH176" s="284" t="s">
        <v>270</v>
      </c>
      <c r="AI176" s="284">
        <v>2020</v>
      </c>
      <c r="AJ176" s="284">
        <v>2020</v>
      </c>
      <c r="AK176" s="64"/>
      <c r="AL176" s="64"/>
      <c r="AM176" s="64"/>
      <c r="AN176" s="64"/>
    </row>
    <row r="177" spans="1:40" ht="62.25" x14ac:dyDescent="0.9">
      <c r="B177" s="285" t="s">
        <v>1412</v>
      </c>
      <c r="C177" s="286"/>
      <c r="D177" s="287" t="s">
        <v>896</v>
      </c>
      <c r="E177" s="69">
        <f>AVERAGE(E178:E182)</f>
        <v>0.87974755396834392</v>
      </c>
      <c r="F177" s="31">
        <f>SUM(F178:F182)</f>
        <v>1542530.93</v>
      </c>
      <c r="G177" s="31">
        <f t="shared" ref="G177:AG177" si="57">SUM(G178:G182)</f>
        <v>0</v>
      </c>
      <c r="H177" s="31">
        <f t="shared" si="57"/>
        <v>0</v>
      </c>
      <c r="I177" s="31">
        <f t="shared" si="57"/>
        <v>0</v>
      </c>
      <c r="J177" s="31">
        <f t="shared" si="57"/>
        <v>0</v>
      </c>
      <c r="K177" s="31">
        <f t="shared" si="57"/>
        <v>0</v>
      </c>
      <c r="L177" s="31">
        <f t="shared" si="57"/>
        <v>0</v>
      </c>
      <c r="M177" s="74">
        <f t="shared" si="57"/>
        <v>0</v>
      </c>
      <c r="N177" s="31">
        <f t="shared" si="57"/>
        <v>0</v>
      </c>
      <c r="O177" s="31">
        <f t="shared" si="57"/>
        <v>5282.4000000000005</v>
      </c>
      <c r="P177" s="31">
        <f t="shared" si="57"/>
        <v>1519734.91</v>
      </c>
      <c r="Q177" s="31">
        <f t="shared" si="57"/>
        <v>0</v>
      </c>
      <c r="R177" s="31">
        <f t="shared" si="57"/>
        <v>0</v>
      </c>
      <c r="S177" s="31">
        <f t="shared" si="57"/>
        <v>0</v>
      </c>
      <c r="T177" s="31">
        <f t="shared" si="57"/>
        <v>0</v>
      </c>
      <c r="U177" s="31">
        <f t="shared" si="57"/>
        <v>0</v>
      </c>
      <c r="V177" s="31">
        <f t="shared" si="57"/>
        <v>0</v>
      </c>
      <c r="W177" s="31">
        <f t="shared" si="57"/>
        <v>0</v>
      </c>
      <c r="X177" s="31">
        <f t="shared" si="57"/>
        <v>0</v>
      </c>
      <c r="Y177" s="31">
        <f t="shared" si="57"/>
        <v>0</v>
      </c>
      <c r="Z177" s="31">
        <f t="shared" si="57"/>
        <v>0</v>
      </c>
      <c r="AA177" s="31">
        <f t="shared" si="57"/>
        <v>0</v>
      </c>
      <c r="AB177" s="31">
        <f t="shared" si="57"/>
        <v>0</v>
      </c>
      <c r="AC177" s="31">
        <f t="shared" si="57"/>
        <v>0</v>
      </c>
      <c r="AD177" s="31">
        <f t="shared" si="57"/>
        <v>0</v>
      </c>
      <c r="AE177" s="31">
        <f t="shared" si="57"/>
        <v>22796.019999999997</v>
      </c>
      <c r="AF177" s="31">
        <f t="shared" si="57"/>
        <v>0</v>
      </c>
      <c r="AG177" s="31">
        <f t="shared" si="57"/>
        <v>0</v>
      </c>
      <c r="AH177" s="284" t="s">
        <v>896</v>
      </c>
      <c r="AI177" s="284" t="s">
        <v>896</v>
      </c>
      <c r="AJ177" s="284" t="s">
        <v>896</v>
      </c>
      <c r="AK177" s="64"/>
      <c r="AL177" s="64"/>
      <c r="AM177" s="64"/>
      <c r="AN177" s="64"/>
    </row>
    <row r="178" spans="1:40" ht="62.25" x14ac:dyDescent="0.9">
      <c r="A178" s="6">
        <v>1</v>
      </c>
      <c r="B178" s="66">
        <f>SUBTOTAL(103,$A$88:A178)</f>
        <v>83</v>
      </c>
      <c r="C178" s="288" t="s">
        <v>1473</v>
      </c>
      <c r="D178" s="72" t="s">
        <v>1900</v>
      </c>
      <c r="E178" s="69">
        <v>0.9054350997618551</v>
      </c>
      <c r="F178" s="31">
        <f t="shared" si="40"/>
        <v>382556.25999999995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74">
        <v>0</v>
      </c>
      <c r="N178" s="31">
        <v>0</v>
      </c>
      <c r="O178" s="31">
        <v>1160.0999999999999</v>
      </c>
      <c r="P178" s="31">
        <v>376902.72</v>
      </c>
      <c r="Q178" s="31">
        <v>0</v>
      </c>
      <c r="R178" s="31">
        <v>0</v>
      </c>
      <c r="S178" s="31">
        <v>0</v>
      </c>
      <c r="T178" s="289">
        <v>0</v>
      </c>
      <c r="U178" s="31">
        <v>0</v>
      </c>
      <c r="V178" s="31">
        <v>0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0</v>
      </c>
      <c r="AD178" s="31">
        <v>0</v>
      </c>
      <c r="AE178" s="31">
        <f>ROUND(P178*1.5%,2)</f>
        <v>5653.54</v>
      </c>
      <c r="AF178" s="31">
        <v>0</v>
      </c>
      <c r="AG178" s="31">
        <v>0</v>
      </c>
      <c r="AH178" s="284" t="s">
        <v>270</v>
      </c>
      <c r="AI178" s="284">
        <v>2020</v>
      </c>
      <c r="AJ178" s="284">
        <v>2020</v>
      </c>
      <c r="AK178" s="64"/>
      <c r="AL178" s="64"/>
      <c r="AM178" s="64"/>
      <c r="AN178" s="64"/>
    </row>
    <row r="179" spans="1:40" ht="62.25" x14ac:dyDescent="0.9">
      <c r="A179" s="6">
        <v>1</v>
      </c>
      <c r="B179" s="66">
        <f>SUBTOTAL(103,$A$88:A179)</f>
        <v>84</v>
      </c>
      <c r="C179" s="288" t="s">
        <v>1474</v>
      </c>
      <c r="D179" s="72" t="s">
        <v>1900</v>
      </c>
      <c r="E179" s="69">
        <v>0.87345236547698324</v>
      </c>
      <c r="F179" s="31">
        <f t="shared" si="40"/>
        <v>381284.05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74">
        <v>0</v>
      </c>
      <c r="N179" s="31">
        <v>0</v>
      </c>
      <c r="O179" s="31">
        <v>1192.7</v>
      </c>
      <c r="P179" s="31">
        <v>375649.31</v>
      </c>
      <c r="Q179" s="31">
        <v>0</v>
      </c>
      <c r="R179" s="31">
        <v>0</v>
      </c>
      <c r="S179" s="31">
        <v>0</v>
      </c>
      <c r="T179" s="289">
        <v>0</v>
      </c>
      <c r="U179" s="31">
        <v>0</v>
      </c>
      <c r="V179" s="31">
        <v>0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0</v>
      </c>
      <c r="AD179" s="31">
        <v>0</v>
      </c>
      <c r="AE179" s="31">
        <f>ROUND(P179*1.5%,2)</f>
        <v>5634.74</v>
      </c>
      <c r="AF179" s="31">
        <v>0</v>
      </c>
      <c r="AG179" s="31">
        <v>0</v>
      </c>
      <c r="AH179" s="284" t="s">
        <v>270</v>
      </c>
      <c r="AI179" s="284">
        <v>2020</v>
      </c>
      <c r="AJ179" s="284">
        <v>2020</v>
      </c>
      <c r="AK179" s="64"/>
      <c r="AL179" s="64"/>
      <c r="AM179" s="64"/>
      <c r="AN179" s="64"/>
    </row>
    <row r="180" spans="1:40" ht="62.25" x14ac:dyDescent="0.9">
      <c r="A180" s="6">
        <v>1</v>
      </c>
      <c r="B180" s="66">
        <f>SUBTOTAL(103,$A$88:A180)</f>
        <v>85</v>
      </c>
      <c r="C180" s="288" t="s">
        <v>384</v>
      </c>
      <c r="D180" s="72" t="s">
        <v>1900</v>
      </c>
      <c r="E180" s="69">
        <v>0.86236529068576662</v>
      </c>
      <c r="F180" s="31">
        <f t="shared" si="40"/>
        <v>292385.17000000004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74">
        <v>0</v>
      </c>
      <c r="N180" s="31">
        <v>0</v>
      </c>
      <c r="O180" s="31">
        <v>1207</v>
      </c>
      <c r="P180" s="31">
        <v>288064.21000000002</v>
      </c>
      <c r="Q180" s="31">
        <v>0</v>
      </c>
      <c r="R180" s="31">
        <v>0</v>
      </c>
      <c r="S180" s="31">
        <v>0</v>
      </c>
      <c r="T180" s="289">
        <v>0</v>
      </c>
      <c r="U180" s="31">
        <v>0</v>
      </c>
      <c r="V180" s="31">
        <v>0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0</v>
      </c>
      <c r="AD180" s="31">
        <v>0</v>
      </c>
      <c r="AE180" s="31">
        <f>ROUND(P180*1.5%,2)</f>
        <v>4320.96</v>
      </c>
      <c r="AF180" s="31">
        <v>0</v>
      </c>
      <c r="AG180" s="31">
        <v>0</v>
      </c>
      <c r="AH180" s="284" t="s">
        <v>270</v>
      </c>
      <c r="AI180" s="284">
        <v>2020</v>
      </c>
      <c r="AJ180" s="284">
        <v>2020</v>
      </c>
      <c r="AK180" s="64"/>
      <c r="AL180" s="64"/>
      <c r="AM180" s="64"/>
      <c r="AN180" s="64"/>
    </row>
    <row r="181" spans="1:40" ht="62.25" x14ac:dyDescent="0.9">
      <c r="A181" s="6">
        <v>1</v>
      </c>
      <c r="B181" s="66">
        <f>SUBTOTAL(103,$A$88:A181)</f>
        <v>86</v>
      </c>
      <c r="C181" s="288" t="s">
        <v>1475</v>
      </c>
      <c r="D181" s="72" t="s">
        <v>1900</v>
      </c>
      <c r="E181" s="69">
        <v>0.85951459937778774</v>
      </c>
      <c r="F181" s="31">
        <f t="shared" si="40"/>
        <v>292385.17000000004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74">
        <v>0</v>
      </c>
      <c r="N181" s="31">
        <v>0</v>
      </c>
      <c r="O181" s="31">
        <v>1206</v>
      </c>
      <c r="P181" s="31">
        <v>288064.21000000002</v>
      </c>
      <c r="Q181" s="31">
        <v>0</v>
      </c>
      <c r="R181" s="31">
        <v>0</v>
      </c>
      <c r="S181" s="31">
        <v>0</v>
      </c>
      <c r="T181" s="289">
        <v>0</v>
      </c>
      <c r="U181" s="31">
        <v>0</v>
      </c>
      <c r="V181" s="31">
        <v>0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0</v>
      </c>
      <c r="AD181" s="31">
        <v>0</v>
      </c>
      <c r="AE181" s="31">
        <f>ROUND(P181*1.5%,2)</f>
        <v>4320.96</v>
      </c>
      <c r="AF181" s="31">
        <v>0</v>
      </c>
      <c r="AG181" s="31">
        <v>0</v>
      </c>
      <c r="AH181" s="284" t="s">
        <v>270</v>
      </c>
      <c r="AI181" s="284">
        <v>2020</v>
      </c>
      <c r="AJ181" s="284">
        <v>2020</v>
      </c>
      <c r="AK181" s="64"/>
      <c r="AL181" s="64"/>
      <c r="AM181" s="64"/>
      <c r="AN181" s="64"/>
    </row>
    <row r="182" spans="1:40" ht="62.25" x14ac:dyDescent="0.9">
      <c r="A182" s="6">
        <v>1</v>
      </c>
      <c r="B182" s="66">
        <f>SUBTOTAL(103,$A$88:A182)</f>
        <v>87</v>
      </c>
      <c r="C182" s="288" t="s">
        <v>1476</v>
      </c>
      <c r="D182" s="72" t="s">
        <v>1900</v>
      </c>
      <c r="E182" s="69">
        <v>0.89797041453932691</v>
      </c>
      <c r="F182" s="31">
        <f t="shared" si="40"/>
        <v>193920.28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74">
        <v>0</v>
      </c>
      <c r="N182" s="31">
        <v>0</v>
      </c>
      <c r="O182" s="31">
        <v>516.6</v>
      </c>
      <c r="P182" s="31">
        <v>191054.46</v>
      </c>
      <c r="Q182" s="31">
        <v>0</v>
      </c>
      <c r="R182" s="31">
        <v>0</v>
      </c>
      <c r="S182" s="31">
        <v>0</v>
      </c>
      <c r="T182" s="289">
        <v>0</v>
      </c>
      <c r="U182" s="31">
        <v>0</v>
      </c>
      <c r="V182" s="31">
        <v>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0</v>
      </c>
      <c r="AD182" s="31">
        <v>0</v>
      </c>
      <c r="AE182" s="31">
        <f>ROUND(P182*1.5%,2)</f>
        <v>2865.82</v>
      </c>
      <c r="AF182" s="31">
        <v>0</v>
      </c>
      <c r="AG182" s="31">
        <v>0</v>
      </c>
      <c r="AH182" s="284" t="s">
        <v>270</v>
      </c>
      <c r="AI182" s="284">
        <v>2020</v>
      </c>
      <c r="AJ182" s="284">
        <v>2020</v>
      </c>
      <c r="AK182" s="64"/>
      <c r="AL182" s="64"/>
      <c r="AM182" s="64"/>
      <c r="AN182" s="64"/>
    </row>
    <row r="183" spans="1:40" ht="62.25" x14ac:dyDescent="0.9">
      <c r="B183" s="285" t="s">
        <v>890</v>
      </c>
      <c r="C183" s="286"/>
      <c r="D183" s="287" t="s">
        <v>896</v>
      </c>
      <c r="E183" s="69">
        <f>AVERAGE(E184:E185)</f>
        <v>0.86194999999999999</v>
      </c>
      <c r="F183" s="31">
        <f>SUM(F184:F185)</f>
        <v>3231773.15</v>
      </c>
      <c r="G183" s="31">
        <f t="shared" ref="G183:AG183" si="58">SUM(G184:G185)</f>
        <v>0</v>
      </c>
      <c r="H183" s="31">
        <f t="shared" si="58"/>
        <v>0</v>
      </c>
      <c r="I183" s="31">
        <f t="shared" si="58"/>
        <v>0</v>
      </c>
      <c r="J183" s="31">
        <f t="shared" si="58"/>
        <v>0</v>
      </c>
      <c r="K183" s="31">
        <f t="shared" si="58"/>
        <v>0</v>
      </c>
      <c r="L183" s="31">
        <f t="shared" si="58"/>
        <v>0</v>
      </c>
      <c r="M183" s="74">
        <f t="shared" si="58"/>
        <v>0</v>
      </c>
      <c r="N183" s="31">
        <f t="shared" si="58"/>
        <v>0</v>
      </c>
      <c r="O183" s="31">
        <f t="shared" si="58"/>
        <v>1625</v>
      </c>
      <c r="P183" s="31">
        <f t="shared" si="58"/>
        <v>3199617</v>
      </c>
      <c r="Q183" s="31">
        <f t="shared" si="58"/>
        <v>0</v>
      </c>
      <c r="R183" s="31">
        <f t="shared" si="58"/>
        <v>0</v>
      </c>
      <c r="S183" s="31">
        <f t="shared" si="58"/>
        <v>0</v>
      </c>
      <c r="T183" s="31">
        <f t="shared" si="58"/>
        <v>0</v>
      </c>
      <c r="U183" s="31">
        <f t="shared" si="58"/>
        <v>0</v>
      </c>
      <c r="V183" s="31">
        <f t="shared" si="58"/>
        <v>0</v>
      </c>
      <c r="W183" s="31">
        <f t="shared" si="58"/>
        <v>0</v>
      </c>
      <c r="X183" s="31">
        <f t="shared" si="58"/>
        <v>0</v>
      </c>
      <c r="Y183" s="31">
        <f t="shared" si="58"/>
        <v>0</v>
      </c>
      <c r="Z183" s="31">
        <f t="shared" si="58"/>
        <v>0</v>
      </c>
      <c r="AA183" s="31">
        <f t="shared" si="58"/>
        <v>0</v>
      </c>
      <c r="AB183" s="31">
        <f t="shared" si="58"/>
        <v>0</v>
      </c>
      <c r="AC183" s="31">
        <f t="shared" si="58"/>
        <v>0</v>
      </c>
      <c r="AD183" s="31">
        <f t="shared" si="58"/>
        <v>0</v>
      </c>
      <c r="AE183" s="31">
        <f t="shared" si="58"/>
        <v>32156.15</v>
      </c>
      <c r="AF183" s="31">
        <f t="shared" si="58"/>
        <v>0</v>
      </c>
      <c r="AG183" s="31">
        <f t="shared" si="58"/>
        <v>0</v>
      </c>
      <c r="AH183" s="284" t="s">
        <v>896</v>
      </c>
      <c r="AI183" s="284" t="s">
        <v>896</v>
      </c>
      <c r="AJ183" s="284" t="s">
        <v>896</v>
      </c>
      <c r="AK183" s="64"/>
      <c r="AL183" s="64"/>
      <c r="AM183" s="64"/>
      <c r="AN183" s="64"/>
    </row>
    <row r="184" spans="1:40" ht="62.25" x14ac:dyDescent="0.9">
      <c r="A184" s="6">
        <v>1</v>
      </c>
      <c r="B184" s="66">
        <f>SUBTOTAL(103,$A$88:A184)</f>
        <v>88</v>
      </c>
      <c r="C184" s="288" t="s">
        <v>1477</v>
      </c>
      <c r="D184" s="72" t="s">
        <v>1899</v>
      </c>
      <c r="E184" s="69">
        <v>0.82040000000000002</v>
      </c>
      <c r="F184" s="31">
        <f t="shared" si="40"/>
        <v>1617633.46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74">
        <v>0</v>
      </c>
      <c r="N184" s="31">
        <v>0</v>
      </c>
      <c r="O184" s="31">
        <v>812.5</v>
      </c>
      <c r="P184" s="31">
        <v>1601538</v>
      </c>
      <c r="Q184" s="31">
        <v>0</v>
      </c>
      <c r="R184" s="31">
        <v>0</v>
      </c>
      <c r="S184" s="31">
        <v>0</v>
      </c>
      <c r="T184" s="31">
        <v>0</v>
      </c>
      <c r="U184" s="31">
        <v>0</v>
      </c>
      <c r="V184" s="31">
        <v>0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0</v>
      </c>
      <c r="AD184" s="31">
        <v>0</v>
      </c>
      <c r="AE184" s="31">
        <v>16095.46</v>
      </c>
      <c r="AF184" s="31">
        <v>0</v>
      </c>
      <c r="AG184" s="31">
        <v>0</v>
      </c>
      <c r="AH184" s="284" t="s">
        <v>270</v>
      </c>
      <c r="AI184" s="284">
        <v>2020</v>
      </c>
      <c r="AJ184" s="284">
        <v>2020</v>
      </c>
      <c r="AK184" s="64"/>
      <c r="AL184" s="64"/>
      <c r="AM184" s="64"/>
      <c r="AN184" s="64"/>
    </row>
    <row r="185" spans="1:40" ht="62.25" x14ac:dyDescent="0.9">
      <c r="A185" s="6">
        <v>1</v>
      </c>
      <c r="B185" s="66">
        <f>SUBTOTAL(103,$A$88:A185)</f>
        <v>89</v>
      </c>
      <c r="C185" s="288" t="s">
        <v>1478</v>
      </c>
      <c r="D185" s="72" t="s">
        <v>1900</v>
      </c>
      <c r="E185" s="69">
        <v>0.90349999999999997</v>
      </c>
      <c r="F185" s="31">
        <f>G185+H185+I185+J185+K185+L185+N185+P185+R185+T185+V185+W185+X185+Y185+Z185+AA185+AB185+AC185+AD185+AE185+AF185+AG185</f>
        <v>1614139.69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74">
        <v>0</v>
      </c>
      <c r="N185" s="31">
        <v>0</v>
      </c>
      <c r="O185" s="31">
        <v>812.5</v>
      </c>
      <c r="P185" s="31">
        <v>1598079</v>
      </c>
      <c r="Q185" s="31">
        <v>0</v>
      </c>
      <c r="R185" s="31">
        <v>0</v>
      </c>
      <c r="S185" s="31">
        <v>0</v>
      </c>
      <c r="T185" s="31">
        <v>0</v>
      </c>
      <c r="U185" s="31">
        <v>0</v>
      </c>
      <c r="V185" s="31">
        <v>0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0</v>
      </c>
      <c r="AD185" s="31">
        <v>0</v>
      </c>
      <c r="AE185" s="31">
        <v>16060.69</v>
      </c>
      <c r="AF185" s="31">
        <v>0</v>
      </c>
      <c r="AG185" s="31">
        <v>0</v>
      </c>
      <c r="AH185" s="284" t="s">
        <v>270</v>
      </c>
      <c r="AI185" s="284">
        <v>2020</v>
      </c>
      <c r="AJ185" s="284">
        <v>2020</v>
      </c>
      <c r="AK185" s="64"/>
      <c r="AL185" s="64"/>
      <c r="AM185" s="64"/>
      <c r="AN185" s="64"/>
    </row>
    <row r="186" spans="1:40" ht="62.25" x14ac:dyDescent="0.9">
      <c r="B186" s="290" t="s">
        <v>1413</v>
      </c>
      <c r="C186" s="288"/>
      <c r="D186" s="287" t="s">
        <v>896</v>
      </c>
      <c r="E186" s="69">
        <f>AVERAGE(E187:E188)</f>
        <v>0.91439999999999999</v>
      </c>
      <c r="F186" s="31">
        <f>F187+F188</f>
        <v>35323.410000000003</v>
      </c>
      <c r="G186" s="31">
        <f t="shared" ref="G186:AG186" si="59">G187+G188</f>
        <v>0</v>
      </c>
      <c r="H186" s="31">
        <f t="shared" si="59"/>
        <v>0</v>
      </c>
      <c r="I186" s="31">
        <f t="shared" si="59"/>
        <v>0</v>
      </c>
      <c r="J186" s="31">
        <f t="shared" si="59"/>
        <v>0</v>
      </c>
      <c r="K186" s="31">
        <f t="shared" si="59"/>
        <v>0</v>
      </c>
      <c r="L186" s="31">
        <f t="shared" si="59"/>
        <v>0</v>
      </c>
      <c r="M186" s="31">
        <f t="shared" si="59"/>
        <v>0</v>
      </c>
      <c r="N186" s="31">
        <f t="shared" si="59"/>
        <v>0</v>
      </c>
      <c r="O186" s="31">
        <f t="shared" si="59"/>
        <v>776.1</v>
      </c>
      <c r="P186" s="31">
        <f t="shared" si="59"/>
        <v>34856.94</v>
      </c>
      <c r="Q186" s="31">
        <f t="shared" si="59"/>
        <v>0</v>
      </c>
      <c r="R186" s="31">
        <f t="shared" si="59"/>
        <v>0</v>
      </c>
      <c r="S186" s="31">
        <f t="shared" si="59"/>
        <v>0</v>
      </c>
      <c r="T186" s="31">
        <f t="shared" si="59"/>
        <v>0</v>
      </c>
      <c r="U186" s="31">
        <f t="shared" si="59"/>
        <v>0</v>
      </c>
      <c r="V186" s="31">
        <f t="shared" si="59"/>
        <v>0</v>
      </c>
      <c r="W186" s="31">
        <f t="shared" si="59"/>
        <v>0</v>
      </c>
      <c r="X186" s="31">
        <f t="shared" si="59"/>
        <v>0</v>
      </c>
      <c r="Y186" s="31">
        <f t="shared" si="59"/>
        <v>0</v>
      </c>
      <c r="Z186" s="31">
        <f t="shared" si="59"/>
        <v>0</v>
      </c>
      <c r="AA186" s="31">
        <f t="shared" si="59"/>
        <v>0</v>
      </c>
      <c r="AB186" s="31">
        <f t="shared" si="59"/>
        <v>0</v>
      </c>
      <c r="AC186" s="31">
        <f t="shared" si="59"/>
        <v>0</v>
      </c>
      <c r="AD186" s="31">
        <f t="shared" si="59"/>
        <v>0</v>
      </c>
      <c r="AE186" s="31">
        <f t="shared" si="59"/>
        <v>466.46999999999997</v>
      </c>
      <c r="AF186" s="31">
        <f t="shared" si="59"/>
        <v>0</v>
      </c>
      <c r="AG186" s="31">
        <f t="shared" si="59"/>
        <v>0</v>
      </c>
      <c r="AH186" s="284" t="s">
        <v>896</v>
      </c>
      <c r="AI186" s="284" t="s">
        <v>896</v>
      </c>
      <c r="AJ186" s="284" t="s">
        <v>896</v>
      </c>
      <c r="AK186" s="64"/>
      <c r="AL186" s="64"/>
      <c r="AM186" s="64"/>
      <c r="AN186" s="64"/>
    </row>
    <row r="187" spans="1:40" ht="62.25" x14ac:dyDescent="0.9">
      <c r="A187" s="6">
        <v>1</v>
      </c>
      <c r="B187" s="66">
        <f>SUBTOTAL(103,$A$88:A187)</f>
        <v>90</v>
      </c>
      <c r="C187" s="288" t="s">
        <v>1479</v>
      </c>
      <c r="D187" s="72" t="s">
        <v>1539</v>
      </c>
      <c r="E187" s="69">
        <v>0.93579999999999997</v>
      </c>
      <c r="F187" s="31">
        <f>G187+H187+I187+J187+K187+L187+N187+P187+R187+T187+V187+W187+X187+Y187+Z187+AA187+AB187+AC187+AD187+AE187+AF187+AG187</f>
        <v>11164.380000000001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74">
        <v>0</v>
      </c>
      <c r="N187" s="31">
        <v>0</v>
      </c>
      <c r="O187" s="31">
        <v>471.6</v>
      </c>
      <c r="P187" s="31">
        <v>11054.94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109.44</v>
      </c>
      <c r="AF187" s="31">
        <v>0</v>
      </c>
      <c r="AG187" s="31">
        <v>0</v>
      </c>
      <c r="AH187" s="284" t="s">
        <v>270</v>
      </c>
      <c r="AI187" s="284">
        <v>2020</v>
      </c>
      <c r="AJ187" s="284">
        <v>2020</v>
      </c>
      <c r="AK187" s="64"/>
      <c r="AL187" s="64"/>
      <c r="AM187" s="64"/>
      <c r="AN187" s="64"/>
    </row>
    <row r="188" spans="1:40" ht="62.25" x14ac:dyDescent="0.9">
      <c r="A188" s="6">
        <v>1</v>
      </c>
      <c r="B188" s="66">
        <f>SUBTOTAL(103,$A$88:A188)</f>
        <v>91</v>
      </c>
      <c r="C188" s="288" t="s">
        <v>1911</v>
      </c>
      <c r="D188" s="72" t="s">
        <v>1900</v>
      </c>
      <c r="E188" s="69">
        <v>0.89300000000000002</v>
      </c>
      <c r="F188" s="31">
        <f>P188+AE188</f>
        <v>24159.03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74">
        <v>0</v>
      </c>
      <c r="N188" s="31">
        <v>0</v>
      </c>
      <c r="O188" s="31">
        <v>304.5</v>
      </c>
      <c r="P188" s="31">
        <v>23802</v>
      </c>
      <c r="Q188" s="31">
        <v>0</v>
      </c>
      <c r="R188" s="31">
        <v>0</v>
      </c>
      <c r="S188" s="31">
        <v>0</v>
      </c>
      <c r="T188" s="289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f>ROUND(P188*1.5%,2)</f>
        <v>357.03</v>
      </c>
      <c r="AF188" s="31">
        <v>0</v>
      </c>
      <c r="AG188" s="31">
        <v>0</v>
      </c>
      <c r="AH188" s="284" t="s">
        <v>270</v>
      </c>
      <c r="AI188" s="284">
        <v>2021</v>
      </c>
      <c r="AJ188" s="284">
        <v>2021</v>
      </c>
      <c r="AK188" s="64"/>
      <c r="AL188" s="64"/>
      <c r="AM188" s="64"/>
      <c r="AN188" s="64"/>
    </row>
    <row r="189" spans="1:40" ht="62.25" x14ac:dyDescent="0.9">
      <c r="B189" s="290" t="s">
        <v>866</v>
      </c>
      <c r="C189" s="288"/>
      <c r="D189" s="287" t="s">
        <v>896</v>
      </c>
      <c r="E189" s="69">
        <f>E190</f>
        <v>0.9657</v>
      </c>
      <c r="F189" s="31">
        <f>F190</f>
        <v>778244.79</v>
      </c>
      <c r="G189" s="31">
        <f t="shared" ref="G189:AG189" si="60">G190</f>
        <v>0</v>
      </c>
      <c r="H189" s="31">
        <f t="shared" si="60"/>
        <v>0</v>
      </c>
      <c r="I189" s="31">
        <f t="shared" si="60"/>
        <v>0</v>
      </c>
      <c r="J189" s="31">
        <f t="shared" si="60"/>
        <v>0</v>
      </c>
      <c r="K189" s="31">
        <f t="shared" si="60"/>
        <v>0</v>
      </c>
      <c r="L189" s="31">
        <f t="shared" si="60"/>
        <v>0</v>
      </c>
      <c r="M189" s="74">
        <f t="shared" si="60"/>
        <v>0</v>
      </c>
      <c r="N189" s="31">
        <f t="shared" si="60"/>
        <v>0</v>
      </c>
      <c r="O189" s="31">
        <f t="shared" si="60"/>
        <v>972.5</v>
      </c>
      <c r="P189" s="31">
        <f t="shared" si="60"/>
        <v>766743.64</v>
      </c>
      <c r="Q189" s="31">
        <f t="shared" si="60"/>
        <v>0</v>
      </c>
      <c r="R189" s="31">
        <f t="shared" si="60"/>
        <v>0</v>
      </c>
      <c r="S189" s="31">
        <f t="shared" si="60"/>
        <v>0</v>
      </c>
      <c r="T189" s="31">
        <f t="shared" si="60"/>
        <v>0</v>
      </c>
      <c r="U189" s="31">
        <f t="shared" si="60"/>
        <v>0</v>
      </c>
      <c r="V189" s="31">
        <f t="shared" si="60"/>
        <v>0</v>
      </c>
      <c r="W189" s="31">
        <f t="shared" si="60"/>
        <v>0</v>
      </c>
      <c r="X189" s="31">
        <f t="shared" si="60"/>
        <v>0</v>
      </c>
      <c r="Y189" s="31">
        <f t="shared" si="60"/>
        <v>0</v>
      </c>
      <c r="Z189" s="31">
        <f t="shared" si="60"/>
        <v>0</v>
      </c>
      <c r="AA189" s="31">
        <f t="shared" si="60"/>
        <v>0</v>
      </c>
      <c r="AB189" s="31">
        <f t="shared" si="60"/>
        <v>0</v>
      </c>
      <c r="AC189" s="31">
        <f t="shared" si="60"/>
        <v>0</v>
      </c>
      <c r="AD189" s="31">
        <f t="shared" si="60"/>
        <v>0</v>
      </c>
      <c r="AE189" s="31">
        <f t="shared" si="60"/>
        <v>11501.15</v>
      </c>
      <c r="AF189" s="31">
        <f t="shared" si="60"/>
        <v>0</v>
      </c>
      <c r="AG189" s="31">
        <f t="shared" si="60"/>
        <v>0</v>
      </c>
      <c r="AH189" s="284" t="s">
        <v>896</v>
      </c>
      <c r="AI189" s="284" t="s">
        <v>896</v>
      </c>
      <c r="AJ189" s="284" t="s">
        <v>896</v>
      </c>
      <c r="AK189" s="64"/>
      <c r="AL189" s="64"/>
      <c r="AM189" s="64"/>
      <c r="AN189" s="64"/>
    </row>
    <row r="190" spans="1:40" ht="62.25" x14ac:dyDescent="0.9">
      <c r="A190" s="6">
        <v>1</v>
      </c>
      <c r="B190" s="66">
        <f>SUBTOTAL(103,$A$88:A190)</f>
        <v>92</v>
      </c>
      <c r="C190" s="288" t="s">
        <v>1480</v>
      </c>
      <c r="D190" s="72" t="s">
        <v>1539</v>
      </c>
      <c r="E190" s="69">
        <v>0.9657</v>
      </c>
      <c r="F190" s="31">
        <f>G190+H190+I190+J190+K190+L190+N190+P190+R190+T190+V190+W190+X190+Y190+Z190+AA190+AB190+AC190+AD190+AE190+AF190+AG190</f>
        <v>778244.79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74">
        <v>0</v>
      </c>
      <c r="N190" s="31">
        <v>0</v>
      </c>
      <c r="O190" s="31">
        <v>972.5</v>
      </c>
      <c r="P190" s="31">
        <v>766743.64</v>
      </c>
      <c r="Q190" s="31">
        <v>0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0</v>
      </c>
      <c r="AD190" s="31">
        <v>0</v>
      </c>
      <c r="AE190" s="31">
        <f>ROUND(P190*1.5%,2)</f>
        <v>11501.15</v>
      </c>
      <c r="AF190" s="31">
        <v>0</v>
      </c>
      <c r="AG190" s="31">
        <v>0</v>
      </c>
      <c r="AH190" s="284" t="s">
        <v>270</v>
      </c>
      <c r="AI190" s="284">
        <v>2020</v>
      </c>
      <c r="AJ190" s="284">
        <v>2020</v>
      </c>
      <c r="AK190" s="64"/>
      <c r="AL190" s="64"/>
      <c r="AM190" s="64"/>
      <c r="AN190" s="64"/>
    </row>
    <row r="191" spans="1:40" ht="62.25" x14ac:dyDescent="0.9">
      <c r="B191" s="290" t="s">
        <v>852</v>
      </c>
      <c r="C191" s="288"/>
      <c r="D191" s="287" t="s">
        <v>896</v>
      </c>
      <c r="E191" s="69">
        <f>AVERAGE(E192:E195)</f>
        <v>0.8012999999999999</v>
      </c>
      <c r="F191" s="31">
        <f>SUM(F192:F195)</f>
        <v>969598.97000000009</v>
      </c>
      <c r="G191" s="31">
        <f t="shared" ref="G191:AG191" si="61">SUM(G192:G195)</f>
        <v>0</v>
      </c>
      <c r="H191" s="31">
        <f t="shared" si="61"/>
        <v>0</v>
      </c>
      <c r="I191" s="31">
        <f t="shared" si="61"/>
        <v>0</v>
      </c>
      <c r="J191" s="31">
        <f t="shared" si="61"/>
        <v>0</v>
      </c>
      <c r="K191" s="31">
        <f t="shared" si="61"/>
        <v>0</v>
      </c>
      <c r="L191" s="31">
        <f t="shared" si="61"/>
        <v>0</v>
      </c>
      <c r="M191" s="74">
        <f t="shared" si="61"/>
        <v>0</v>
      </c>
      <c r="N191" s="31">
        <f t="shared" si="61"/>
        <v>0</v>
      </c>
      <c r="O191" s="31">
        <f t="shared" si="61"/>
        <v>2077</v>
      </c>
      <c r="P191" s="31">
        <f t="shared" si="61"/>
        <v>725260.51</v>
      </c>
      <c r="Q191" s="31">
        <f t="shared" si="61"/>
        <v>0</v>
      </c>
      <c r="R191" s="31">
        <f t="shared" si="61"/>
        <v>0</v>
      </c>
      <c r="S191" s="31">
        <f t="shared" si="61"/>
        <v>157.6</v>
      </c>
      <c r="T191" s="31">
        <f t="shared" si="61"/>
        <v>230009.4</v>
      </c>
      <c r="U191" s="31">
        <f t="shared" si="61"/>
        <v>0</v>
      </c>
      <c r="V191" s="31">
        <f t="shared" si="61"/>
        <v>0</v>
      </c>
      <c r="W191" s="31">
        <f t="shared" si="61"/>
        <v>0</v>
      </c>
      <c r="X191" s="31">
        <f t="shared" si="61"/>
        <v>0</v>
      </c>
      <c r="Y191" s="31">
        <f t="shared" si="61"/>
        <v>0</v>
      </c>
      <c r="Z191" s="31">
        <f t="shared" si="61"/>
        <v>0</v>
      </c>
      <c r="AA191" s="31">
        <f t="shared" si="61"/>
        <v>0</v>
      </c>
      <c r="AB191" s="31">
        <f t="shared" si="61"/>
        <v>0</v>
      </c>
      <c r="AC191" s="31">
        <f t="shared" si="61"/>
        <v>0</v>
      </c>
      <c r="AD191" s="31">
        <f t="shared" si="61"/>
        <v>0</v>
      </c>
      <c r="AE191" s="31">
        <f t="shared" si="61"/>
        <v>14329.060000000001</v>
      </c>
      <c r="AF191" s="31">
        <f t="shared" si="61"/>
        <v>0</v>
      </c>
      <c r="AG191" s="31">
        <f t="shared" si="61"/>
        <v>0</v>
      </c>
      <c r="AH191" s="284" t="s">
        <v>896</v>
      </c>
      <c r="AI191" s="284" t="s">
        <v>896</v>
      </c>
      <c r="AJ191" s="284" t="s">
        <v>896</v>
      </c>
      <c r="AK191" s="64"/>
      <c r="AL191" s="64"/>
      <c r="AM191" s="64"/>
      <c r="AN191" s="64"/>
    </row>
    <row r="192" spans="1:40" ht="62.25" x14ac:dyDescent="0.9">
      <c r="A192" s="6">
        <v>1</v>
      </c>
      <c r="B192" s="66">
        <f>SUBTOTAL(103,$A$88:A192)</f>
        <v>93</v>
      </c>
      <c r="C192" s="288" t="s">
        <v>1481</v>
      </c>
      <c r="D192" s="72" t="s">
        <v>1539</v>
      </c>
      <c r="E192" s="69">
        <v>0.83589999999999998</v>
      </c>
      <c r="F192" s="31">
        <f>G192+H192+I192+J192+K192+L192+N192+P192+R192+T192+V192+W192+X192+Y192+Z192+AA192+AB192+AC192+AD192+AE192+AF192+AG192</f>
        <v>672709.20000000007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74">
        <v>0</v>
      </c>
      <c r="N192" s="31">
        <v>0</v>
      </c>
      <c r="O192" s="31">
        <v>958</v>
      </c>
      <c r="P192" s="31">
        <v>662767.68000000005</v>
      </c>
      <c r="Q192" s="31">
        <v>0</v>
      </c>
      <c r="R192" s="31">
        <v>0</v>
      </c>
      <c r="S192" s="31">
        <v>0</v>
      </c>
      <c r="T192" s="31">
        <v>0</v>
      </c>
      <c r="U192" s="31">
        <v>0</v>
      </c>
      <c r="V192" s="31">
        <v>0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0</v>
      </c>
      <c r="AD192" s="31">
        <v>0</v>
      </c>
      <c r="AE192" s="31">
        <f>ROUND(P192*1.5%,2)</f>
        <v>9941.52</v>
      </c>
      <c r="AF192" s="31">
        <v>0</v>
      </c>
      <c r="AG192" s="31">
        <v>0</v>
      </c>
      <c r="AH192" s="284" t="s">
        <v>270</v>
      </c>
      <c r="AI192" s="284">
        <v>2020</v>
      </c>
      <c r="AJ192" s="284">
        <v>2020</v>
      </c>
      <c r="AK192" s="64"/>
      <c r="AL192" s="64"/>
      <c r="AM192" s="64"/>
      <c r="AN192" s="64"/>
    </row>
    <row r="193" spans="1:40" ht="62.25" x14ac:dyDescent="0.9">
      <c r="A193" s="6">
        <v>1</v>
      </c>
      <c r="B193" s="66">
        <f>SUBTOTAL(103,$A$88:A193)</f>
        <v>94</v>
      </c>
      <c r="C193" s="288" t="s">
        <v>1482</v>
      </c>
      <c r="D193" s="72" t="s">
        <v>1539</v>
      </c>
      <c r="E193" s="69">
        <v>0.86939999999999995</v>
      </c>
      <c r="F193" s="31">
        <f>G193+H193+I193+J193+K193+L193+N193+P193+R193+T193+V193+W193+X193+Y193+Z193+AA193+AB193+AC193+AD193+AE193+AF193+AG193</f>
        <v>5758.94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74">
        <v>0</v>
      </c>
      <c r="N193" s="31">
        <v>0</v>
      </c>
      <c r="O193" s="31">
        <v>611</v>
      </c>
      <c r="P193" s="31">
        <v>5673.83</v>
      </c>
      <c r="Q193" s="31">
        <v>0</v>
      </c>
      <c r="R193" s="31">
        <v>0</v>
      </c>
      <c r="S193" s="31">
        <v>0</v>
      </c>
      <c r="T193" s="31">
        <v>0</v>
      </c>
      <c r="U193" s="31">
        <v>0</v>
      </c>
      <c r="V193" s="31">
        <v>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f>ROUND(P193*1.5%,2)</f>
        <v>85.11</v>
      </c>
      <c r="AF193" s="31">
        <v>0</v>
      </c>
      <c r="AG193" s="31">
        <v>0</v>
      </c>
      <c r="AH193" s="284" t="s">
        <v>270</v>
      </c>
      <c r="AI193" s="284">
        <v>2020</v>
      </c>
      <c r="AJ193" s="284">
        <v>2020</v>
      </c>
      <c r="AK193" s="64"/>
      <c r="AL193" s="64"/>
      <c r="AM193" s="64"/>
      <c r="AN193" s="64"/>
    </row>
    <row r="194" spans="1:40" ht="62.25" x14ac:dyDescent="0.9">
      <c r="A194" s="6">
        <v>1</v>
      </c>
      <c r="B194" s="66">
        <f>SUBTOTAL(103,$A$88:A194)</f>
        <v>95</v>
      </c>
      <c r="C194" s="288" t="s">
        <v>1483</v>
      </c>
      <c r="D194" s="87" t="s">
        <v>1900</v>
      </c>
      <c r="E194" s="69">
        <v>0.62490000000000001</v>
      </c>
      <c r="F194" s="31">
        <f>G194+H194+I194+J194+K194+L194+N194+P194+R194+T194+V194+W194+X194+Y194+Z194+AA194+AB194+AC194+AD194+AE194+AF194+AG194</f>
        <v>233459.54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74">
        <v>0</v>
      </c>
      <c r="N194" s="31">
        <v>0</v>
      </c>
      <c r="O194" s="31">
        <v>0</v>
      </c>
      <c r="P194" s="31">
        <v>0</v>
      </c>
      <c r="Q194" s="31">
        <v>0</v>
      </c>
      <c r="R194" s="31">
        <v>0</v>
      </c>
      <c r="S194" s="31">
        <v>157.6</v>
      </c>
      <c r="T194" s="31">
        <v>230009.4</v>
      </c>
      <c r="U194" s="31">
        <v>0</v>
      </c>
      <c r="V194" s="31">
        <v>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f>ROUND(T194*1.5%,2)</f>
        <v>3450.14</v>
      </c>
      <c r="AF194" s="31">
        <v>0</v>
      </c>
      <c r="AG194" s="31">
        <v>0</v>
      </c>
      <c r="AH194" s="284" t="s">
        <v>270</v>
      </c>
      <c r="AI194" s="284">
        <v>2020</v>
      </c>
      <c r="AJ194" s="284">
        <v>2020</v>
      </c>
      <c r="AK194" s="64"/>
      <c r="AL194" s="64"/>
      <c r="AM194" s="64"/>
      <c r="AN194" s="64"/>
    </row>
    <row r="195" spans="1:40" ht="62.25" x14ac:dyDescent="0.9">
      <c r="A195" s="6">
        <v>1</v>
      </c>
      <c r="B195" s="66">
        <f>SUBTOTAL(103,$A$88:A195)</f>
        <v>96</v>
      </c>
      <c r="C195" s="288" t="s">
        <v>1511</v>
      </c>
      <c r="D195" s="72" t="s">
        <v>1900</v>
      </c>
      <c r="E195" s="69">
        <v>0.875</v>
      </c>
      <c r="F195" s="31">
        <f>G195+H195+I195+J195+K195+L195+N195+P195+R195+T195+V195+W195+X195+Y195+Z195+AA195+AB195+AC195+AD195+AE195+AF195+AG195</f>
        <v>57671.29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74">
        <v>0</v>
      </c>
      <c r="N195" s="31">
        <v>0</v>
      </c>
      <c r="O195" s="31">
        <v>508</v>
      </c>
      <c r="P195" s="31">
        <v>56819</v>
      </c>
      <c r="Q195" s="31">
        <v>0</v>
      </c>
      <c r="R195" s="31">
        <v>0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f>ROUND(P195*1.5%,2)</f>
        <v>852.29</v>
      </c>
      <c r="AF195" s="31">
        <v>0</v>
      </c>
      <c r="AG195" s="31">
        <v>0</v>
      </c>
      <c r="AH195" s="284" t="s">
        <v>270</v>
      </c>
      <c r="AI195" s="35">
        <v>2021</v>
      </c>
      <c r="AJ195" s="35">
        <v>2021</v>
      </c>
      <c r="AK195" s="64"/>
      <c r="AL195" s="64"/>
      <c r="AM195" s="64"/>
      <c r="AN195" s="64"/>
    </row>
    <row r="196" spans="1:40" ht="62.25" x14ac:dyDescent="0.9">
      <c r="B196" s="290" t="s">
        <v>876</v>
      </c>
      <c r="C196" s="288"/>
      <c r="D196" s="287" t="s">
        <v>896</v>
      </c>
      <c r="E196" s="69">
        <f>E197</f>
        <v>0.93430000000000002</v>
      </c>
      <c r="F196" s="31">
        <f>F197</f>
        <v>425208.96</v>
      </c>
      <c r="G196" s="31">
        <f t="shared" ref="G196:AG196" si="62">G197</f>
        <v>0</v>
      </c>
      <c r="H196" s="31">
        <f t="shared" si="62"/>
        <v>0</v>
      </c>
      <c r="I196" s="31">
        <f t="shared" si="62"/>
        <v>0</v>
      </c>
      <c r="J196" s="31">
        <f t="shared" si="62"/>
        <v>0</v>
      </c>
      <c r="K196" s="31">
        <f t="shared" si="62"/>
        <v>0</v>
      </c>
      <c r="L196" s="31">
        <f t="shared" si="62"/>
        <v>0</v>
      </c>
      <c r="M196" s="74">
        <f t="shared" si="62"/>
        <v>0</v>
      </c>
      <c r="N196" s="31">
        <f t="shared" si="62"/>
        <v>0</v>
      </c>
      <c r="O196" s="31">
        <f t="shared" si="62"/>
        <v>1223</v>
      </c>
      <c r="P196" s="31">
        <f t="shared" si="62"/>
        <v>425208.96</v>
      </c>
      <c r="Q196" s="31">
        <f t="shared" si="62"/>
        <v>0</v>
      </c>
      <c r="R196" s="31">
        <f t="shared" si="62"/>
        <v>0</v>
      </c>
      <c r="S196" s="31">
        <f t="shared" si="62"/>
        <v>0</v>
      </c>
      <c r="T196" s="31">
        <f t="shared" si="62"/>
        <v>0</v>
      </c>
      <c r="U196" s="31">
        <f t="shared" si="62"/>
        <v>0</v>
      </c>
      <c r="V196" s="31">
        <f t="shared" si="62"/>
        <v>0</v>
      </c>
      <c r="W196" s="31">
        <f t="shared" si="62"/>
        <v>0</v>
      </c>
      <c r="X196" s="31">
        <f t="shared" si="62"/>
        <v>0</v>
      </c>
      <c r="Y196" s="31">
        <f t="shared" si="62"/>
        <v>0</v>
      </c>
      <c r="Z196" s="31">
        <f t="shared" si="62"/>
        <v>0</v>
      </c>
      <c r="AA196" s="31">
        <f t="shared" si="62"/>
        <v>0</v>
      </c>
      <c r="AB196" s="31">
        <f t="shared" si="62"/>
        <v>0</v>
      </c>
      <c r="AC196" s="31">
        <f t="shared" si="62"/>
        <v>0</v>
      </c>
      <c r="AD196" s="31">
        <f t="shared" si="62"/>
        <v>0</v>
      </c>
      <c r="AE196" s="31">
        <f t="shared" si="62"/>
        <v>0</v>
      </c>
      <c r="AF196" s="31">
        <f t="shared" si="62"/>
        <v>0</v>
      </c>
      <c r="AG196" s="31">
        <f t="shared" si="62"/>
        <v>0</v>
      </c>
      <c r="AH196" s="284" t="s">
        <v>896</v>
      </c>
      <c r="AI196" s="284" t="s">
        <v>896</v>
      </c>
      <c r="AJ196" s="284" t="s">
        <v>896</v>
      </c>
      <c r="AK196" s="64"/>
      <c r="AL196" s="64"/>
      <c r="AM196" s="64"/>
      <c r="AN196" s="64"/>
    </row>
    <row r="197" spans="1:40" ht="62.25" x14ac:dyDescent="0.9">
      <c r="A197" s="6">
        <v>1</v>
      </c>
      <c r="B197" s="66">
        <f>SUBTOTAL(103,$A$88:A197)</f>
        <v>97</v>
      </c>
      <c r="C197" s="288" t="s">
        <v>1484</v>
      </c>
      <c r="D197" s="72" t="s">
        <v>1899</v>
      </c>
      <c r="E197" s="69">
        <v>0.93430000000000002</v>
      </c>
      <c r="F197" s="31">
        <f>G197+H197+I197+J197+K197+L197+N197+P197+R197+T197+V197+W197+X197+Y197+Z197+AA197+AB197+AC197+AD197+AE197+AF197+AG197</f>
        <v>425208.96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74">
        <v>0</v>
      </c>
      <c r="N197" s="31">
        <v>0</v>
      </c>
      <c r="O197" s="31">
        <v>1223</v>
      </c>
      <c r="P197" s="31">
        <v>425208.96</v>
      </c>
      <c r="Q197" s="31">
        <v>0</v>
      </c>
      <c r="R197" s="31">
        <v>0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0</v>
      </c>
      <c r="AE197" s="31">
        <v>0</v>
      </c>
      <c r="AF197" s="31">
        <v>0</v>
      </c>
      <c r="AG197" s="31">
        <v>0</v>
      </c>
      <c r="AH197" s="284" t="s">
        <v>270</v>
      </c>
      <c r="AI197" s="284">
        <v>2020</v>
      </c>
      <c r="AJ197" s="284" t="s">
        <v>270</v>
      </c>
      <c r="AK197" s="64"/>
      <c r="AL197" s="64"/>
      <c r="AM197" s="64"/>
      <c r="AN197" s="64"/>
    </row>
    <row r="198" spans="1:40" ht="62.25" x14ac:dyDescent="0.9">
      <c r="B198" s="290" t="s">
        <v>837</v>
      </c>
      <c r="C198" s="288"/>
      <c r="D198" s="287" t="s">
        <v>896</v>
      </c>
      <c r="E198" s="69">
        <f>AVERAGE(E199:E200)</f>
        <v>0.96888059793717207</v>
      </c>
      <c r="F198" s="31">
        <f>F199+F200</f>
        <v>243092.59999999998</v>
      </c>
      <c r="G198" s="31">
        <f t="shared" ref="G198:AG198" si="63">G199+G200</f>
        <v>0</v>
      </c>
      <c r="H198" s="31">
        <f t="shared" si="63"/>
        <v>0</v>
      </c>
      <c r="I198" s="31">
        <f t="shared" si="63"/>
        <v>0</v>
      </c>
      <c r="J198" s="31">
        <f t="shared" si="63"/>
        <v>0</v>
      </c>
      <c r="K198" s="31">
        <f t="shared" si="63"/>
        <v>0</v>
      </c>
      <c r="L198" s="31">
        <f t="shared" si="63"/>
        <v>0</v>
      </c>
      <c r="M198" s="31">
        <f t="shared" si="63"/>
        <v>0</v>
      </c>
      <c r="N198" s="31">
        <f t="shared" si="63"/>
        <v>0</v>
      </c>
      <c r="O198" s="31">
        <f t="shared" si="63"/>
        <v>1404.8</v>
      </c>
      <c r="P198" s="31">
        <f t="shared" si="63"/>
        <v>239500.09999999998</v>
      </c>
      <c r="Q198" s="31">
        <f t="shared" si="63"/>
        <v>0</v>
      </c>
      <c r="R198" s="31">
        <f t="shared" si="63"/>
        <v>0</v>
      </c>
      <c r="S198" s="31">
        <f t="shared" si="63"/>
        <v>0</v>
      </c>
      <c r="T198" s="31">
        <f t="shared" si="63"/>
        <v>0</v>
      </c>
      <c r="U198" s="31">
        <f t="shared" si="63"/>
        <v>0</v>
      </c>
      <c r="V198" s="31">
        <f t="shared" si="63"/>
        <v>0</v>
      </c>
      <c r="W198" s="31">
        <f t="shared" si="63"/>
        <v>0</v>
      </c>
      <c r="X198" s="31">
        <f t="shared" si="63"/>
        <v>0</v>
      </c>
      <c r="Y198" s="31">
        <f t="shared" si="63"/>
        <v>0</v>
      </c>
      <c r="Z198" s="31">
        <f t="shared" si="63"/>
        <v>0</v>
      </c>
      <c r="AA198" s="31">
        <f t="shared" si="63"/>
        <v>0</v>
      </c>
      <c r="AB198" s="31">
        <f t="shared" si="63"/>
        <v>0</v>
      </c>
      <c r="AC198" s="31">
        <f t="shared" si="63"/>
        <v>0</v>
      </c>
      <c r="AD198" s="31">
        <f t="shared" si="63"/>
        <v>0</v>
      </c>
      <c r="AE198" s="31">
        <f t="shared" si="63"/>
        <v>3592.5</v>
      </c>
      <c r="AF198" s="31">
        <f t="shared" si="63"/>
        <v>0</v>
      </c>
      <c r="AG198" s="31">
        <f t="shared" si="63"/>
        <v>0</v>
      </c>
      <c r="AH198" s="284" t="s">
        <v>896</v>
      </c>
      <c r="AI198" s="284" t="s">
        <v>896</v>
      </c>
      <c r="AJ198" s="284" t="s">
        <v>896</v>
      </c>
      <c r="AK198" s="64"/>
      <c r="AL198" s="64"/>
      <c r="AM198" s="64"/>
      <c r="AN198" s="64"/>
    </row>
    <row r="199" spans="1:40" ht="62.25" x14ac:dyDescent="0.9">
      <c r="A199" s="6">
        <v>1</v>
      </c>
      <c r="B199" s="66">
        <f>SUBTOTAL(103,$A$88:A199)</f>
        <v>98</v>
      </c>
      <c r="C199" s="288" t="s">
        <v>1485</v>
      </c>
      <c r="D199" s="72" t="s">
        <v>1899</v>
      </c>
      <c r="E199" s="69">
        <v>0.96641898912086177</v>
      </c>
      <c r="F199" s="31">
        <f>G199+H199+I199+J199+K199+L199+N199+P199+R199+T199+V199+W199+X199+Y199+Z199+AA199+AB199+AC199+AD199+AE199+AF199+AG199</f>
        <v>218819.08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74">
        <v>0</v>
      </c>
      <c r="N199" s="31">
        <v>0</v>
      </c>
      <c r="O199" s="31">
        <v>729.8</v>
      </c>
      <c r="P199" s="31">
        <v>215585.3</v>
      </c>
      <c r="Q199" s="31">
        <v>0</v>
      </c>
      <c r="R199" s="31">
        <v>0</v>
      </c>
      <c r="S199" s="31">
        <v>0</v>
      </c>
      <c r="T199" s="31">
        <v>0</v>
      </c>
      <c r="U199" s="31">
        <v>0</v>
      </c>
      <c r="V199" s="31">
        <v>0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0</v>
      </c>
      <c r="AE199" s="31">
        <f>ROUND(P199*1.5%,2)</f>
        <v>3233.78</v>
      </c>
      <c r="AF199" s="31">
        <v>0</v>
      </c>
      <c r="AG199" s="31">
        <v>0</v>
      </c>
      <c r="AH199" s="284" t="s">
        <v>270</v>
      </c>
      <c r="AI199" s="284">
        <v>2020</v>
      </c>
      <c r="AJ199" s="284">
        <v>2020</v>
      </c>
      <c r="AK199" s="64"/>
      <c r="AL199" s="64"/>
      <c r="AM199" s="64"/>
      <c r="AN199" s="64"/>
    </row>
    <row r="200" spans="1:40" ht="62.25" x14ac:dyDescent="0.9">
      <c r="A200" s="6">
        <v>1</v>
      </c>
      <c r="B200" s="66">
        <f>SUBTOTAL(103,$A$88:A200)</f>
        <v>99</v>
      </c>
      <c r="C200" s="288" t="s">
        <v>1912</v>
      </c>
      <c r="D200" s="72" t="s">
        <v>1900</v>
      </c>
      <c r="E200" s="69">
        <v>0.97134220675348237</v>
      </c>
      <c r="F200" s="31">
        <f>P200+AE200</f>
        <v>24273.52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74">
        <v>0</v>
      </c>
      <c r="N200" s="31">
        <v>0</v>
      </c>
      <c r="O200" s="31">
        <v>675</v>
      </c>
      <c r="P200" s="31">
        <v>23914.799999999999</v>
      </c>
      <c r="Q200" s="31">
        <v>0</v>
      </c>
      <c r="R200" s="31">
        <v>0</v>
      </c>
      <c r="S200" s="31">
        <v>0</v>
      </c>
      <c r="T200" s="289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f>ROUND(P200*1.5%,2)</f>
        <v>358.72</v>
      </c>
      <c r="AF200" s="31">
        <v>0</v>
      </c>
      <c r="AG200" s="31">
        <v>0</v>
      </c>
      <c r="AH200" s="284" t="s">
        <v>270</v>
      </c>
      <c r="AI200" s="284">
        <v>2021</v>
      </c>
      <c r="AJ200" s="284">
        <v>2021</v>
      </c>
      <c r="AK200" s="64"/>
      <c r="AL200" s="64"/>
      <c r="AM200" s="64"/>
      <c r="AN200" s="64"/>
    </row>
    <row r="201" spans="1:40" ht="62.25" x14ac:dyDescent="0.9">
      <c r="B201" s="290" t="s">
        <v>849</v>
      </c>
      <c r="C201" s="288"/>
      <c r="D201" s="287" t="s">
        <v>896</v>
      </c>
      <c r="E201" s="69">
        <f>AVERAGE(E202:E203)</f>
        <v>0.79569999999999996</v>
      </c>
      <c r="F201" s="31">
        <f>F202+F203</f>
        <v>1988549.43</v>
      </c>
      <c r="G201" s="31">
        <f t="shared" ref="G201:AF201" si="64">G202+G203</f>
        <v>0</v>
      </c>
      <c r="H201" s="31">
        <f t="shared" si="64"/>
        <v>0</v>
      </c>
      <c r="I201" s="31">
        <f t="shared" si="64"/>
        <v>0</v>
      </c>
      <c r="J201" s="31">
        <f t="shared" si="64"/>
        <v>0</v>
      </c>
      <c r="K201" s="31">
        <f t="shared" si="64"/>
        <v>0</v>
      </c>
      <c r="L201" s="31">
        <f t="shared" si="64"/>
        <v>0</v>
      </c>
      <c r="M201" s="74">
        <f t="shared" si="64"/>
        <v>0</v>
      </c>
      <c r="N201" s="31">
        <f t="shared" si="64"/>
        <v>0</v>
      </c>
      <c r="O201" s="31">
        <f t="shared" si="64"/>
        <v>4741.7</v>
      </c>
      <c r="P201" s="31">
        <f t="shared" si="64"/>
        <v>1959162</v>
      </c>
      <c r="Q201" s="31">
        <f t="shared" si="64"/>
        <v>0</v>
      </c>
      <c r="R201" s="31">
        <f t="shared" si="64"/>
        <v>0</v>
      </c>
      <c r="S201" s="31">
        <f t="shared" si="64"/>
        <v>0</v>
      </c>
      <c r="T201" s="31">
        <f t="shared" si="64"/>
        <v>0</v>
      </c>
      <c r="U201" s="31">
        <f t="shared" si="64"/>
        <v>0</v>
      </c>
      <c r="V201" s="31">
        <f t="shared" si="64"/>
        <v>0</v>
      </c>
      <c r="W201" s="31">
        <f t="shared" si="64"/>
        <v>0</v>
      </c>
      <c r="X201" s="31">
        <f t="shared" si="64"/>
        <v>0</v>
      </c>
      <c r="Y201" s="31">
        <f t="shared" si="64"/>
        <v>0</v>
      </c>
      <c r="Z201" s="31">
        <f t="shared" si="64"/>
        <v>0</v>
      </c>
      <c r="AA201" s="31">
        <f t="shared" si="64"/>
        <v>0</v>
      </c>
      <c r="AB201" s="31">
        <f t="shared" si="64"/>
        <v>0</v>
      </c>
      <c r="AC201" s="31">
        <f t="shared" si="64"/>
        <v>0</v>
      </c>
      <c r="AD201" s="31">
        <f t="shared" si="64"/>
        <v>0</v>
      </c>
      <c r="AE201" s="31">
        <f t="shared" si="64"/>
        <v>29387.43</v>
      </c>
      <c r="AF201" s="31">
        <f t="shared" si="64"/>
        <v>0</v>
      </c>
      <c r="AG201" s="31">
        <f>AG202+AG203</f>
        <v>0</v>
      </c>
      <c r="AH201" s="284" t="s">
        <v>896</v>
      </c>
      <c r="AI201" s="284" t="s">
        <v>896</v>
      </c>
      <c r="AJ201" s="284" t="s">
        <v>896</v>
      </c>
      <c r="AK201" s="64"/>
      <c r="AL201" s="64"/>
      <c r="AM201" s="64"/>
      <c r="AN201" s="64"/>
    </row>
    <row r="202" spans="1:40" ht="62.25" x14ac:dyDescent="0.9">
      <c r="A202" s="6">
        <v>1</v>
      </c>
      <c r="B202" s="66">
        <f>SUBTOTAL(103,$A$88:A202)</f>
        <v>100</v>
      </c>
      <c r="C202" s="288" t="s">
        <v>1486</v>
      </c>
      <c r="D202" s="72" t="s">
        <v>1539</v>
      </c>
      <c r="E202" s="69">
        <v>0.87239999999999995</v>
      </c>
      <c r="F202" s="31">
        <f>G202+H202+I202+J202+K202+L202+N202+P202+R202+T202+V202+W202+X202+Y202+Z202+AA202+AB202+AC202+AD202+AE202+AF202+AG202</f>
        <v>83534.5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74">
        <v>0</v>
      </c>
      <c r="N202" s="31">
        <v>0</v>
      </c>
      <c r="O202" s="31">
        <v>2780.7</v>
      </c>
      <c r="P202" s="31">
        <v>82300</v>
      </c>
      <c r="Q202" s="31">
        <v>0</v>
      </c>
      <c r="R202" s="31">
        <v>0</v>
      </c>
      <c r="S202" s="31">
        <v>0</v>
      </c>
      <c r="T202" s="31">
        <v>0</v>
      </c>
      <c r="U202" s="31">
        <v>0</v>
      </c>
      <c r="V202" s="31">
        <v>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0</v>
      </c>
      <c r="AD202" s="31">
        <v>0</v>
      </c>
      <c r="AE202" s="31">
        <f>ROUND(P202*1.5%,2)</f>
        <v>1234.5</v>
      </c>
      <c r="AF202" s="31">
        <v>0</v>
      </c>
      <c r="AG202" s="31">
        <v>0</v>
      </c>
      <c r="AH202" s="284" t="s">
        <v>270</v>
      </c>
      <c r="AI202" s="35">
        <v>2021</v>
      </c>
      <c r="AJ202" s="35">
        <v>2021</v>
      </c>
      <c r="AK202" s="64"/>
      <c r="AL202" s="64"/>
      <c r="AM202" s="64"/>
      <c r="AN202" s="64"/>
    </row>
    <row r="203" spans="1:40" ht="62.25" x14ac:dyDescent="0.9">
      <c r="A203" s="6">
        <v>1</v>
      </c>
      <c r="B203" s="66">
        <f>SUBTOTAL(103,$A$88:A203)</f>
        <v>101</v>
      </c>
      <c r="C203" s="288" t="s">
        <v>1487</v>
      </c>
      <c r="D203" s="72" t="s">
        <v>1900</v>
      </c>
      <c r="E203" s="69">
        <v>0.71899999999999997</v>
      </c>
      <c r="F203" s="31">
        <f>G203+H203+I203+J203+K203+L203+N203+P203+R203+T203+V203+W203+X203+Y203+Z203+AA203+AB203+AC203+AD203+AE203+AF203+AG203</f>
        <v>1905014.93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74">
        <v>0</v>
      </c>
      <c r="N203" s="31">
        <v>0</v>
      </c>
      <c r="O203" s="31">
        <v>1961</v>
      </c>
      <c r="P203" s="31">
        <v>1876862</v>
      </c>
      <c r="Q203" s="31">
        <v>0</v>
      </c>
      <c r="R203" s="31">
        <v>0</v>
      </c>
      <c r="S203" s="31">
        <v>0</v>
      </c>
      <c r="T203" s="31">
        <v>0</v>
      </c>
      <c r="U203" s="31">
        <v>0</v>
      </c>
      <c r="V203" s="31">
        <v>0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0</v>
      </c>
      <c r="AD203" s="31">
        <v>0</v>
      </c>
      <c r="AE203" s="31">
        <f>ROUND(P203*1.5%,2)</f>
        <v>28152.93</v>
      </c>
      <c r="AF203" s="31">
        <v>0</v>
      </c>
      <c r="AG203" s="31">
        <v>0</v>
      </c>
      <c r="AH203" s="284" t="s">
        <v>270</v>
      </c>
      <c r="AI203" s="35">
        <v>2021</v>
      </c>
      <c r="AJ203" s="35">
        <v>2021</v>
      </c>
      <c r="AK203" s="64"/>
      <c r="AL203" s="64"/>
      <c r="AM203" s="64"/>
      <c r="AN203" s="64"/>
    </row>
    <row r="204" spans="1:40" ht="62.25" x14ac:dyDescent="0.9">
      <c r="B204" s="290" t="s">
        <v>889</v>
      </c>
      <c r="C204" s="288"/>
      <c r="D204" s="287" t="s">
        <v>896</v>
      </c>
      <c r="E204" s="69">
        <f>AVERAGE(E205:E207)</f>
        <v>0.90376666666666672</v>
      </c>
      <c r="F204" s="31">
        <f>F205+F206+F207</f>
        <v>654592.74</v>
      </c>
      <c r="G204" s="31">
        <f t="shared" ref="G204:AG204" si="65">G205+G206+G207</f>
        <v>0</v>
      </c>
      <c r="H204" s="31">
        <f t="shared" si="65"/>
        <v>0</v>
      </c>
      <c r="I204" s="31">
        <f t="shared" si="65"/>
        <v>0</v>
      </c>
      <c r="J204" s="31">
        <f t="shared" si="65"/>
        <v>0</v>
      </c>
      <c r="K204" s="31">
        <f t="shared" si="65"/>
        <v>0</v>
      </c>
      <c r="L204" s="31">
        <f t="shared" si="65"/>
        <v>0</v>
      </c>
      <c r="M204" s="31">
        <f t="shared" si="65"/>
        <v>0</v>
      </c>
      <c r="N204" s="31">
        <f t="shared" si="65"/>
        <v>0</v>
      </c>
      <c r="O204" s="31">
        <f t="shared" si="65"/>
        <v>2046.8</v>
      </c>
      <c r="P204" s="31">
        <f t="shared" si="65"/>
        <v>644918.96</v>
      </c>
      <c r="Q204" s="31">
        <f t="shared" si="65"/>
        <v>0</v>
      </c>
      <c r="R204" s="31">
        <f t="shared" si="65"/>
        <v>0</v>
      </c>
      <c r="S204" s="31">
        <f t="shared" si="65"/>
        <v>0</v>
      </c>
      <c r="T204" s="31">
        <f t="shared" si="65"/>
        <v>0</v>
      </c>
      <c r="U204" s="31">
        <f t="shared" si="65"/>
        <v>0</v>
      </c>
      <c r="V204" s="31">
        <f t="shared" si="65"/>
        <v>0</v>
      </c>
      <c r="W204" s="31">
        <f t="shared" si="65"/>
        <v>0</v>
      </c>
      <c r="X204" s="31">
        <f t="shared" si="65"/>
        <v>0</v>
      </c>
      <c r="Y204" s="31">
        <f t="shared" si="65"/>
        <v>0</v>
      </c>
      <c r="Z204" s="31">
        <f t="shared" si="65"/>
        <v>0</v>
      </c>
      <c r="AA204" s="31">
        <f t="shared" si="65"/>
        <v>0</v>
      </c>
      <c r="AB204" s="31">
        <f t="shared" si="65"/>
        <v>0</v>
      </c>
      <c r="AC204" s="31">
        <f t="shared" si="65"/>
        <v>0</v>
      </c>
      <c r="AD204" s="31">
        <f t="shared" si="65"/>
        <v>0</v>
      </c>
      <c r="AE204" s="31">
        <f t="shared" si="65"/>
        <v>9673.7800000000007</v>
      </c>
      <c r="AF204" s="31">
        <f t="shared" si="65"/>
        <v>0</v>
      </c>
      <c r="AG204" s="31">
        <f t="shared" si="65"/>
        <v>0</v>
      </c>
      <c r="AH204" s="284" t="s">
        <v>896</v>
      </c>
      <c r="AI204" s="284" t="s">
        <v>896</v>
      </c>
      <c r="AJ204" s="284" t="s">
        <v>896</v>
      </c>
      <c r="AK204" s="64"/>
      <c r="AL204" s="64"/>
      <c r="AM204" s="64"/>
      <c r="AN204" s="64"/>
    </row>
    <row r="205" spans="1:40" ht="62.25" x14ac:dyDescent="0.9">
      <c r="A205" s="6">
        <v>1</v>
      </c>
      <c r="B205" s="66">
        <f>SUBTOTAL(103,$A$88:A205)</f>
        <v>102</v>
      </c>
      <c r="C205" s="288" t="s">
        <v>1488</v>
      </c>
      <c r="D205" s="72" t="s">
        <v>1900</v>
      </c>
      <c r="E205" s="69">
        <v>0.75539999999999996</v>
      </c>
      <c r="F205" s="31">
        <f>G205+H205+I205+J205+K205+L205+N205+P205+R205+T205+V205+W205+X205+Y205+Z205+AA205+AB205+AC205+AD205+AE205+AF205+AG205</f>
        <v>590350.84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74">
        <v>0</v>
      </c>
      <c r="N205" s="31">
        <v>0</v>
      </c>
      <c r="O205" s="31">
        <v>749</v>
      </c>
      <c r="P205" s="31">
        <f>543238.44+38388</f>
        <v>581626.43999999994</v>
      </c>
      <c r="Q205" s="31">
        <v>0</v>
      </c>
      <c r="R205" s="31">
        <v>0</v>
      </c>
      <c r="S205" s="31">
        <v>0</v>
      </c>
      <c r="T205" s="31">
        <v>0</v>
      </c>
      <c r="U205" s="31">
        <v>0</v>
      </c>
      <c r="V205" s="31">
        <v>0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f>ROUND(P205*1.5%,2)</f>
        <v>8724.4</v>
      </c>
      <c r="AF205" s="31">
        <v>0</v>
      </c>
      <c r="AG205" s="31">
        <v>0</v>
      </c>
      <c r="AH205" s="284" t="s">
        <v>270</v>
      </c>
      <c r="AI205" s="284">
        <v>2020</v>
      </c>
      <c r="AJ205" s="284">
        <v>2020</v>
      </c>
      <c r="AK205" s="64"/>
      <c r="AL205" s="64"/>
      <c r="AM205" s="64"/>
      <c r="AN205" s="64"/>
    </row>
    <row r="206" spans="1:40" ht="62.25" x14ac:dyDescent="0.9">
      <c r="A206" s="6">
        <v>1</v>
      </c>
      <c r="B206" s="66">
        <f>SUBTOTAL(103,$A$88:A206)</f>
        <v>103</v>
      </c>
      <c r="C206" s="288" t="s">
        <v>1489</v>
      </c>
      <c r="D206" s="72" t="s">
        <v>1539</v>
      </c>
      <c r="E206" s="69">
        <v>0.95920000000000005</v>
      </c>
      <c r="F206" s="31">
        <f>G206+H206+I206+J206+K206+L206+N206+P206+R206+T206+V206+W206+X206+Y206+Z206+AA206+AB206+AC206+AD206+AE206+AF206+AG206</f>
        <v>30755.429999999997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74">
        <v>0</v>
      </c>
      <c r="N206" s="31">
        <v>0</v>
      </c>
      <c r="O206" s="31">
        <v>703.8</v>
      </c>
      <c r="P206" s="31">
        <v>30300.92</v>
      </c>
      <c r="Q206" s="31">
        <v>0</v>
      </c>
      <c r="R206" s="31">
        <v>0</v>
      </c>
      <c r="S206" s="31">
        <v>0</v>
      </c>
      <c r="T206" s="31">
        <v>0</v>
      </c>
      <c r="U206" s="31">
        <v>0</v>
      </c>
      <c r="V206" s="31">
        <v>0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f>ROUND(P206*1.5%,2)</f>
        <v>454.51</v>
      </c>
      <c r="AF206" s="31">
        <v>0</v>
      </c>
      <c r="AG206" s="31">
        <v>0</v>
      </c>
      <c r="AH206" s="284" t="s">
        <v>270</v>
      </c>
      <c r="AI206" s="284">
        <v>2020</v>
      </c>
      <c r="AJ206" s="284">
        <v>2020</v>
      </c>
      <c r="AK206" s="64"/>
      <c r="AL206" s="64"/>
      <c r="AM206" s="64"/>
      <c r="AN206" s="64"/>
    </row>
    <row r="207" spans="1:40" ht="62.25" x14ac:dyDescent="0.9">
      <c r="A207" s="6">
        <v>1</v>
      </c>
      <c r="B207" s="66">
        <f>SUBTOTAL(103,$A$88:A207)</f>
        <v>104</v>
      </c>
      <c r="C207" s="288" t="s">
        <v>1913</v>
      </c>
      <c r="D207" s="72" t="s">
        <v>1539</v>
      </c>
      <c r="E207" s="69">
        <v>0.99670000000000003</v>
      </c>
      <c r="F207" s="31">
        <f>P207+AE207</f>
        <v>33486.47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74">
        <v>0</v>
      </c>
      <c r="N207" s="31">
        <v>0</v>
      </c>
      <c r="O207" s="31">
        <v>594</v>
      </c>
      <c r="P207" s="31">
        <v>32991.599999999999</v>
      </c>
      <c r="Q207" s="31">
        <v>0</v>
      </c>
      <c r="R207" s="31">
        <v>0</v>
      </c>
      <c r="S207" s="31">
        <v>0</v>
      </c>
      <c r="T207" s="289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f>ROUND(P207*1.5%,2)</f>
        <v>494.87</v>
      </c>
      <c r="AF207" s="31">
        <v>0</v>
      </c>
      <c r="AG207" s="31">
        <v>0</v>
      </c>
      <c r="AH207" s="284" t="s">
        <v>270</v>
      </c>
      <c r="AI207" s="284">
        <v>2021</v>
      </c>
      <c r="AJ207" s="284">
        <v>2021</v>
      </c>
      <c r="AK207" s="64"/>
      <c r="AL207" s="64"/>
      <c r="AM207" s="64"/>
      <c r="AN207" s="64"/>
    </row>
    <row r="208" spans="1:40" ht="62.25" x14ac:dyDescent="0.9">
      <c r="B208" s="290" t="s">
        <v>863</v>
      </c>
      <c r="C208" s="288"/>
      <c r="D208" s="287" t="s">
        <v>896</v>
      </c>
      <c r="E208" s="69">
        <f>E209</f>
        <v>0.95309999999999995</v>
      </c>
      <c r="F208" s="31">
        <f>F209</f>
        <v>39585</v>
      </c>
      <c r="G208" s="31">
        <f t="shared" ref="G208:AG208" si="66">G209</f>
        <v>0</v>
      </c>
      <c r="H208" s="31">
        <f t="shared" si="66"/>
        <v>0</v>
      </c>
      <c r="I208" s="31">
        <f t="shared" si="66"/>
        <v>0</v>
      </c>
      <c r="J208" s="31">
        <f t="shared" si="66"/>
        <v>0</v>
      </c>
      <c r="K208" s="31">
        <f t="shared" si="66"/>
        <v>0</v>
      </c>
      <c r="L208" s="31">
        <f t="shared" si="66"/>
        <v>0</v>
      </c>
      <c r="M208" s="74">
        <f t="shared" si="66"/>
        <v>0</v>
      </c>
      <c r="N208" s="31">
        <f t="shared" si="66"/>
        <v>0</v>
      </c>
      <c r="O208" s="31">
        <f t="shared" si="66"/>
        <v>544</v>
      </c>
      <c r="P208" s="31">
        <f t="shared" si="66"/>
        <v>39000</v>
      </c>
      <c r="Q208" s="31">
        <f t="shared" si="66"/>
        <v>0</v>
      </c>
      <c r="R208" s="31">
        <f t="shared" si="66"/>
        <v>0</v>
      </c>
      <c r="S208" s="31">
        <f t="shared" si="66"/>
        <v>0</v>
      </c>
      <c r="T208" s="31">
        <f t="shared" si="66"/>
        <v>0</v>
      </c>
      <c r="U208" s="31">
        <f t="shared" si="66"/>
        <v>0</v>
      </c>
      <c r="V208" s="31">
        <f t="shared" si="66"/>
        <v>0</v>
      </c>
      <c r="W208" s="31">
        <f t="shared" si="66"/>
        <v>0</v>
      </c>
      <c r="X208" s="31">
        <f t="shared" si="66"/>
        <v>0</v>
      </c>
      <c r="Y208" s="31">
        <f t="shared" si="66"/>
        <v>0</v>
      </c>
      <c r="Z208" s="31">
        <f t="shared" si="66"/>
        <v>0</v>
      </c>
      <c r="AA208" s="31">
        <f t="shared" si="66"/>
        <v>0</v>
      </c>
      <c r="AB208" s="31">
        <f t="shared" si="66"/>
        <v>0</v>
      </c>
      <c r="AC208" s="31">
        <f t="shared" si="66"/>
        <v>0</v>
      </c>
      <c r="AD208" s="31">
        <f t="shared" si="66"/>
        <v>0</v>
      </c>
      <c r="AE208" s="31">
        <f t="shared" si="66"/>
        <v>585</v>
      </c>
      <c r="AF208" s="31">
        <f t="shared" si="66"/>
        <v>0</v>
      </c>
      <c r="AG208" s="31">
        <f t="shared" si="66"/>
        <v>0</v>
      </c>
      <c r="AH208" s="284" t="s">
        <v>896</v>
      </c>
      <c r="AI208" s="284" t="s">
        <v>896</v>
      </c>
      <c r="AJ208" s="284" t="s">
        <v>896</v>
      </c>
      <c r="AK208" s="64"/>
      <c r="AL208" s="64"/>
      <c r="AM208" s="64"/>
      <c r="AN208" s="64"/>
    </row>
    <row r="209" spans="1:40" ht="62.25" x14ac:dyDescent="0.9">
      <c r="A209" s="6">
        <v>1</v>
      </c>
      <c r="B209" s="66">
        <f>SUBTOTAL(103,$A$88:A209)</f>
        <v>105</v>
      </c>
      <c r="C209" s="288" t="s">
        <v>1490</v>
      </c>
      <c r="D209" s="72" t="s">
        <v>1899</v>
      </c>
      <c r="E209" s="69">
        <v>0.95309999999999995</v>
      </c>
      <c r="F209" s="31">
        <f>G209+H209+I209+J209+K209+L209+N209+P209+R209+T209+V209+W209+X209+Y209+Z209+AA209+AB209+AC209+AD209+AE209+AF209+AG209</f>
        <v>39585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74">
        <v>0</v>
      </c>
      <c r="N209" s="31">
        <v>0</v>
      </c>
      <c r="O209" s="31">
        <v>544</v>
      </c>
      <c r="P209" s="31">
        <v>39000</v>
      </c>
      <c r="Q209" s="31">
        <v>0</v>
      </c>
      <c r="R209" s="31">
        <v>0</v>
      </c>
      <c r="S209" s="31">
        <v>0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f>ROUND(P209*1.5%,2)</f>
        <v>585</v>
      </c>
      <c r="AF209" s="31">
        <v>0</v>
      </c>
      <c r="AG209" s="31">
        <v>0</v>
      </c>
      <c r="AH209" s="284" t="s">
        <v>270</v>
      </c>
      <c r="AI209" s="35">
        <v>2021</v>
      </c>
      <c r="AJ209" s="35">
        <v>2021</v>
      </c>
      <c r="AK209" s="64"/>
      <c r="AL209" s="64"/>
      <c r="AM209" s="64"/>
      <c r="AN209" s="64"/>
    </row>
    <row r="210" spans="1:40" ht="62.25" x14ac:dyDescent="0.9">
      <c r="B210" s="290" t="s">
        <v>831</v>
      </c>
      <c r="C210" s="288"/>
      <c r="D210" s="287" t="s">
        <v>896</v>
      </c>
      <c r="E210" s="69">
        <f>E211</f>
        <v>0.81220000000000003</v>
      </c>
      <c r="F210" s="31">
        <f>F211</f>
        <v>275468.56</v>
      </c>
      <c r="G210" s="31">
        <f t="shared" ref="G210:AG210" si="67">G211</f>
        <v>0</v>
      </c>
      <c r="H210" s="31">
        <f t="shared" si="67"/>
        <v>0</v>
      </c>
      <c r="I210" s="31">
        <f t="shared" si="67"/>
        <v>0</v>
      </c>
      <c r="J210" s="31">
        <f t="shared" si="67"/>
        <v>0</v>
      </c>
      <c r="K210" s="31">
        <f t="shared" si="67"/>
        <v>0</v>
      </c>
      <c r="L210" s="31">
        <f t="shared" si="67"/>
        <v>0</v>
      </c>
      <c r="M210" s="74">
        <f t="shared" si="67"/>
        <v>0</v>
      </c>
      <c r="N210" s="31">
        <f t="shared" si="67"/>
        <v>0</v>
      </c>
      <c r="O210" s="31">
        <f t="shared" si="67"/>
        <v>708</v>
      </c>
      <c r="P210" s="31">
        <f t="shared" si="67"/>
        <v>271397.59999999998</v>
      </c>
      <c r="Q210" s="31">
        <f t="shared" si="67"/>
        <v>0</v>
      </c>
      <c r="R210" s="31">
        <f t="shared" si="67"/>
        <v>0</v>
      </c>
      <c r="S210" s="31">
        <f t="shared" si="67"/>
        <v>0</v>
      </c>
      <c r="T210" s="31">
        <f t="shared" si="67"/>
        <v>0</v>
      </c>
      <c r="U210" s="31">
        <f t="shared" si="67"/>
        <v>0</v>
      </c>
      <c r="V210" s="31">
        <f t="shared" si="67"/>
        <v>0</v>
      </c>
      <c r="W210" s="31">
        <f t="shared" si="67"/>
        <v>0</v>
      </c>
      <c r="X210" s="31">
        <f t="shared" si="67"/>
        <v>0</v>
      </c>
      <c r="Y210" s="31">
        <f t="shared" si="67"/>
        <v>0</v>
      </c>
      <c r="Z210" s="31">
        <f t="shared" si="67"/>
        <v>0</v>
      </c>
      <c r="AA210" s="31">
        <f t="shared" si="67"/>
        <v>0</v>
      </c>
      <c r="AB210" s="31">
        <f t="shared" si="67"/>
        <v>0</v>
      </c>
      <c r="AC210" s="31">
        <f t="shared" si="67"/>
        <v>0</v>
      </c>
      <c r="AD210" s="31">
        <f t="shared" si="67"/>
        <v>0</v>
      </c>
      <c r="AE210" s="31">
        <f t="shared" si="67"/>
        <v>4070.96</v>
      </c>
      <c r="AF210" s="31">
        <f t="shared" si="67"/>
        <v>0</v>
      </c>
      <c r="AG210" s="31">
        <f t="shared" si="67"/>
        <v>0</v>
      </c>
      <c r="AH210" s="284" t="s">
        <v>896</v>
      </c>
      <c r="AI210" s="284" t="s">
        <v>896</v>
      </c>
      <c r="AJ210" s="284" t="s">
        <v>896</v>
      </c>
      <c r="AK210" s="64"/>
    </row>
    <row r="211" spans="1:40" ht="62.25" x14ac:dyDescent="0.9">
      <c r="A211" s="6">
        <v>1</v>
      </c>
      <c r="B211" s="66">
        <f>SUBTOTAL(103,$A$88:A211)</f>
        <v>106</v>
      </c>
      <c r="C211" s="288" t="s">
        <v>1491</v>
      </c>
      <c r="D211" s="72" t="s">
        <v>1900</v>
      </c>
      <c r="E211" s="69">
        <v>0.81220000000000003</v>
      </c>
      <c r="F211" s="31">
        <f>G211+H211+I211+J211+K211+L211+N211+P211+R211+T211+V211+W211+X211+Y211+Z211+AA211+AB211+AC211+AD211+AE211+AF211+AG211</f>
        <v>275468.56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74">
        <v>0</v>
      </c>
      <c r="N211" s="31">
        <v>0</v>
      </c>
      <c r="O211" s="31">
        <v>708</v>
      </c>
      <c r="P211" s="31">
        <v>271397.59999999998</v>
      </c>
      <c r="Q211" s="31">
        <v>0</v>
      </c>
      <c r="R211" s="31">
        <v>0</v>
      </c>
      <c r="S211" s="31">
        <v>0</v>
      </c>
      <c r="T211" s="31">
        <v>0</v>
      </c>
      <c r="U211" s="31">
        <v>0</v>
      </c>
      <c r="V211" s="31">
        <v>0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0</v>
      </c>
      <c r="AD211" s="31">
        <v>0</v>
      </c>
      <c r="AE211" s="31">
        <f>ROUND(P211*1.5%,2)</f>
        <v>4070.96</v>
      </c>
      <c r="AF211" s="31">
        <v>0</v>
      </c>
      <c r="AG211" s="31">
        <v>0</v>
      </c>
      <c r="AH211" s="284" t="s">
        <v>270</v>
      </c>
      <c r="AI211" s="35">
        <v>2021</v>
      </c>
      <c r="AJ211" s="35">
        <v>2021</v>
      </c>
      <c r="AK211" s="64"/>
    </row>
    <row r="212" spans="1:40" ht="62.25" x14ac:dyDescent="0.9">
      <c r="B212" s="290" t="s">
        <v>873</v>
      </c>
      <c r="C212" s="288"/>
      <c r="D212" s="87" t="s">
        <v>896</v>
      </c>
      <c r="E212" s="69">
        <v>0.82630000000000003</v>
      </c>
      <c r="F212" s="31">
        <v>50753.95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74">
        <v>0</v>
      </c>
      <c r="N212" s="31">
        <v>0</v>
      </c>
      <c r="O212" s="31">
        <v>828</v>
      </c>
      <c r="P212" s="31">
        <v>50003.89</v>
      </c>
      <c r="Q212" s="31">
        <v>0</v>
      </c>
      <c r="R212" s="31">
        <v>0</v>
      </c>
      <c r="S212" s="31">
        <v>0</v>
      </c>
      <c r="T212" s="31">
        <v>0</v>
      </c>
      <c r="U212" s="31">
        <v>0</v>
      </c>
      <c r="V212" s="31">
        <v>0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0</v>
      </c>
      <c r="AD212" s="31">
        <v>0</v>
      </c>
      <c r="AE212" s="31">
        <v>750.06</v>
      </c>
      <c r="AF212" s="31">
        <v>0</v>
      </c>
      <c r="AG212" s="31">
        <v>0</v>
      </c>
      <c r="AH212" s="284" t="s">
        <v>896</v>
      </c>
      <c r="AI212" s="284" t="s">
        <v>896</v>
      </c>
      <c r="AJ212" s="284" t="s">
        <v>896</v>
      </c>
      <c r="AK212" s="64"/>
    </row>
    <row r="213" spans="1:40" ht="62.25" x14ac:dyDescent="0.9">
      <c r="A213" s="6">
        <v>1</v>
      </c>
      <c r="B213" s="66">
        <f>SUBTOTAL(103,$A$88:A213)</f>
        <v>107</v>
      </c>
      <c r="C213" s="288" t="s">
        <v>1914</v>
      </c>
      <c r="D213" s="72" t="s">
        <v>1899</v>
      </c>
      <c r="E213" s="69">
        <v>0.82630000000000003</v>
      </c>
      <c r="F213" s="31">
        <f>P213+AE213</f>
        <v>50753.95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74">
        <v>0</v>
      </c>
      <c r="N213" s="31">
        <v>0</v>
      </c>
      <c r="O213" s="31">
        <v>828</v>
      </c>
      <c r="P213" s="31">
        <v>50003.89</v>
      </c>
      <c r="Q213" s="31">
        <v>0</v>
      </c>
      <c r="R213" s="31">
        <v>0</v>
      </c>
      <c r="S213" s="31">
        <v>0</v>
      </c>
      <c r="T213" s="289">
        <v>0</v>
      </c>
      <c r="U213" s="31">
        <v>0</v>
      </c>
      <c r="V213" s="31">
        <v>0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0</v>
      </c>
      <c r="AD213" s="31">
        <v>0</v>
      </c>
      <c r="AE213" s="31">
        <f>ROUND(P213*1.5%,2)</f>
        <v>750.06</v>
      </c>
      <c r="AF213" s="31">
        <v>0</v>
      </c>
      <c r="AG213" s="31">
        <v>0</v>
      </c>
      <c r="AH213" s="284" t="s">
        <v>270</v>
      </c>
      <c r="AI213" s="284">
        <v>2021</v>
      </c>
      <c r="AJ213" s="284">
        <v>2021</v>
      </c>
      <c r="AK213" s="64"/>
    </row>
    <row r="214" spans="1:40" ht="62.25" x14ac:dyDescent="0.9">
      <c r="B214" s="290" t="s">
        <v>858</v>
      </c>
      <c r="C214" s="288"/>
      <c r="D214" s="287" t="s">
        <v>896</v>
      </c>
      <c r="E214" s="69">
        <f>AVERAGE(E215:E217)</f>
        <v>0.91273333333333329</v>
      </c>
      <c r="F214" s="31">
        <f>F215+F216+F217</f>
        <v>274179.65000000002</v>
      </c>
      <c r="G214" s="31">
        <f t="shared" ref="G214:AG214" si="68">G215+G216+G217</f>
        <v>0</v>
      </c>
      <c r="H214" s="31">
        <f t="shared" si="68"/>
        <v>0</v>
      </c>
      <c r="I214" s="31">
        <f t="shared" si="68"/>
        <v>175721.62</v>
      </c>
      <c r="J214" s="31">
        <f t="shared" si="68"/>
        <v>0</v>
      </c>
      <c r="K214" s="31">
        <f t="shared" si="68"/>
        <v>0</v>
      </c>
      <c r="L214" s="31">
        <f t="shared" si="68"/>
        <v>0</v>
      </c>
      <c r="M214" s="74">
        <f t="shared" si="68"/>
        <v>0</v>
      </c>
      <c r="N214" s="31">
        <f t="shared" si="68"/>
        <v>0</v>
      </c>
      <c r="O214" s="31">
        <f t="shared" si="68"/>
        <v>1779.9</v>
      </c>
      <c r="P214" s="31">
        <f t="shared" si="68"/>
        <v>94406.12000000001</v>
      </c>
      <c r="Q214" s="31">
        <f t="shared" si="68"/>
        <v>0</v>
      </c>
      <c r="R214" s="31">
        <f t="shared" si="68"/>
        <v>0</v>
      </c>
      <c r="S214" s="31">
        <f t="shared" si="68"/>
        <v>0</v>
      </c>
      <c r="T214" s="31">
        <f t="shared" si="68"/>
        <v>0</v>
      </c>
      <c r="U214" s="31">
        <f t="shared" si="68"/>
        <v>0</v>
      </c>
      <c r="V214" s="31">
        <f t="shared" si="68"/>
        <v>0</v>
      </c>
      <c r="W214" s="31">
        <f t="shared" si="68"/>
        <v>0</v>
      </c>
      <c r="X214" s="31">
        <f t="shared" si="68"/>
        <v>0</v>
      </c>
      <c r="Y214" s="31">
        <f t="shared" si="68"/>
        <v>0</v>
      </c>
      <c r="Z214" s="31">
        <f t="shared" si="68"/>
        <v>0</v>
      </c>
      <c r="AA214" s="31">
        <f t="shared" si="68"/>
        <v>0</v>
      </c>
      <c r="AB214" s="31">
        <f t="shared" si="68"/>
        <v>0</v>
      </c>
      <c r="AC214" s="31">
        <f t="shared" si="68"/>
        <v>0</v>
      </c>
      <c r="AD214" s="31">
        <f t="shared" si="68"/>
        <v>0</v>
      </c>
      <c r="AE214" s="31">
        <f t="shared" si="68"/>
        <v>4051.91</v>
      </c>
      <c r="AF214" s="31">
        <f t="shared" si="68"/>
        <v>0</v>
      </c>
      <c r="AG214" s="31">
        <f t="shared" si="68"/>
        <v>0</v>
      </c>
      <c r="AH214" s="284" t="s">
        <v>896</v>
      </c>
      <c r="AI214" s="284" t="s">
        <v>896</v>
      </c>
      <c r="AJ214" s="284" t="s">
        <v>896</v>
      </c>
      <c r="AK214" s="64"/>
    </row>
    <row r="215" spans="1:40" ht="62.25" x14ac:dyDescent="0.9">
      <c r="A215" s="6">
        <v>1</v>
      </c>
      <c r="B215" s="66">
        <f>SUBTOTAL(103,$A$88:A215)</f>
        <v>108</v>
      </c>
      <c r="C215" s="288" t="s">
        <v>1492</v>
      </c>
      <c r="D215" s="72" t="s">
        <v>1899</v>
      </c>
      <c r="E215" s="69">
        <v>0.96160000000000001</v>
      </c>
      <c r="F215" s="31">
        <f>G215+H215+I215+J215+K215+L215+N215+P215+R215+T215+V215+W215+X215+Y215+Z215+AA215+AB215+AC215+AD215+AE215+AF215+AG215</f>
        <v>82303.180000000008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74">
        <v>0</v>
      </c>
      <c r="N215" s="31">
        <v>0</v>
      </c>
      <c r="O215" s="31">
        <v>1245.4000000000001</v>
      </c>
      <c r="P215" s="31">
        <v>81086.880000000005</v>
      </c>
      <c r="Q215" s="31">
        <v>0</v>
      </c>
      <c r="R215" s="31">
        <v>0</v>
      </c>
      <c r="S215" s="31">
        <v>0</v>
      </c>
      <c r="T215" s="31">
        <v>0</v>
      </c>
      <c r="U215" s="31">
        <v>0</v>
      </c>
      <c r="V215" s="31">
        <v>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0</v>
      </c>
      <c r="AD215" s="31">
        <v>0</v>
      </c>
      <c r="AE215" s="31">
        <f>ROUND(P215*1.5%,2)</f>
        <v>1216.3</v>
      </c>
      <c r="AF215" s="31">
        <v>0</v>
      </c>
      <c r="AG215" s="31">
        <v>0</v>
      </c>
      <c r="AH215" s="284" t="s">
        <v>270</v>
      </c>
      <c r="AI215" s="35">
        <v>2021</v>
      </c>
      <c r="AJ215" s="35">
        <v>2021</v>
      </c>
      <c r="AK215" s="64"/>
    </row>
    <row r="216" spans="1:40" ht="62.25" x14ac:dyDescent="0.9">
      <c r="A216" s="6">
        <v>1</v>
      </c>
      <c r="B216" s="66">
        <f>SUBTOTAL(103,$A$88:A216)</f>
        <v>109</v>
      </c>
      <c r="C216" s="288" t="s">
        <v>1493</v>
      </c>
      <c r="D216" s="72" t="s">
        <v>1900</v>
      </c>
      <c r="E216" s="69">
        <v>0.92120000000000002</v>
      </c>
      <c r="F216" s="31">
        <f>G216+H216+I216+J216+K216+L216+N216+P216+R216+T216+V216+W216+X216+Y216+Z216+AA216+AB216+AC216+AD216+AE216+AF216+AG216</f>
        <v>13519.03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74">
        <v>0</v>
      </c>
      <c r="N216" s="31">
        <v>0</v>
      </c>
      <c r="O216" s="31">
        <v>534.5</v>
      </c>
      <c r="P216" s="31">
        <v>13319.24</v>
      </c>
      <c r="Q216" s="31">
        <v>0</v>
      </c>
      <c r="R216" s="31">
        <v>0</v>
      </c>
      <c r="S216" s="31">
        <v>0</v>
      </c>
      <c r="T216" s="31">
        <v>0</v>
      </c>
      <c r="U216" s="31">
        <v>0</v>
      </c>
      <c r="V216" s="31">
        <v>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0</v>
      </c>
      <c r="AD216" s="31">
        <v>0</v>
      </c>
      <c r="AE216" s="31">
        <f>ROUND(P216*1.5%,2)</f>
        <v>199.79</v>
      </c>
      <c r="AF216" s="31">
        <v>0</v>
      </c>
      <c r="AG216" s="31">
        <v>0</v>
      </c>
      <c r="AH216" s="284" t="s">
        <v>270</v>
      </c>
      <c r="AI216" s="35">
        <v>2021</v>
      </c>
      <c r="AJ216" s="35">
        <v>2021</v>
      </c>
      <c r="AK216" s="64"/>
    </row>
    <row r="217" spans="1:40" ht="62.25" x14ac:dyDescent="0.9">
      <c r="A217" s="6">
        <v>1</v>
      </c>
      <c r="B217" s="66">
        <f>SUBTOTAL(103,$A$88:A217)</f>
        <v>110</v>
      </c>
      <c r="C217" s="288" t="s">
        <v>1494</v>
      </c>
      <c r="D217" s="287" t="s">
        <v>1899</v>
      </c>
      <c r="E217" s="69">
        <v>0.85540000000000005</v>
      </c>
      <c r="F217" s="31">
        <f>G217+H217+I217+J217+K217+L217+N217+P217+R217+T217+V217+W217+X217+Y217+Z217+AA217+AB217+AC217+AD217+AE217+AF217+AG217</f>
        <v>178357.44</v>
      </c>
      <c r="G217" s="31">
        <v>0</v>
      </c>
      <c r="H217" s="31">
        <v>0</v>
      </c>
      <c r="I217" s="31">
        <v>175721.62</v>
      </c>
      <c r="J217" s="31">
        <v>0</v>
      </c>
      <c r="K217" s="31">
        <v>0</v>
      </c>
      <c r="L217" s="31">
        <v>0</v>
      </c>
      <c r="M217" s="74">
        <v>0</v>
      </c>
      <c r="N217" s="31">
        <v>0</v>
      </c>
      <c r="O217" s="31">
        <v>0</v>
      </c>
      <c r="P217" s="31">
        <v>0</v>
      </c>
      <c r="Q217" s="31">
        <v>0</v>
      </c>
      <c r="R217" s="31">
        <v>0</v>
      </c>
      <c r="S217" s="31">
        <v>0</v>
      </c>
      <c r="T217" s="31">
        <v>0</v>
      </c>
      <c r="U217" s="31">
        <v>0</v>
      </c>
      <c r="V217" s="31">
        <v>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0</v>
      </c>
      <c r="AD217" s="31">
        <v>0</v>
      </c>
      <c r="AE217" s="31">
        <f>ROUND(I217*1.5%,2)</f>
        <v>2635.82</v>
      </c>
      <c r="AF217" s="31">
        <v>0</v>
      </c>
      <c r="AG217" s="31">
        <v>0</v>
      </c>
      <c r="AH217" s="284" t="s">
        <v>270</v>
      </c>
      <c r="AI217" s="35">
        <v>2021</v>
      </c>
      <c r="AJ217" s="35">
        <v>2021</v>
      </c>
      <c r="AK217" s="64"/>
    </row>
    <row r="218" spans="1:40" ht="62.25" x14ac:dyDescent="0.9">
      <c r="B218" s="290" t="s">
        <v>1295</v>
      </c>
      <c r="C218" s="288"/>
      <c r="D218" s="287" t="s">
        <v>896</v>
      </c>
      <c r="E218" s="69">
        <f>E219</f>
        <v>0.99180000000000001</v>
      </c>
      <c r="F218" s="31">
        <f>F219</f>
        <v>222759.59</v>
      </c>
      <c r="G218" s="31">
        <f t="shared" ref="G218:AG218" si="69">G219</f>
        <v>0</v>
      </c>
      <c r="H218" s="31">
        <f t="shared" si="69"/>
        <v>0</v>
      </c>
      <c r="I218" s="31">
        <f t="shared" si="69"/>
        <v>0</v>
      </c>
      <c r="J218" s="31">
        <f t="shared" si="69"/>
        <v>0</v>
      </c>
      <c r="K218" s="31">
        <f t="shared" si="69"/>
        <v>0</v>
      </c>
      <c r="L218" s="31">
        <f t="shared" si="69"/>
        <v>0</v>
      </c>
      <c r="M218" s="74">
        <f t="shared" si="69"/>
        <v>0</v>
      </c>
      <c r="N218" s="31">
        <f t="shared" si="69"/>
        <v>0</v>
      </c>
      <c r="O218" s="31">
        <f t="shared" si="69"/>
        <v>0</v>
      </c>
      <c r="P218" s="31">
        <f t="shared" si="69"/>
        <v>0</v>
      </c>
      <c r="Q218" s="31">
        <f t="shared" si="69"/>
        <v>0</v>
      </c>
      <c r="R218" s="31">
        <f t="shared" si="69"/>
        <v>0</v>
      </c>
      <c r="S218" s="31">
        <f t="shared" si="69"/>
        <v>488.11</v>
      </c>
      <c r="T218" s="31">
        <f t="shared" si="69"/>
        <v>219483.79</v>
      </c>
      <c r="U218" s="31">
        <f t="shared" si="69"/>
        <v>0</v>
      </c>
      <c r="V218" s="31">
        <f t="shared" si="69"/>
        <v>0</v>
      </c>
      <c r="W218" s="31">
        <f t="shared" si="69"/>
        <v>0</v>
      </c>
      <c r="X218" s="31">
        <f t="shared" si="69"/>
        <v>0</v>
      </c>
      <c r="Y218" s="31">
        <f t="shared" si="69"/>
        <v>0</v>
      </c>
      <c r="Z218" s="31">
        <f t="shared" si="69"/>
        <v>0</v>
      </c>
      <c r="AA218" s="31">
        <f t="shared" si="69"/>
        <v>0</v>
      </c>
      <c r="AB218" s="31">
        <f t="shared" si="69"/>
        <v>0</v>
      </c>
      <c r="AC218" s="31">
        <f t="shared" si="69"/>
        <v>0</v>
      </c>
      <c r="AD218" s="31">
        <f t="shared" si="69"/>
        <v>0</v>
      </c>
      <c r="AE218" s="31">
        <f t="shared" si="69"/>
        <v>3275.8</v>
      </c>
      <c r="AF218" s="31">
        <f t="shared" si="69"/>
        <v>0</v>
      </c>
      <c r="AG218" s="31">
        <f t="shared" si="69"/>
        <v>0</v>
      </c>
      <c r="AH218" s="284" t="s">
        <v>896</v>
      </c>
      <c r="AI218" s="284" t="s">
        <v>896</v>
      </c>
      <c r="AJ218" s="284" t="s">
        <v>896</v>
      </c>
      <c r="AK218" s="64"/>
    </row>
    <row r="219" spans="1:40" ht="62.25" x14ac:dyDescent="0.9">
      <c r="A219" s="6">
        <v>1</v>
      </c>
      <c r="B219" s="66">
        <f>SUBTOTAL(103,$A$88:A219)</f>
        <v>111</v>
      </c>
      <c r="C219" s="288" t="s">
        <v>1495</v>
      </c>
      <c r="D219" s="287" t="s">
        <v>1539</v>
      </c>
      <c r="E219" s="69">
        <v>0.99180000000000001</v>
      </c>
      <c r="F219" s="31">
        <f>G219+H219+I219+J219+K219+L219+N219+P219+R219+T219+V219+W219+X219+Y219+Z219+AA219+AB219+AC219+AD219+AE219+AF219+AG219</f>
        <v>222759.59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74">
        <v>0</v>
      </c>
      <c r="N219" s="31">
        <v>0</v>
      </c>
      <c r="O219" s="31">
        <v>0</v>
      </c>
      <c r="P219" s="31">
        <v>0</v>
      </c>
      <c r="Q219" s="31">
        <v>0</v>
      </c>
      <c r="R219" s="31">
        <v>0</v>
      </c>
      <c r="S219" s="31">
        <v>488.11</v>
      </c>
      <c r="T219" s="31">
        <v>219483.79</v>
      </c>
      <c r="U219" s="31">
        <v>0</v>
      </c>
      <c r="V219" s="31">
        <v>0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0</v>
      </c>
      <c r="AD219" s="31">
        <v>0</v>
      </c>
      <c r="AE219" s="31">
        <v>3275.8</v>
      </c>
      <c r="AF219" s="31">
        <v>0</v>
      </c>
      <c r="AG219" s="31">
        <v>0</v>
      </c>
      <c r="AH219" s="284" t="s">
        <v>270</v>
      </c>
      <c r="AI219" s="284">
        <v>2020</v>
      </c>
      <c r="AJ219" s="284">
        <v>2020</v>
      </c>
      <c r="AK219" s="64"/>
    </row>
    <row r="220" spans="1:40" ht="62.25" x14ac:dyDescent="0.9">
      <c r="B220" s="290" t="s">
        <v>854</v>
      </c>
      <c r="C220" s="288"/>
      <c r="D220" s="287" t="s">
        <v>896</v>
      </c>
      <c r="E220" s="69">
        <f>E221</f>
        <v>1</v>
      </c>
      <c r="F220" s="31">
        <f>F221</f>
        <v>137654.99000000002</v>
      </c>
      <c r="G220" s="31">
        <f t="shared" ref="G220:AG220" si="70">G221</f>
        <v>0</v>
      </c>
      <c r="H220" s="31">
        <f t="shared" si="70"/>
        <v>0</v>
      </c>
      <c r="I220" s="31">
        <f t="shared" si="70"/>
        <v>0</v>
      </c>
      <c r="J220" s="31">
        <f t="shared" si="70"/>
        <v>0</v>
      </c>
      <c r="K220" s="31">
        <f t="shared" si="70"/>
        <v>0</v>
      </c>
      <c r="L220" s="31">
        <f t="shared" si="70"/>
        <v>0</v>
      </c>
      <c r="M220" s="74">
        <f t="shared" si="70"/>
        <v>0</v>
      </c>
      <c r="N220" s="31">
        <f t="shared" si="70"/>
        <v>0</v>
      </c>
      <c r="O220" s="31">
        <f t="shared" si="70"/>
        <v>0</v>
      </c>
      <c r="P220" s="31">
        <f t="shared" si="70"/>
        <v>0</v>
      </c>
      <c r="Q220" s="31">
        <f t="shared" si="70"/>
        <v>0</v>
      </c>
      <c r="R220" s="31">
        <f t="shared" si="70"/>
        <v>0</v>
      </c>
      <c r="S220" s="31">
        <f t="shared" si="70"/>
        <v>370.88</v>
      </c>
      <c r="T220" s="31">
        <f t="shared" si="70"/>
        <v>135630.70000000001</v>
      </c>
      <c r="U220" s="31">
        <f t="shared" si="70"/>
        <v>0</v>
      </c>
      <c r="V220" s="31">
        <f t="shared" si="70"/>
        <v>0</v>
      </c>
      <c r="W220" s="31">
        <f t="shared" si="70"/>
        <v>0</v>
      </c>
      <c r="X220" s="31">
        <f t="shared" si="70"/>
        <v>0</v>
      </c>
      <c r="Y220" s="31">
        <f t="shared" si="70"/>
        <v>0</v>
      </c>
      <c r="Z220" s="31">
        <f t="shared" si="70"/>
        <v>0</v>
      </c>
      <c r="AA220" s="31">
        <f t="shared" si="70"/>
        <v>0</v>
      </c>
      <c r="AB220" s="31">
        <f t="shared" si="70"/>
        <v>0</v>
      </c>
      <c r="AC220" s="31">
        <f t="shared" si="70"/>
        <v>0</v>
      </c>
      <c r="AD220" s="31">
        <f t="shared" si="70"/>
        <v>0</v>
      </c>
      <c r="AE220" s="31">
        <f t="shared" si="70"/>
        <v>2024.29</v>
      </c>
      <c r="AF220" s="31">
        <f t="shared" si="70"/>
        <v>0</v>
      </c>
      <c r="AG220" s="31">
        <f t="shared" si="70"/>
        <v>0</v>
      </c>
      <c r="AH220" s="284" t="s">
        <v>896</v>
      </c>
      <c r="AI220" s="284" t="s">
        <v>896</v>
      </c>
      <c r="AJ220" s="284" t="s">
        <v>896</v>
      </c>
      <c r="AK220" s="64"/>
    </row>
    <row r="221" spans="1:40" ht="62.25" x14ac:dyDescent="0.9">
      <c r="A221" s="6">
        <v>1</v>
      </c>
      <c r="B221" s="66">
        <f>SUBTOTAL(103,$A$88:A221)</f>
        <v>112</v>
      </c>
      <c r="C221" s="288" t="s">
        <v>1496</v>
      </c>
      <c r="D221" s="287" t="s">
        <v>1539</v>
      </c>
      <c r="E221" s="69">
        <v>1</v>
      </c>
      <c r="F221" s="31">
        <f>G221+H221+I221+J221+K221+L221+N221+P221+R221+T221+V221+W221+X221+Y221+Z221+AA221+AB221+AC221+AD221+AE221+AF221+AG221</f>
        <v>137654.99000000002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74">
        <v>0</v>
      </c>
      <c r="N221" s="31">
        <v>0</v>
      </c>
      <c r="O221" s="31">
        <v>0</v>
      </c>
      <c r="P221" s="31">
        <v>0</v>
      </c>
      <c r="Q221" s="31">
        <v>0</v>
      </c>
      <c r="R221" s="31">
        <v>0</v>
      </c>
      <c r="S221" s="31">
        <v>370.88</v>
      </c>
      <c r="T221" s="31">
        <v>135630.70000000001</v>
      </c>
      <c r="U221" s="31">
        <v>0</v>
      </c>
      <c r="V221" s="31">
        <v>0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0</v>
      </c>
      <c r="AD221" s="31">
        <v>0</v>
      </c>
      <c r="AE221" s="31">
        <v>2024.29</v>
      </c>
      <c r="AF221" s="31">
        <v>0</v>
      </c>
      <c r="AG221" s="31">
        <v>0</v>
      </c>
      <c r="AH221" s="284" t="s">
        <v>270</v>
      </c>
      <c r="AI221" s="284">
        <v>2020</v>
      </c>
      <c r="AJ221" s="284">
        <v>2020</v>
      </c>
      <c r="AK221" s="64"/>
    </row>
    <row r="222" spans="1:40" ht="62.25" x14ac:dyDescent="0.9">
      <c r="B222" s="290" t="s">
        <v>842</v>
      </c>
      <c r="C222" s="288"/>
      <c r="D222" s="287" t="s">
        <v>896</v>
      </c>
      <c r="E222" s="69">
        <f>E223</f>
        <v>0.98829999999999996</v>
      </c>
      <c r="F222" s="31">
        <f>F223</f>
        <v>894902.36</v>
      </c>
      <c r="G222" s="31">
        <f t="shared" ref="G222:AG222" si="71">G223</f>
        <v>0</v>
      </c>
      <c r="H222" s="31">
        <f t="shared" si="71"/>
        <v>0</v>
      </c>
      <c r="I222" s="31">
        <f t="shared" si="71"/>
        <v>0</v>
      </c>
      <c r="J222" s="31">
        <f t="shared" si="71"/>
        <v>0</v>
      </c>
      <c r="K222" s="31">
        <f t="shared" si="71"/>
        <v>0</v>
      </c>
      <c r="L222" s="31">
        <f t="shared" si="71"/>
        <v>0</v>
      </c>
      <c r="M222" s="74">
        <f t="shared" si="71"/>
        <v>0</v>
      </c>
      <c r="N222" s="31">
        <f t="shared" si="71"/>
        <v>0</v>
      </c>
      <c r="O222" s="31">
        <f t="shared" si="71"/>
        <v>400</v>
      </c>
      <c r="P222" s="31">
        <f t="shared" si="71"/>
        <v>881677.2</v>
      </c>
      <c r="Q222" s="31">
        <f t="shared" si="71"/>
        <v>0</v>
      </c>
      <c r="R222" s="31">
        <f t="shared" si="71"/>
        <v>0</v>
      </c>
      <c r="S222" s="31">
        <f t="shared" si="71"/>
        <v>0</v>
      </c>
      <c r="T222" s="31">
        <f t="shared" si="71"/>
        <v>0</v>
      </c>
      <c r="U222" s="31">
        <f t="shared" si="71"/>
        <v>0</v>
      </c>
      <c r="V222" s="31">
        <f t="shared" si="71"/>
        <v>0</v>
      </c>
      <c r="W222" s="31">
        <f t="shared" si="71"/>
        <v>0</v>
      </c>
      <c r="X222" s="31">
        <f t="shared" si="71"/>
        <v>0</v>
      </c>
      <c r="Y222" s="31">
        <f t="shared" si="71"/>
        <v>0</v>
      </c>
      <c r="Z222" s="31">
        <f t="shared" si="71"/>
        <v>0</v>
      </c>
      <c r="AA222" s="31">
        <f t="shared" si="71"/>
        <v>0</v>
      </c>
      <c r="AB222" s="31">
        <f t="shared" si="71"/>
        <v>0</v>
      </c>
      <c r="AC222" s="31">
        <f t="shared" si="71"/>
        <v>0</v>
      </c>
      <c r="AD222" s="31">
        <f t="shared" si="71"/>
        <v>0</v>
      </c>
      <c r="AE222" s="31">
        <f t="shared" si="71"/>
        <v>13225.16</v>
      </c>
      <c r="AF222" s="31">
        <f t="shared" si="71"/>
        <v>0</v>
      </c>
      <c r="AG222" s="31">
        <f t="shared" si="71"/>
        <v>0</v>
      </c>
      <c r="AH222" s="284" t="s">
        <v>896</v>
      </c>
      <c r="AI222" s="284" t="s">
        <v>896</v>
      </c>
      <c r="AJ222" s="284" t="s">
        <v>896</v>
      </c>
      <c r="AK222" s="64"/>
    </row>
    <row r="223" spans="1:40" ht="62.25" x14ac:dyDescent="0.9">
      <c r="A223" s="6">
        <v>1</v>
      </c>
      <c r="B223" s="66">
        <f>SUBTOTAL(103,$A$88:A223)</f>
        <v>113</v>
      </c>
      <c r="C223" s="288" t="s">
        <v>1497</v>
      </c>
      <c r="D223" s="72" t="s">
        <v>1900</v>
      </c>
      <c r="E223" s="69">
        <v>0.98829999999999996</v>
      </c>
      <c r="F223" s="31">
        <f>G223+H223+I223+J223+K223+L223+N223+P223+R223+T223+V223+W223+X223+Y223+Z223+AA223+AB223+AC223+AD223+AE223+AF223+AG223</f>
        <v>894902.36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74">
        <v>0</v>
      </c>
      <c r="N223" s="31">
        <v>0</v>
      </c>
      <c r="O223" s="31">
        <v>400</v>
      </c>
      <c r="P223" s="31">
        <v>881677.2</v>
      </c>
      <c r="Q223" s="31">
        <v>0</v>
      </c>
      <c r="R223" s="31">
        <v>0</v>
      </c>
      <c r="S223" s="31">
        <v>0</v>
      </c>
      <c r="T223" s="31">
        <v>0</v>
      </c>
      <c r="U223" s="31">
        <v>0</v>
      </c>
      <c r="V223" s="31">
        <v>0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0</v>
      </c>
      <c r="AD223" s="31">
        <v>0</v>
      </c>
      <c r="AE223" s="31">
        <f>ROUND(P223*1.5%,2)</f>
        <v>13225.16</v>
      </c>
      <c r="AF223" s="31">
        <v>0</v>
      </c>
      <c r="AG223" s="31">
        <v>0</v>
      </c>
      <c r="AH223" s="284" t="s">
        <v>270</v>
      </c>
      <c r="AI223" s="35">
        <v>2021</v>
      </c>
      <c r="AJ223" s="35">
        <v>2021</v>
      </c>
      <c r="AK223" s="64"/>
    </row>
    <row r="224" spans="1:40" ht="62.25" x14ac:dyDescent="0.9">
      <c r="B224" s="290" t="s">
        <v>847</v>
      </c>
      <c r="C224" s="288"/>
      <c r="D224" s="287" t="s">
        <v>896</v>
      </c>
      <c r="E224" s="69">
        <f>E225</f>
        <v>0.72670000000000001</v>
      </c>
      <c r="F224" s="31">
        <f>F225</f>
        <v>40586.949999999997</v>
      </c>
      <c r="G224" s="31">
        <f t="shared" ref="G224:AG224" si="72">G225</f>
        <v>0</v>
      </c>
      <c r="H224" s="31">
        <f t="shared" si="72"/>
        <v>0</v>
      </c>
      <c r="I224" s="31">
        <f t="shared" si="72"/>
        <v>0</v>
      </c>
      <c r="J224" s="31">
        <f t="shared" si="72"/>
        <v>0</v>
      </c>
      <c r="K224" s="31">
        <f t="shared" si="72"/>
        <v>0</v>
      </c>
      <c r="L224" s="31">
        <f t="shared" si="72"/>
        <v>0</v>
      </c>
      <c r="M224" s="74">
        <f t="shared" si="72"/>
        <v>0</v>
      </c>
      <c r="N224" s="31">
        <f t="shared" si="72"/>
        <v>0</v>
      </c>
      <c r="O224" s="31">
        <f t="shared" si="72"/>
        <v>651</v>
      </c>
      <c r="P224" s="31">
        <f t="shared" si="72"/>
        <v>39987.14</v>
      </c>
      <c r="Q224" s="31">
        <f t="shared" si="72"/>
        <v>0</v>
      </c>
      <c r="R224" s="31">
        <f t="shared" si="72"/>
        <v>0</v>
      </c>
      <c r="S224" s="31">
        <f t="shared" si="72"/>
        <v>0</v>
      </c>
      <c r="T224" s="31">
        <f t="shared" si="72"/>
        <v>0</v>
      </c>
      <c r="U224" s="31">
        <f t="shared" si="72"/>
        <v>0</v>
      </c>
      <c r="V224" s="31">
        <f t="shared" si="72"/>
        <v>0</v>
      </c>
      <c r="W224" s="31">
        <f t="shared" si="72"/>
        <v>0</v>
      </c>
      <c r="X224" s="31">
        <f t="shared" si="72"/>
        <v>0</v>
      </c>
      <c r="Y224" s="31">
        <f t="shared" si="72"/>
        <v>0</v>
      </c>
      <c r="Z224" s="31">
        <f t="shared" si="72"/>
        <v>0</v>
      </c>
      <c r="AA224" s="31">
        <f t="shared" si="72"/>
        <v>0</v>
      </c>
      <c r="AB224" s="31">
        <f t="shared" si="72"/>
        <v>0</v>
      </c>
      <c r="AC224" s="31">
        <f t="shared" si="72"/>
        <v>0</v>
      </c>
      <c r="AD224" s="31">
        <f t="shared" si="72"/>
        <v>0</v>
      </c>
      <c r="AE224" s="31">
        <f t="shared" si="72"/>
        <v>599.80999999999995</v>
      </c>
      <c r="AF224" s="31">
        <f t="shared" si="72"/>
        <v>0</v>
      </c>
      <c r="AG224" s="31">
        <f t="shared" si="72"/>
        <v>0</v>
      </c>
      <c r="AH224" s="284" t="s">
        <v>896</v>
      </c>
      <c r="AI224" s="284" t="s">
        <v>896</v>
      </c>
      <c r="AJ224" s="284" t="s">
        <v>896</v>
      </c>
      <c r="AK224" s="64"/>
    </row>
    <row r="225" spans="1:37" ht="62.25" x14ac:dyDescent="0.9">
      <c r="A225" s="6">
        <v>1</v>
      </c>
      <c r="B225" s="66">
        <f>SUBTOTAL(103,$A$88:A225)</f>
        <v>114</v>
      </c>
      <c r="C225" s="288" t="s">
        <v>1498</v>
      </c>
      <c r="D225" s="72" t="s">
        <v>1539</v>
      </c>
      <c r="E225" s="69">
        <v>0.72670000000000001</v>
      </c>
      <c r="F225" s="31">
        <f>G225+H225+I225+J225+K225+L225+N225+P225+R225+T225+V225+W225+X225+Y225+Z225+AA225+AB225+AC225+AD225+AE225+AF225+AG225</f>
        <v>40586.949999999997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74">
        <v>0</v>
      </c>
      <c r="N225" s="31">
        <v>0</v>
      </c>
      <c r="O225" s="31">
        <v>651</v>
      </c>
      <c r="P225" s="31">
        <v>39987.14</v>
      </c>
      <c r="Q225" s="31">
        <v>0</v>
      </c>
      <c r="R225" s="31">
        <v>0</v>
      </c>
      <c r="S225" s="31">
        <v>0</v>
      </c>
      <c r="T225" s="31">
        <v>0</v>
      </c>
      <c r="U225" s="31">
        <v>0</v>
      </c>
      <c r="V225" s="31">
        <v>0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0</v>
      </c>
      <c r="AD225" s="31">
        <v>0</v>
      </c>
      <c r="AE225" s="31">
        <f>ROUND(P225*1.5%,2)</f>
        <v>599.80999999999995</v>
      </c>
      <c r="AF225" s="31">
        <v>0</v>
      </c>
      <c r="AG225" s="31">
        <v>0</v>
      </c>
      <c r="AH225" s="284" t="s">
        <v>270</v>
      </c>
      <c r="AI225" s="35">
        <v>2021</v>
      </c>
      <c r="AJ225" s="35">
        <v>2021</v>
      </c>
      <c r="AK225" s="64"/>
    </row>
    <row r="226" spans="1:37" ht="62.25" x14ac:dyDescent="0.9">
      <c r="B226" s="290" t="s">
        <v>862</v>
      </c>
      <c r="C226" s="288"/>
      <c r="D226" s="287" t="s">
        <v>896</v>
      </c>
      <c r="E226" s="69">
        <f>E227</f>
        <v>0.98380000000000001</v>
      </c>
      <c r="F226" s="31">
        <f>F227</f>
        <v>39622.869999999995</v>
      </c>
      <c r="G226" s="31">
        <f t="shared" ref="G226:AG226" si="73">G227</f>
        <v>0</v>
      </c>
      <c r="H226" s="31">
        <f t="shared" si="73"/>
        <v>0</v>
      </c>
      <c r="I226" s="31">
        <f t="shared" si="73"/>
        <v>0</v>
      </c>
      <c r="J226" s="31">
        <f t="shared" si="73"/>
        <v>0</v>
      </c>
      <c r="K226" s="31">
        <f t="shared" si="73"/>
        <v>0</v>
      </c>
      <c r="L226" s="31">
        <f t="shared" si="73"/>
        <v>0</v>
      </c>
      <c r="M226" s="74">
        <f t="shared" si="73"/>
        <v>0</v>
      </c>
      <c r="N226" s="31">
        <f t="shared" si="73"/>
        <v>0</v>
      </c>
      <c r="O226" s="31">
        <f t="shared" si="73"/>
        <v>762</v>
      </c>
      <c r="P226" s="31">
        <f t="shared" si="73"/>
        <v>39037.31</v>
      </c>
      <c r="Q226" s="31">
        <f t="shared" si="73"/>
        <v>0</v>
      </c>
      <c r="R226" s="31">
        <f t="shared" si="73"/>
        <v>0</v>
      </c>
      <c r="S226" s="31">
        <f t="shared" si="73"/>
        <v>0</v>
      </c>
      <c r="T226" s="31">
        <f t="shared" si="73"/>
        <v>0</v>
      </c>
      <c r="U226" s="31">
        <f t="shared" si="73"/>
        <v>0</v>
      </c>
      <c r="V226" s="31">
        <f t="shared" si="73"/>
        <v>0</v>
      </c>
      <c r="W226" s="31">
        <f t="shared" si="73"/>
        <v>0</v>
      </c>
      <c r="X226" s="31">
        <f t="shared" si="73"/>
        <v>0</v>
      </c>
      <c r="Y226" s="31">
        <f t="shared" si="73"/>
        <v>0</v>
      </c>
      <c r="Z226" s="31">
        <f t="shared" si="73"/>
        <v>0</v>
      </c>
      <c r="AA226" s="31">
        <f t="shared" si="73"/>
        <v>0</v>
      </c>
      <c r="AB226" s="31">
        <f t="shared" si="73"/>
        <v>0</v>
      </c>
      <c r="AC226" s="31">
        <f t="shared" si="73"/>
        <v>0</v>
      </c>
      <c r="AD226" s="31">
        <f t="shared" si="73"/>
        <v>0</v>
      </c>
      <c r="AE226" s="31">
        <f t="shared" si="73"/>
        <v>585.55999999999995</v>
      </c>
      <c r="AF226" s="31">
        <f t="shared" si="73"/>
        <v>0</v>
      </c>
      <c r="AG226" s="31">
        <f t="shared" si="73"/>
        <v>0</v>
      </c>
      <c r="AH226" s="284" t="s">
        <v>896</v>
      </c>
      <c r="AI226" s="284" t="s">
        <v>896</v>
      </c>
      <c r="AJ226" s="284" t="s">
        <v>896</v>
      </c>
      <c r="AK226" s="64"/>
    </row>
    <row r="227" spans="1:37" ht="62.25" x14ac:dyDescent="0.9">
      <c r="A227" s="6">
        <v>1</v>
      </c>
      <c r="B227" s="66">
        <f>SUBTOTAL(103,$A$88:A227)</f>
        <v>115</v>
      </c>
      <c r="C227" s="288" t="s">
        <v>1499</v>
      </c>
      <c r="D227" s="72" t="s">
        <v>1900</v>
      </c>
      <c r="E227" s="69">
        <v>0.98380000000000001</v>
      </c>
      <c r="F227" s="31">
        <f>G227+H227+I227+J227+K227+L227+N227+P227+R227+T227+V227+W227+X227+Y227+Z227+AA227+AB227+AC227+AD227+AE227+AF227+AG227</f>
        <v>39622.869999999995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74">
        <v>0</v>
      </c>
      <c r="N227" s="31">
        <v>0</v>
      </c>
      <c r="O227" s="31">
        <v>762</v>
      </c>
      <c r="P227" s="31">
        <v>39037.31</v>
      </c>
      <c r="Q227" s="31">
        <v>0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0</v>
      </c>
      <c r="AD227" s="31">
        <v>0</v>
      </c>
      <c r="AE227" s="31">
        <f>ROUND(P227*1.5%,2)</f>
        <v>585.55999999999995</v>
      </c>
      <c r="AF227" s="31">
        <v>0</v>
      </c>
      <c r="AG227" s="31">
        <v>0</v>
      </c>
      <c r="AH227" s="284" t="s">
        <v>270</v>
      </c>
      <c r="AI227" s="284">
        <v>2020</v>
      </c>
      <c r="AJ227" s="284">
        <v>2020</v>
      </c>
      <c r="AK227" s="64"/>
    </row>
    <row r="228" spans="1:37" ht="62.25" x14ac:dyDescent="0.9">
      <c r="B228" s="290" t="s">
        <v>840</v>
      </c>
      <c r="C228" s="288"/>
      <c r="D228" s="287" t="s">
        <v>896</v>
      </c>
      <c r="E228" s="69">
        <f>E229</f>
        <v>0.96889999999999998</v>
      </c>
      <c r="F228" s="31">
        <f>F229</f>
        <v>8149.86</v>
      </c>
      <c r="G228" s="31">
        <f t="shared" ref="G228:AG228" si="74">G229</f>
        <v>0</v>
      </c>
      <c r="H228" s="31">
        <f t="shared" si="74"/>
        <v>0</v>
      </c>
      <c r="I228" s="31">
        <f t="shared" si="74"/>
        <v>0</v>
      </c>
      <c r="J228" s="31">
        <f t="shared" si="74"/>
        <v>0</v>
      </c>
      <c r="K228" s="31">
        <f t="shared" si="74"/>
        <v>0</v>
      </c>
      <c r="L228" s="31">
        <f t="shared" si="74"/>
        <v>0</v>
      </c>
      <c r="M228" s="74">
        <f t="shared" si="74"/>
        <v>0</v>
      </c>
      <c r="N228" s="31">
        <f t="shared" si="74"/>
        <v>0</v>
      </c>
      <c r="O228" s="31">
        <f t="shared" si="74"/>
        <v>981.6</v>
      </c>
      <c r="P228" s="31">
        <f t="shared" si="74"/>
        <v>8029.42</v>
      </c>
      <c r="Q228" s="31">
        <f t="shared" si="74"/>
        <v>0</v>
      </c>
      <c r="R228" s="31">
        <f t="shared" si="74"/>
        <v>0</v>
      </c>
      <c r="S228" s="31">
        <f t="shared" si="74"/>
        <v>0</v>
      </c>
      <c r="T228" s="31">
        <f t="shared" si="74"/>
        <v>0</v>
      </c>
      <c r="U228" s="31">
        <f t="shared" si="74"/>
        <v>0</v>
      </c>
      <c r="V228" s="31">
        <f t="shared" si="74"/>
        <v>0</v>
      </c>
      <c r="W228" s="31">
        <f t="shared" si="74"/>
        <v>0</v>
      </c>
      <c r="X228" s="31">
        <f t="shared" si="74"/>
        <v>0</v>
      </c>
      <c r="Y228" s="31">
        <f t="shared" si="74"/>
        <v>0</v>
      </c>
      <c r="Z228" s="31">
        <f t="shared" si="74"/>
        <v>0</v>
      </c>
      <c r="AA228" s="31">
        <f t="shared" si="74"/>
        <v>0</v>
      </c>
      <c r="AB228" s="31">
        <f t="shared" si="74"/>
        <v>0</v>
      </c>
      <c r="AC228" s="31">
        <f t="shared" si="74"/>
        <v>0</v>
      </c>
      <c r="AD228" s="31">
        <f t="shared" si="74"/>
        <v>0</v>
      </c>
      <c r="AE228" s="31">
        <f t="shared" si="74"/>
        <v>120.44</v>
      </c>
      <c r="AF228" s="31">
        <f t="shared" si="74"/>
        <v>0</v>
      </c>
      <c r="AG228" s="31">
        <f t="shared" si="74"/>
        <v>0</v>
      </c>
      <c r="AH228" s="284" t="s">
        <v>896</v>
      </c>
      <c r="AI228" s="284" t="s">
        <v>896</v>
      </c>
      <c r="AJ228" s="284" t="s">
        <v>896</v>
      </c>
      <c r="AK228" s="64"/>
    </row>
    <row r="229" spans="1:37" ht="62.25" x14ac:dyDescent="0.9">
      <c r="A229" s="6">
        <v>1</v>
      </c>
      <c r="B229" s="66">
        <f>SUBTOTAL(103,$A$88:A229)</f>
        <v>116</v>
      </c>
      <c r="C229" s="288" t="s">
        <v>1507</v>
      </c>
      <c r="D229" s="72">
        <v>2017</v>
      </c>
      <c r="E229" s="69">
        <v>0.96889999999999998</v>
      </c>
      <c r="F229" s="31">
        <f>G229+H229+I229+J229+K229+L229+N229+P229+R229+T229+V229+W229+X229+Y229+Z229+AA229+AB229+AC229+AD229+AE229+AF229+AG229</f>
        <v>8149.86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74">
        <v>0</v>
      </c>
      <c r="N229" s="31">
        <v>0</v>
      </c>
      <c r="O229" s="31">
        <v>981.6</v>
      </c>
      <c r="P229" s="31">
        <v>8029.42</v>
      </c>
      <c r="Q229" s="31">
        <v>0</v>
      </c>
      <c r="R229" s="31">
        <v>0</v>
      </c>
      <c r="S229" s="31">
        <v>0</v>
      </c>
      <c r="T229" s="31">
        <v>0</v>
      </c>
      <c r="U229" s="31">
        <v>0</v>
      </c>
      <c r="V229" s="31">
        <v>0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0</v>
      </c>
      <c r="AD229" s="31">
        <v>0</v>
      </c>
      <c r="AE229" s="31">
        <f>ROUND(P229*1.5%,2)</f>
        <v>120.44</v>
      </c>
      <c r="AF229" s="31">
        <v>0</v>
      </c>
      <c r="AG229" s="31">
        <v>0</v>
      </c>
      <c r="AH229" s="284" t="s">
        <v>270</v>
      </c>
      <c r="AI229" s="35">
        <v>2021</v>
      </c>
      <c r="AJ229" s="35">
        <v>2021</v>
      </c>
      <c r="AK229" s="64"/>
    </row>
    <row r="230" spans="1:37" ht="62.25" x14ac:dyDescent="0.9">
      <c r="B230" s="290" t="s">
        <v>845</v>
      </c>
      <c r="C230" s="288"/>
      <c r="D230" s="287" t="s">
        <v>896</v>
      </c>
      <c r="E230" s="69">
        <f>AVERAGE(E231:E232)</f>
        <v>0.83830000000000005</v>
      </c>
      <c r="F230" s="31">
        <f>F231+F232</f>
        <v>156359.79</v>
      </c>
      <c r="G230" s="31">
        <f t="shared" ref="G230:AG230" si="75">G231+G232</f>
        <v>0</v>
      </c>
      <c r="H230" s="31">
        <f t="shared" si="75"/>
        <v>0</v>
      </c>
      <c r="I230" s="31">
        <f t="shared" si="75"/>
        <v>0</v>
      </c>
      <c r="J230" s="31">
        <f t="shared" si="75"/>
        <v>0</v>
      </c>
      <c r="K230" s="31">
        <f t="shared" si="75"/>
        <v>0</v>
      </c>
      <c r="L230" s="31">
        <f t="shared" si="75"/>
        <v>0</v>
      </c>
      <c r="M230" s="74">
        <f t="shared" si="75"/>
        <v>0</v>
      </c>
      <c r="N230" s="31">
        <f t="shared" si="75"/>
        <v>0</v>
      </c>
      <c r="O230" s="31">
        <f t="shared" si="75"/>
        <v>949</v>
      </c>
      <c r="P230" s="31">
        <f t="shared" si="75"/>
        <v>154049.04999999999</v>
      </c>
      <c r="Q230" s="31">
        <f t="shared" si="75"/>
        <v>0</v>
      </c>
      <c r="R230" s="31">
        <f t="shared" si="75"/>
        <v>0</v>
      </c>
      <c r="S230" s="31">
        <f t="shared" si="75"/>
        <v>0</v>
      </c>
      <c r="T230" s="31">
        <f t="shared" si="75"/>
        <v>0</v>
      </c>
      <c r="U230" s="31">
        <f t="shared" si="75"/>
        <v>0</v>
      </c>
      <c r="V230" s="31">
        <f t="shared" si="75"/>
        <v>0</v>
      </c>
      <c r="W230" s="31">
        <f t="shared" si="75"/>
        <v>0</v>
      </c>
      <c r="X230" s="31">
        <f t="shared" si="75"/>
        <v>0</v>
      </c>
      <c r="Y230" s="31">
        <f t="shared" si="75"/>
        <v>0</v>
      </c>
      <c r="Z230" s="31">
        <f t="shared" si="75"/>
        <v>0</v>
      </c>
      <c r="AA230" s="31">
        <f t="shared" si="75"/>
        <v>0</v>
      </c>
      <c r="AB230" s="31">
        <f t="shared" si="75"/>
        <v>0</v>
      </c>
      <c r="AC230" s="31">
        <f t="shared" si="75"/>
        <v>0</v>
      </c>
      <c r="AD230" s="31">
        <f t="shared" si="75"/>
        <v>0</v>
      </c>
      <c r="AE230" s="31">
        <f t="shared" si="75"/>
        <v>2310.7399999999998</v>
      </c>
      <c r="AF230" s="31">
        <f t="shared" si="75"/>
        <v>0</v>
      </c>
      <c r="AG230" s="31">
        <f t="shared" si="75"/>
        <v>0</v>
      </c>
      <c r="AH230" s="284" t="s">
        <v>896</v>
      </c>
      <c r="AI230" s="284" t="s">
        <v>896</v>
      </c>
      <c r="AJ230" s="284" t="s">
        <v>896</v>
      </c>
      <c r="AK230" s="64"/>
    </row>
    <row r="231" spans="1:37" ht="62.25" x14ac:dyDescent="0.9">
      <c r="A231" s="6">
        <v>1</v>
      </c>
      <c r="B231" s="66">
        <f>SUBTOTAL(103,$A$88:A231)</f>
        <v>117</v>
      </c>
      <c r="C231" s="288" t="s">
        <v>1508</v>
      </c>
      <c r="D231" s="72" t="s">
        <v>1899</v>
      </c>
      <c r="E231" s="69">
        <v>0.75480000000000003</v>
      </c>
      <c r="F231" s="31">
        <f>G231+H231+I231+J231+K231+L231+N231+P231+R231+T231+V231+W231+X231+Y231+Z231+AA231+AB231+AC231+AD231+AE231+AF231+AG231</f>
        <v>79259.37000000001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74">
        <v>0</v>
      </c>
      <c r="N231" s="31">
        <v>0</v>
      </c>
      <c r="O231" s="31">
        <v>577</v>
      </c>
      <c r="P231" s="31">
        <v>78088.05</v>
      </c>
      <c r="Q231" s="31">
        <v>0</v>
      </c>
      <c r="R231" s="31">
        <v>0</v>
      </c>
      <c r="S231" s="31">
        <v>0</v>
      </c>
      <c r="T231" s="31">
        <v>0</v>
      </c>
      <c r="U231" s="31">
        <v>0</v>
      </c>
      <c r="V231" s="31">
        <v>0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0</v>
      </c>
      <c r="AD231" s="31">
        <v>0</v>
      </c>
      <c r="AE231" s="31">
        <f>ROUND(P231*1.5%,2)</f>
        <v>1171.32</v>
      </c>
      <c r="AF231" s="31">
        <v>0</v>
      </c>
      <c r="AG231" s="31">
        <v>0</v>
      </c>
      <c r="AH231" s="284" t="s">
        <v>270</v>
      </c>
      <c r="AI231" s="284">
        <v>2020</v>
      </c>
      <c r="AJ231" s="284">
        <v>2020</v>
      </c>
      <c r="AK231" s="64"/>
    </row>
    <row r="232" spans="1:37" ht="62.25" x14ac:dyDescent="0.9">
      <c r="A232" s="6">
        <v>1</v>
      </c>
      <c r="B232" s="66">
        <f>SUBTOTAL(103,$A$88:A232)</f>
        <v>118</v>
      </c>
      <c r="C232" s="288" t="s">
        <v>1509</v>
      </c>
      <c r="D232" s="72" t="s">
        <v>1900</v>
      </c>
      <c r="E232" s="69">
        <v>0.92179999999999995</v>
      </c>
      <c r="F232" s="31">
        <f>G232+H232+I232+J232+K232+L232+N232+P232+R232+T232+V232+W232+X232+Y232+Z232+AA232+AB232+AC232+AD232+AE232+AF232+AG232</f>
        <v>77100.42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74">
        <v>0</v>
      </c>
      <c r="N232" s="31">
        <v>0</v>
      </c>
      <c r="O232" s="31">
        <v>372</v>
      </c>
      <c r="P232" s="31">
        <v>75961</v>
      </c>
      <c r="Q232" s="31">
        <v>0</v>
      </c>
      <c r="R232" s="31">
        <v>0</v>
      </c>
      <c r="S232" s="31">
        <v>0</v>
      </c>
      <c r="T232" s="31">
        <v>0</v>
      </c>
      <c r="U232" s="31">
        <v>0</v>
      </c>
      <c r="V232" s="31">
        <v>0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0</v>
      </c>
      <c r="AD232" s="31">
        <v>0</v>
      </c>
      <c r="AE232" s="31">
        <f>ROUND(P232*1.5%,2)</f>
        <v>1139.42</v>
      </c>
      <c r="AF232" s="31">
        <v>0</v>
      </c>
      <c r="AG232" s="31">
        <v>0</v>
      </c>
      <c r="AH232" s="284" t="s">
        <v>270</v>
      </c>
      <c r="AI232" s="284">
        <v>2020</v>
      </c>
      <c r="AJ232" s="284">
        <v>2020</v>
      </c>
      <c r="AK232" s="64"/>
    </row>
    <row r="233" spans="1:37" ht="62.25" x14ac:dyDescent="0.9">
      <c r="B233" s="290" t="s">
        <v>1052</v>
      </c>
      <c r="C233" s="288"/>
      <c r="D233" s="287" t="s">
        <v>896</v>
      </c>
      <c r="E233" s="69">
        <f t="shared" ref="E233:T237" si="76">E234</f>
        <v>0.93410000000000004</v>
      </c>
      <c r="F233" s="31">
        <f t="shared" si="76"/>
        <v>5309.7</v>
      </c>
      <c r="G233" s="31">
        <f t="shared" si="76"/>
        <v>0</v>
      </c>
      <c r="H233" s="31">
        <f t="shared" si="76"/>
        <v>0</v>
      </c>
      <c r="I233" s="31">
        <f t="shared" si="76"/>
        <v>0</v>
      </c>
      <c r="J233" s="31">
        <f t="shared" si="76"/>
        <v>0</v>
      </c>
      <c r="K233" s="31">
        <f t="shared" si="76"/>
        <v>0</v>
      </c>
      <c r="L233" s="31">
        <f t="shared" si="76"/>
        <v>0</v>
      </c>
      <c r="M233" s="74">
        <f t="shared" si="76"/>
        <v>0</v>
      </c>
      <c r="N233" s="31">
        <f t="shared" si="76"/>
        <v>0</v>
      </c>
      <c r="O233" s="31">
        <f t="shared" si="76"/>
        <v>429.6</v>
      </c>
      <c r="P233" s="31">
        <f t="shared" si="76"/>
        <v>5231.2299999999996</v>
      </c>
      <c r="Q233" s="31">
        <f t="shared" si="76"/>
        <v>0</v>
      </c>
      <c r="R233" s="31">
        <f t="shared" si="76"/>
        <v>0</v>
      </c>
      <c r="S233" s="31">
        <f t="shared" si="76"/>
        <v>0</v>
      </c>
      <c r="T233" s="31">
        <f t="shared" si="76"/>
        <v>0</v>
      </c>
      <c r="U233" s="31">
        <f t="shared" ref="U233:AG233" si="77">U234</f>
        <v>0</v>
      </c>
      <c r="V233" s="31">
        <f t="shared" si="77"/>
        <v>0</v>
      </c>
      <c r="W233" s="31">
        <f t="shared" si="77"/>
        <v>0</v>
      </c>
      <c r="X233" s="31">
        <f t="shared" si="77"/>
        <v>0</v>
      </c>
      <c r="Y233" s="31">
        <f t="shared" si="77"/>
        <v>0</v>
      </c>
      <c r="Z233" s="31">
        <f t="shared" si="77"/>
        <v>0</v>
      </c>
      <c r="AA233" s="31">
        <f t="shared" si="77"/>
        <v>0</v>
      </c>
      <c r="AB233" s="31">
        <f t="shared" si="77"/>
        <v>0</v>
      </c>
      <c r="AC233" s="31">
        <f t="shared" si="77"/>
        <v>0</v>
      </c>
      <c r="AD233" s="31">
        <f t="shared" si="77"/>
        <v>0</v>
      </c>
      <c r="AE233" s="31">
        <f t="shared" si="77"/>
        <v>78.47</v>
      </c>
      <c r="AF233" s="31">
        <f t="shared" si="77"/>
        <v>0</v>
      </c>
      <c r="AG233" s="31">
        <f t="shared" si="77"/>
        <v>0</v>
      </c>
      <c r="AH233" s="284" t="s">
        <v>896</v>
      </c>
      <c r="AI233" s="284" t="s">
        <v>896</v>
      </c>
      <c r="AJ233" s="284" t="s">
        <v>896</v>
      </c>
      <c r="AK233" s="64"/>
    </row>
    <row r="234" spans="1:37" ht="62.25" x14ac:dyDescent="0.9">
      <c r="A234" s="6">
        <v>1</v>
      </c>
      <c r="B234" s="66">
        <f>SUBTOTAL(103,$A$88:A234)</f>
        <v>119</v>
      </c>
      <c r="C234" s="288" t="s">
        <v>1605</v>
      </c>
      <c r="D234" s="72" t="s">
        <v>1899</v>
      </c>
      <c r="E234" s="69">
        <v>0.93410000000000004</v>
      </c>
      <c r="F234" s="31">
        <f>G234+H234+I234+J234+K234+L234+N234+P234+R234+T234+V234+W234+X234+Y234+Z234+AA234+AB234+AC234+AD234+AE234+AF234+AG234</f>
        <v>5309.7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74">
        <v>0</v>
      </c>
      <c r="N234" s="31">
        <v>0</v>
      </c>
      <c r="O234" s="31">
        <v>429.6</v>
      </c>
      <c r="P234" s="31">
        <v>5231.2299999999996</v>
      </c>
      <c r="Q234" s="31">
        <v>0</v>
      </c>
      <c r="R234" s="31">
        <v>0</v>
      </c>
      <c r="S234" s="31">
        <v>0</v>
      </c>
      <c r="T234" s="31">
        <v>0</v>
      </c>
      <c r="U234" s="31">
        <v>0</v>
      </c>
      <c r="V234" s="31">
        <v>0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0</v>
      </c>
      <c r="AD234" s="31">
        <v>0</v>
      </c>
      <c r="AE234" s="31">
        <f>ROUND(P234*1.5%,2)</f>
        <v>78.47</v>
      </c>
      <c r="AF234" s="31">
        <v>0</v>
      </c>
      <c r="AG234" s="31">
        <v>0</v>
      </c>
      <c r="AH234" s="284" t="s">
        <v>270</v>
      </c>
      <c r="AI234" s="284">
        <v>2020</v>
      </c>
      <c r="AJ234" s="284">
        <v>2020</v>
      </c>
      <c r="AK234" s="64"/>
    </row>
    <row r="235" spans="1:37" ht="62.25" x14ac:dyDescent="0.9">
      <c r="B235" s="290" t="s">
        <v>888</v>
      </c>
      <c r="C235" s="288"/>
      <c r="D235" s="287" t="s">
        <v>896</v>
      </c>
      <c r="E235" s="69">
        <v>0.99509999999999998</v>
      </c>
      <c r="F235" s="31">
        <f t="shared" si="76"/>
        <v>188216.53</v>
      </c>
      <c r="G235" s="31">
        <f t="shared" si="76"/>
        <v>0</v>
      </c>
      <c r="H235" s="31">
        <f t="shared" si="76"/>
        <v>0</v>
      </c>
      <c r="I235" s="31">
        <f t="shared" si="76"/>
        <v>0</v>
      </c>
      <c r="J235" s="31">
        <f t="shared" si="76"/>
        <v>0</v>
      </c>
      <c r="K235" s="31">
        <f t="shared" si="76"/>
        <v>0</v>
      </c>
      <c r="L235" s="31">
        <f t="shared" si="76"/>
        <v>0</v>
      </c>
      <c r="M235" s="74">
        <f t="shared" si="76"/>
        <v>0</v>
      </c>
      <c r="N235" s="31">
        <f t="shared" si="76"/>
        <v>0</v>
      </c>
      <c r="O235" s="31">
        <f t="shared" si="76"/>
        <v>186.15</v>
      </c>
      <c r="P235" s="31">
        <f t="shared" si="76"/>
        <v>185435</v>
      </c>
      <c r="Q235" s="31">
        <f t="shared" si="76"/>
        <v>0</v>
      </c>
      <c r="R235" s="31">
        <f t="shared" si="76"/>
        <v>0</v>
      </c>
      <c r="S235" s="31">
        <f t="shared" si="76"/>
        <v>0</v>
      </c>
      <c r="T235" s="31">
        <f t="shared" si="76"/>
        <v>0</v>
      </c>
      <c r="U235" s="31">
        <f t="shared" ref="U235:AG235" si="78">U236</f>
        <v>0</v>
      </c>
      <c r="V235" s="31">
        <f t="shared" si="78"/>
        <v>0</v>
      </c>
      <c r="W235" s="31">
        <f t="shared" si="78"/>
        <v>0</v>
      </c>
      <c r="X235" s="31">
        <f t="shared" si="78"/>
        <v>0</v>
      </c>
      <c r="Y235" s="31">
        <f t="shared" si="78"/>
        <v>0</v>
      </c>
      <c r="Z235" s="31">
        <f t="shared" si="78"/>
        <v>0</v>
      </c>
      <c r="AA235" s="31">
        <f t="shared" si="78"/>
        <v>0</v>
      </c>
      <c r="AB235" s="31">
        <f t="shared" si="78"/>
        <v>0</v>
      </c>
      <c r="AC235" s="31">
        <f t="shared" si="78"/>
        <v>0</v>
      </c>
      <c r="AD235" s="31">
        <f t="shared" si="78"/>
        <v>0</v>
      </c>
      <c r="AE235" s="31">
        <f t="shared" si="78"/>
        <v>2781.53</v>
      </c>
      <c r="AF235" s="31">
        <f t="shared" si="78"/>
        <v>0</v>
      </c>
      <c r="AG235" s="31">
        <f t="shared" si="78"/>
        <v>0</v>
      </c>
      <c r="AH235" s="284" t="s">
        <v>896</v>
      </c>
      <c r="AI235" s="284" t="s">
        <v>896</v>
      </c>
      <c r="AJ235" s="284" t="s">
        <v>896</v>
      </c>
      <c r="AK235" s="64"/>
    </row>
    <row r="236" spans="1:37" ht="62.25" x14ac:dyDescent="0.9">
      <c r="A236" s="6">
        <v>1</v>
      </c>
      <c r="B236" s="66">
        <f>SUBTOTAL(103,$A$88:A236)</f>
        <v>120</v>
      </c>
      <c r="C236" s="288" t="s">
        <v>1695</v>
      </c>
      <c r="D236" s="72" t="s">
        <v>1899</v>
      </c>
      <c r="E236" s="69">
        <v>0.99509999999999998</v>
      </c>
      <c r="F236" s="31">
        <f>P236+AE236</f>
        <v>188216.53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74">
        <v>0</v>
      </c>
      <c r="N236" s="31">
        <v>0</v>
      </c>
      <c r="O236" s="31">
        <v>186.15</v>
      </c>
      <c r="P236" s="31">
        <v>185435</v>
      </c>
      <c r="Q236" s="31">
        <v>0</v>
      </c>
      <c r="R236" s="31">
        <v>0</v>
      </c>
      <c r="S236" s="31">
        <v>0</v>
      </c>
      <c r="T236" s="289">
        <v>0</v>
      </c>
      <c r="U236" s="31">
        <v>0</v>
      </c>
      <c r="V236" s="31">
        <v>0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0</v>
      </c>
      <c r="AD236" s="31">
        <v>0</v>
      </c>
      <c r="AE236" s="31">
        <f>ROUND(P236*1.5%,2)</f>
        <v>2781.53</v>
      </c>
      <c r="AF236" s="31">
        <v>0</v>
      </c>
      <c r="AG236" s="31">
        <v>0</v>
      </c>
      <c r="AH236" s="284" t="s">
        <v>270</v>
      </c>
      <c r="AI236" s="284">
        <v>2020</v>
      </c>
      <c r="AJ236" s="284">
        <v>2020</v>
      </c>
      <c r="AK236" s="64"/>
    </row>
    <row r="237" spans="1:37" ht="62.25" x14ac:dyDescent="0.9">
      <c r="B237" s="290" t="s">
        <v>859</v>
      </c>
      <c r="C237" s="288"/>
      <c r="D237" s="287" t="s">
        <v>896</v>
      </c>
      <c r="E237" s="69">
        <f t="shared" si="76"/>
        <v>0.981975146584529</v>
      </c>
      <c r="F237" s="31">
        <f t="shared" si="76"/>
        <v>29122.38</v>
      </c>
      <c r="G237" s="31">
        <f t="shared" si="76"/>
        <v>0</v>
      </c>
      <c r="H237" s="31">
        <f t="shared" si="76"/>
        <v>0</v>
      </c>
      <c r="I237" s="31">
        <f t="shared" si="76"/>
        <v>28692</v>
      </c>
      <c r="J237" s="31">
        <f t="shared" si="76"/>
        <v>0</v>
      </c>
      <c r="K237" s="31">
        <f t="shared" si="76"/>
        <v>0</v>
      </c>
      <c r="L237" s="31">
        <f t="shared" si="76"/>
        <v>0</v>
      </c>
      <c r="M237" s="74">
        <f t="shared" si="76"/>
        <v>0</v>
      </c>
      <c r="N237" s="31">
        <f t="shared" si="76"/>
        <v>0</v>
      </c>
      <c r="O237" s="31">
        <f t="shared" si="76"/>
        <v>0</v>
      </c>
      <c r="P237" s="31">
        <f t="shared" si="76"/>
        <v>0</v>
      </c>
      <c r="Q237" s="31">
        <f t="shared" si="76"/>
        <v>0</v>
      </c>
      <c r="R237" s="31">
        <f t="shared" si="76"/>
        <v>0</v>
      </c>
      <c r="S237" s="31">
        <f t="shared" si="76"/>
        <v>0</v>
      </c>
      <c r="T237" s="31">
        <f t="shared" si="76"/>
        <v>0</v>
      </c>
      <c r="U237" s="31">
        <f t="shared" ref="U237:AG237" si="79">U238</f>
        <v>0</v>
      </c>
      <c r="V237" s="31">
        <f t="shared" si="79"/>
        <v>0</v>
      </c>
      <c r="W237" s="31">
        <f t="shared" si="79"/>
        <v>0</v>
      </c>
      <c r="X237" s="31">
        <f t="shared" si="79"/>
        <v>0</v>
      </c>
      <c r="Y237" s="31">
        <f t="shared" si="79"/>
        <v>0</v>
      </c>
      <c r="Z237" s="31">
        <f t="shared" si="79"/>
        <v>0</v>
      </c>
      <c r="AA237" s="31">
        <f t="shared" si="79"/>
        <v>0</v>
      </c>
      <c r="AB237" s="31">
        <f t="shared" si="79"/>
        <v>0</v>
      </c>
      <c r="AC237" s="31">
        <f t="shared" si="79"/>
        <v>0</v>
      </c>
      <c r="AD237" s="31">
        <f t="shared" si="79"/>
        <v>0</v>
      </c>
      <c r="AE237" s="31">
        <f t="shared" si="79"/>
        <v>430.38</v>
      </c>
      <c r="AF237" s="31">
        <f t="shared" si="79"/>
        <v>0</v>
      </c>
      <c r="AG237" s="31">
        <f t="shared" si="79"/>
        <v>0</v>
      </c>
      <c r="AH237" s="284" t="s">
        <v>896</v>
      </c>
      <c r="AI237" s="284" t="s">
        <v>896</v>
      </c>
      <c r="AJ237" s="284" t="s">
        <v>896</v>
      </c>
      <c r="AK237" s="64"/>
    </row>
    <row r="238" spans="1:37" ht="62.25" x14ac:dyDescent="0.9">
      <c r="A238" s="6">
        <v>1</v>
      </c>
      <c r="B238" s="66">
        <f>SUBTOTAL(103,$A$88:A238)</f>
        <v>121</v>
      </c>
      <c r="C238" s="288" t="s">
        <v>1915</v>
      </c>
      <c r="D238" s="87">
        <v>2015</v>
      </c>
      <c r="E238" s="69">
        <v>0.981975146584529</v>
      </c>
      <c r="F238" s="31">
        <f>G238+H238+I238+J238+K238+L238+N238+P238+R238+T238+V238+W238+X238+Y238+Z238+AA238+AB238+AC238+AD238+AE238+AF238+AG238</f>
        <v>29122.38</v>
      </c>
      <c r="G238" s="31">
        <v>0</v>
      </c>
      <c r="H238" s="31">
        <v>0</v>
      </c>
      <c r="I238" s="31">
        <v>28692</v>
      </c>
      <c r="J238" s="31">
        <v>0</v>
      </c>
      <c r="K238" s="31">
        <v>0</v>
      </c>
      <c r="L238" s="31">
        <v>0</v>
      </c>
      <c r="M238" s="74">
        <v>0</v>
      </c>
      <c r="N238" s="31">
        <v>0</v>
      </c>
      <c r="O238" s="31">
        <v>0</v>
      </c>
      <c r="P238" s="31">
        <v>0</v>
      </c>
      <c r="Q238" s="31">
        <v>0</v>
      </c>
      <c r="R238" s="31">
        <v>0</v>
      </c>
      <c r="S238" s="31">
        <v>0</v>
      </c>
      <c r="T238" s="289">
        <v>0</v>
      </c>
      <c r="U238" s="31">
        <v>0</v>
      </c>
      <c r="V238" s="31">
        <v>0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0</v>
      </c>
      <c r="AD238" s="31">
        <v>0</v>
      </c>
      <c r="AE238" s="31">
        <f>ROUND(I238*1.5%,2)</f>
        <v>430.38</v>
      </c>
      <c r="AF238" s="31">
        <v>0</v>
      </c>
      <c r="AG238" s="31">
        <v>0</v>
      </c>
      <c r="AH238" s="284" t="s">
        <v>270</v>
      </c>
      <c r="AI238" s="284">
        <v>2021</v>
      </c>
      <c r="AJ238" s="284">
        <v>2021</v>
      </c>
      <c r="AK238" s="64"/>
    </row>
  </sheetData>
  <autoFilter ref="A9:AN237" xr:uid="{FE9A16CF-A995-42D4-A4CF-16C22241DBA5}"/>
  <mergeCells count="34">
    <mergeCell ref="B86:C86"/>
    <mergeCell ref="B85:AJ85"/>
    <mergeCell ref="X6:X7"/>
    <mergeCell ref="Y6:Y7"/>
    <mergeCell ref="Z6:Z7"/>
    <mergeCell ref="AA6:AA7"/>
    <mergeCell ref="AB6:AB7"/>
    <mergeCell ref="AC6:AC7"/>
    <mergeCell ref="AD6:AD7"/>
    <mergeCell ref="AE6:AE7"/>
    <mergeCell ref="AF6:AF7"/>
    <mergeCell ref="AG6:AG7"/>
    <mergeCell ref="AJ5:AJ8"/>
    <mergeCell ref="O6:P7"/>
    <mergeCell ref="Q6:R7"/>
    <mergeCell ref="AI5:AI8"/>
    <mergeCell ref="B10:AJ10"/>
    <mergeCell ref="W6:W7"/>
    <mergeCell ref="S6:T7"/>
    <mergeCell ref="M6:N7"/>
    <mergeCell ref="G6:L6"/>
    <mergeCell ref="U6:V7"/>
    <mergeCell ref="B1:AJ1"/>
    <mergeCell ref="B2:AJ2"/>
    <mergeCell ref="C3:AJ3"/>
    <mergeCell ref="C4:AJ4"/>
    <mergeCell ref="B5:B8"/>
    <mergeCell ref="C5:C8"/>
    <mergeCell ref="D5:D8"/>
    <mergeCell ref="E5:E7"/>
    <mergeCell ref="F5:F7"/>
    <mergeCell ref="G5:V5"/>
    <mergeCell ref="W5:AG5"/>
    <mergeCell ref="AH5:AH8"/>
  </mergeCells>
  <phoneticPr fontId="44" type="noConversion"/>
  <pageMargins left="0.39370078740157483" right="0.39370078740157483" top="0.39370078740157483" bottom="0.39370078740157483" header="0" footer="0"/>
  <pageSetup paperSize="8" scale="10" fitToHeight="0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237"/>
  <sheetViews>
    <sheetView topLeftCell="B43" zoomScale="30" zoomScaleNormal="30" workbookViewId="0">
      <selection activeCell="B43" sqref="A1:XFD1048576"/>
    </sheetView>
  </sheetViews>
  <sheetFormatPr defaultRowHeight="15" x14ac:dyDescent="0.25"/>
  <cols>
    <col min="1" max="1" width="9.140625" style="6" hidden="1" customWidth="1"/>
    <col min="2" max="2" width="15.85546875" style="6" customWidth="1"/>
    <col min="3" max="3" width="219.85546875" style="6" customWidth="1"/>
    <col min="4" max="4" width="21.42578125" style="6" customWidth="1"/>
    <col min="5" max="5" width="14.85546875" style="6" customWidth="1"/>
    <col min="6" max="6" width="74.28515625" style="6" customWidth="1"/>
    <col min="7" max="7" width="12.85546875" style="6" customWidth="1"/>
    <col min="8" max="8" width="13.85546875" style="6" customWidth="1"/>
    <col min="9" max="9" width="31.140625" style="6" customWidth="1"/>
    <col min="10" max="10" width="32.28515625" style="6" customWidth="1"/>
    <col min="11" max="11" width="32.5703125" style="6" customWidth="1"/>
    <col min="12" max="12" width="32.85546875" style="6" customWidth="1"/>
    <col min="13" max="13" width="42.28515625" style="6" customWidth="1"/>
    <col min="14" max="14" width="95.28515625" style="6" customWidth="1"/>
    <col min="15" max="15" width="45.5703125" style="6" customWidth="1"/>
    <col min="16" max="16" width="29.85546875" style="6" customWidth="1"/>
    <col min="17" max="17" width="25.5703125" style="6" customWidth="1"/>
    <col min="18" max="16384" width="9.140625" style="6"/>
  </cols>
  <sheetData>
    <row r="1" spans="1:17" ht="35.25" x14ac:dyDescent="0.5">
      <c r="B1" s="56"/>
      <c r="C1" s="56"/>
      <c r="D1" s="56"/>
      <c r="E1" s="56"/>
      <c r="F1" s="56"/>
      <c r="G1" s="57"/>
      <c r="H1" s="56"/>
      <c r="I1" s="56"/>
      <c r="J1" s="56"/>
      <c r="K1" s="56"/>
      <c r="L1" s="56"/>
      <c r="M1" s="240"/>
      <c r="N1" s="240"/>
      <c r="O1" s="417" t="s">
        <v>1056</v>
      </c>
      <c r="P1" s="417"/>
      <c r="Q1" s="417"/>
    </row>
    <row r="2" spans="1:17" ht="71.25" customHeight="1" x14ac:dyDescent="0.5">
      <c r="B2" s="56"/>
      <c r="C2" s="56"/>
      <c r="D2" s="56"/>
      <c r="E2" s="56"/>
      <c r="F2" s="56"/>
      <c r="G2" s="57"/>
      <c r="H2" s="56"/>
      <c r="I2" s="56"/>
      <c r="J2" s="56"/>
      <c r="K2" s="56"/>
      <c r="L2" s="56"/>
      <c r="M2" s="58"/>
      <c r="N2" s="418" t="s">
        <v>1057</v>
      </c>
      <c r="O2" s="418"/>
      <c r="P2" s="418"/>
      <c r="Q2" s="418"/>
    </row>
    <row r="3" spans="1:17" ht="201.75" customHeight="1" x14ac:dyDescent="0.25">
      <c r="B3" s="419" t="s">
        <v>1962</v>
      </c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</row>
    <row r="4" spans="1:17" ht="35.25" x14ac:dyDescent="0.25">
      <c r="B4" s="420" t="s">
        <v>6</v>
      </c>
      <c r="C4" s="420" t="s">
        <v>1058</v>
      </c>
      <c r="D4" s="420" t="s">
        <v>250</v>
      </c>
      <c r="E4" s="409"/>
      <c r="F4" s="408" t="s">
        <v>251</v>
      </c>
      <c r="G4" s="411" t="s">
        <v>252</v>
      </c>
      <c r="H4" s="411" t="s">
        <v>253</v>
      </c>
      <c r="I4" s="408" t="s">
        <v>254</v>
      </c>
      <c r="J4" s="420" t="s">
        <v>255</v>
      </c>
      <c r="K4" s="409"/>
      <c r="L4" s="423" t="s">
        <v>1059</v>
      </c>
      <c r="M4" s="423" t="s">
        <v>1060</v>
      </c>
      <c r="N4" s="423" t="s">
        <v>256</v>
      </c>
      <c r="O4" s="403" t="s">
        <v>8</v>
      </c>
      <c r="P4" s="406" t="s">
        <v>258</v>
      </c>
      <c r="Q4" s="406" t="s">
        <v>259</v>
      </c>
    </row>
    <row r="5" spans="1:17" x14ac:dyDescent="0.25">
      <c r="B5" s="409"/>
      <c r="C5" s="409"/>
      <c r="D5" s="408" t="s">
        <v>260</v>
      </c>
      <c r="E5" s="411" t="s">
        <v>261</v>
      </c>
      <c r="F5" s="409"/>
      <c r="G5" s="421"/>
      <c r="H5" s="421"/>
      <c r="I5" s="409"/>
      <c r="J5" s="408" t="s">
        <v>262</v>
      </c>
      <c r="K5" s="411" t="s">
        <v>1061</v>
      </c>
      <c r="L5" s="424"/>
      <c r="M5" s="426"/>
      <c r="N5" s="426"/>
      <c r="O5" s="404"/>
      <c r="P5" s="407"/>
      <c r="Q5" s="407"/>
    </row>
    <row r="6" spans="1:17" ht="301.5" customHeight="1" x14ac:dyDescent="0.25">
      <c r="B6" s="409"/>
      <c r="C6" s="409"/>
      <c r="D6" s="409"/>
      <c r="E6" s="404"/>
      <c r="F6" s="409"/>
      <c r="G6" s="421"/>
      <c r="H6" s="421"/>
      <c r="I6" s="409"/>
      <c r="J6" s="409"/>
      <c r="K6" s="413"/>
      <c r="L6" s="425"/>
      <c r="M6" s="426"/>
      <c r="N6" s="426"/>
      <c r="O6" s="405"/>
      <c r="P6" s="407"/>
      <c r="Q6" s="407"/>
    </row>
    <row r="7" spans="1:17" ht="35.25" x14ac:dyDescent="0.25">
      <c r="B7" s="410"/>
      <c r="C7" s="410"/>
      <c r="D7" s="410"/>
      <c r="E7" s="412"/>
      <c r="F7" s="409"/>
      <c r="G7" s="422"/>
      <c r="H7" s="422"/>
      <c r="I7" s="59" t="s">
        <v>38</v>
      </c>
      <c r="J7" s="59" t="s">
        <v>38</v>
      </c>
      <c r="K7" s="59" t="s">
        <v>38</v>
      </c>
      <c r="L7" s="59" t="s">
        <v>265</v>
      </c>
      <c r="M7" s="427"/>
      <c r="N7" s="427"/>
      <c r="O7" s="59" t="s">
        <v>36</v>
      </c>
      <c r="P7" s="59" t="s">
        <v>266</v>
      </c>
      <c r="Q7" s="59" t="s">
        <v>266</v>
      </c>
    </row>
    <row r="8" spans="1:17" ht="35.25" x14ac:dyDescent="0.25">
      <c r="B8" s="59">
        <v>1</v>
      </c>
      <c r="C8" s="59">
        <v>2</v>
      </c>
      <c r="D8" s="59">
        <v>3</v>
      </c>
      <c r="E8" s="59">
        <v>4</v>
      </c>
      <c r="F8" s="59">
        <v>5</v>
      </c>
      <c r="G8" s="60">
        <v>5.5697674418604599</v>
      </c>
      <c r="H8" s="60">
        <v>7</v>
      </c>
      <c r="I8" s="60">
        <v>8</v>
      </c>
      <c r="J8" s="60">
        <v>9</v>
      </c>
      <c r="K8" s="60">
        <v>10</v>
      </c>
      <c r="L8" s="59">
        <v>11</v>
      </c>
      <c r="M8" s="60">
        <v>12</v>
      </c>
      <c r="N8" s="60">
        <v>13</v>
      </c>
      <c r="O8" s="60">
        <v>14</v>
      </c>
      <c r="P8" s="60">
        <v>15</v>
      </c>
      <c r="Q8" s="60">
        <v>16</v>
      </c>
    </row>
    <row r="9" spans="1:17" ht="45.75" x14ac:dyDescent="0.25">
      <c r="B9" s="414" t="s">
        <v>1022</v>
      </c>
      <c r="C9" s="415"/>
      <c r="D9" s="415"/>
      <c r="E9" s="415"/>
      <c r="F9" s="415"/>
      <c r="G9" s="415"/>
      <c r="H9" s="415"/>
      <c r="I9" s="415"/>
      <c r="J9" s="415"/>
      <c r="K9" s="415"/>
      <c r="L9" s="415"/>
      <c r="M9" s="415"/>
      <c r="N9" s="415"/>
      <c r="O9" s="415"/>
      <c r="P9" s="415"/>
      <c r="Q9" s="416"/>
    </row>
    <row r="10" spans="1:17" ht="35.25" x14ac:dyDescent="0.4">
      <c r="B10" s="94" t="s">
        <v>1961</v>
      </c>
      <c r="C10" s="291"/>
      <c r="D10" s="91" t="s">
        <v>896</v>
      </c>
      <c r="E10" s="91" t="s">
        <v>896</v>
      </c>
      <c r="F10" s="91" t="s">
        <v>896</v>
      </c>
      <c r="G10" s="91" t="s">
        <v>896</v>
      </c>
      <c r="H10" s="91" t="s">
        <v>896</v>
      </c>
      <c r="I10" s="93">
        <f>I11+I63</f>
        <v>43052.780000000006</v>
      </c>
      <c r="J10" s="93">
        <f>J11+J63</f>
        <v>37285.21</v>
      </c>
      <c r="K10" s="93">
        <f>K11+K63</f>
        <v>33378.71</v>
      </c>
      <c r="L10" s="96">
        <f>L11+L63</f>
        <v>1783</v>
      </c>
      <c r="M10" s="91" t="s">
        <v>896</v>
      </c>
      <c r="N10" s="91" t="s">
        <v>896</v>
      </c>
      <c r="O10" s="93">
        <v>82613019.680000007</v>
      </c>
      <c r="P10" s="92">
        <f>O10/I10</f>
        <v>1918.8777049937307</v>
      </c>
      <c r="Q10" s="128">
        <f>MAX(Q11:Q83)</f>
        <v>6676.3435828571428</v>
      </c>
    </row>
    <row r="11" spans="1:17" ht="35.25" x14ac:dyDescent="0.4">
      <c r="B11" s="94" t="s">
        <v>1677</v>
      </c>
      <c r="C11" s="291"/>
      <c r="D11" s="91" t="s">
        <v>896</v>
      </c>
      <c r="E11" s="91" t="s">
        <v>896</v>
      </c>
      <c r="F11" s="91" t="s">
        <v>896</v>
      </c>
      <c r="G11" s="91" t="s">
        <v>896</v>
      </c>
      <c r="H11" s="91" t="s">
        <v>896</v>
      </c>
      <c r="I11" s="93">
        <f>I12+I14+I23+I25+I27+I29+I32+I35+I39+I41+I43+I47+I49+I51+I53+I57+I59+I61</f>
        <v>33695.280000000006</v>
      </c>
      <c r="J11" s="93">
        <f>J12+J14+J23+J25+J27+J29+J32+J35+J39+J41+J43+J47+J49+J51+J53+J57+J59+J61</f>
        <v>29309.11</v>
      </c>
      <c r="K11" s="93">
        <f>K12+K14+K23+K25+K27+K29+K32+K35+K39+K41+K43+K47+K49+K51+K53+K57+K59+K61</f>
        <v>26092.609999999997</v>
      </c>
      <c r="L11" s="96">
        <f>L12+L14+L23+L25+L27+L29+L32+L35+L39+L41+L43+L47+L49+L51+L53+L57+L59+L61</f>
        <v>1359</v>
      </c>
      <c r="M11" s="91" t="s">
        <v>896</v>
      </c>
      <c r="N11" s="91" t="s">
        <v>896</v>
      </c>
      <c r="O11" s="93">
        <v>52629409.420000009</v>
      </c>
      <c r="P11" s="92">
        <f>O11/I11</f>
        <v>1561.9223054386252</v>
      </c>
      <c r="Q11" s="128">
        <f>MAX(Q12:Q62)</f>
        <v>6676.3435828571428</v>
      </c>
    </row>
    <row r="12" spans="1:17" ht="35.25" x14ac:dyDescent="0.4">
      <c r="B12" s="94" t="s">
        <v>821</v>
      </c>
      <c r="C12" s="291"/>
      <c r="D12" s="91" t="s">
        <v>896</v>
      </c>
      <c r="E12" s="91" t="s">
        <v>896</v>
      </c>
      <c r="F12" s="91" t="s">
        <v>896</v>
      </c>
      <c r="G12" s="91" t="s">
        <v>896</v>
      </c>
      <c r="H12" s="91" t="s">
        <v>896</v>
      </c>
      <c r="I12" s="93">
        <f>I13</f>
        <v>792.7</v>
      </c>
      <c r="J12" s="93">
        <f>J13</f>
        <v>481</v>
      </c>
      <c r="K12" s="93">
        <f>K13</f>
        <v>481</v>
      </c>
      <c r="L12" s="96">
        <f>L13</f>
        <v>42</v>
      </c>
      <c r="M12" s="91" t="s">
        <v>896</v>
      </c>
      <c r="N12" s="91" t="s">
        <v>896</v>
      </c>
      <c r="O12" s="92">
        <v>2142518.84</v>
      </c>
      <c r="P12" s="92">
        <f t="shared" ref="P12:P62" si="0">O12/I12</f>
        <v>2702.8117068247757</v>
      </c>
      <c r="Q12" s="128">
        <f>Q13</f>
        <v>4345.8843913208011</v>
      </c>
    </row>
    <row r="13" spans="1:17" ht="35.25" x14ac:dyDescent="0.5">
      <c r="A13" s="6">
        <v>1</v>
      </c>
      <c r="B13" s="90">
        <f>SUBTOTAL(103,$A13:A$13)</f>
        <v>1</v>
      </c>
      <c r="C13" s="95" t="s">
        <v>1024</v>
      </c>
      <c r="D13" s="91">
        <v>1969</v>
      </c>
      <c r="E13" s="91"/>
      <c r="F13" s="91" t="s">
        <v>269</v>
      </c>
      <c r="G13" s="91" t="s">
        <v>305</v>
      </c>
      <c r="H13" s="91" t="s">
        <v>305</v>
      </c>
      <c r="I13" s="93">
        <v>792.7</v>
      </c>
      <c r="J13" s="93">
        <v>481</v>
      </c>
      <c r="K13" s="93">
        <f>J13</f>
        <v>481</v>
      </c>
      <c r="L13" s="96">
        <v>42</v>
      </c>
      <c r="M13" s="91" t="s">
        <v>268</v>
      </c>
      <c r="N13" s="91" t="s">
        <v>270</v>
      </c>
      <c r="O13" s="92">
        <v>2142518.84</v>
      </c>
      <c r="P13" s="92">
        <f t="shared" si="0"/>
        <v>2702.8117068247757</v>
      </c>
      <c r="Q13" s="128">
        <v>4345.8843913208011</v>
      </c>
    </row>
    <row r="14" spans="1:17" ht="35.25" x14ac:dyDescent="0.4">
      <c r="B14" s="95" t="s">
        <v>1051</v>
      </c>
      <c r="C14" s="95"/>
      <c r="D14" s="91" t="s">
        <v>896</v>
      </c>
      <c r="E14" s="91" t="s">
        <v>896</v>
      </c>
      <c r="F14" s="91" t="s">
        <v>896</v>
      </c>
      <c r="G14" s="91" t="s">
        <v>896</v>
      </c>
      <c r="H14" s="91" t="s">
        <v>896</v>
      </c>
      <c r="I14" s="93">
        <f>SUM(I15:I22)</f>
        <v>12811.8</v>
      </c>
      <c r="J14" s="93">
        <f>SUM(J15:J22)</f>
        <v>11686.800000000001</v>
      </c>
      <c r="K14" s="93">
        <f>SUM(K15:K22)</f>
        <v>10750.4</v>
      </c>
      <c r="L14" s="96">
        <f>SUM(L15:L22)</f>
        <v>434</v>
      </c>
      <c r="M14" s="91" t="s">
        <v>896</v>
      </c>
      <c r="N14" s="91" t="s">
        <v>896</v>
      </c>
      <c r="O14" s="92">
        <v>15237100.34</v>
      </c>
      <c r="P14" s="92">
        <f t="shared" si="0"/>
        <v>1189.3020762109929</v>
      </c>
      <c r="Q14" s="128">
        <f>MAX(Q15:Q22)</f>
        <v>3654.4968061674008</v>
      </c>
    </row>
    <row r="15" spans="1:17" ht="35.25" x14ac:dyDescent="0.5">
      <c r="A15" s="6">
        <v>1</v>
      </c>
      <c r="B15" s="90">
        <f>SUBTOTAL(103,$A$13:A15)</f>
        <v>2</v>
      </c>
      <c r="C15" s="95" t="s">
        <v>1025</v>
      </c>
      <c r="D15" s="91">
        <v>1958</v>
      </c>
      <c r="E15" s="91"/>
      <c r="F15" s="91" t="s">
        <v>269</v>
      </c>
      <c r="G15" s="91" t="s">
        <v>353</v>
      </c>
      <c r="H15" s="91" t="s">
        <v>310</v>
      </c>
      <c r="I15" s="93">
        <v>5229.2</v>
      </c>
      <c r="J15" s="93">
        <v>5229.2</v>
      </c>
      <c r="K15" s="93">
        <f>J15-227.6</f>
        <v>5001.5999999999995</v>
      </c>
      <c r="L15" s="96">
        <v>121</v>
      </c>
      <c r="M15" s="91" t="s">
        <v>343</v>
      </c>
      <c r="N15" s="91" t="s">
        <v>1062</v>
      </c>
      <c r="O15" s="92">
        <v>6213014.2000000002</v>
      </c>
      <c r="P15" s="92">
        <f t="shared" si="0"/>
        <v>1188.1385680410006</v>
      </c>
      <c r="Q15" s="128">
        <v>1725.1078157270711</v>
      </c>
    </row>
    <row r="16" spans="1:17" ht="35.25" x14ac:dyDescent="0.5">
      <c r="A16" s="6">
        <v>1</v>
      </c>
      <c r="B16" s="90">
        <f>SUBTOTAL(103,$A$13:A16)</f>
        <v>3</v>
      </c>
      <c r="C16" s="95" t="s">
        <v>1026</v>
      </c>
      <c r="D16" s="91">
        <v>1979</v>
      </c>
      <c r="E16" s="91"/>
      <c r="F16" s="91" t="s">
        <v>269</v>
      </c>
      <c r="G16" s="91" t="s">
        <v>353</v>
      </c>
      <c r="H16" s="91" t="s">
        <v>306</v>
      </c>
      <c r="I16" s="93">
        <v>802.1</v>
      </c>
      <c r="J16" s="93">
        <v>554.1</v>
      </c>
      <c r="K16" s="93">
        <f>J16</f>
        <v>554.1</v>
      </c>
      <c r="L16" s="96">
        <v>25</v>
      </c>
      <c r="M16" s="91" t="s">
        <v>271</v>
      </c>
      <c r="N16" s="91" t="s">
        <v>1063</v>
      </c>
      <c r="O16" s="92">
        <v>987000</v>
      </c>
      <c r="P16" s="92">
        <f t="shared" si="0"/>
        <v>1230.5198853010845</v>
      </c>
      <c r="Q16" s="128">
        <v>1873.1400074803639</v>
      </c>
    </row>
    <row r="17" spans="1:17" ht="35.25" x14ac:dyDescent="0.5">
      <c r="A17" s="6">
        <v>1</v>
      </c>
      <c r="B17" s="90">
        <f>SUBTOTAL(103,$A$13:A17)</f>
        <v>4</v>
      </c>
      <c r="C17" s="95" t="s">
        <v>1027</v>
      </c>
      <c r="D17" s="91">
        <v>1961</v>
      </c>
      <c r="E17" s="91"/>
      <c r="F17" s="91" t="s">
        <v>269</v>
      </c>
      <c r="G17" s="91" t="s">
        <v>305</v>
      </c>
      <c r="H17" s="91" t="s">
        <v>306</v>
      </c>
      <c r="I17" s="93">
        <v>301.39999999999998</v>
      </c>
      <c r="J17" s="93">
        <v>276.5</v>
      </c>
      <c r="K17" s="93">
        <f>J17-38</f>
        <v>238.5</v>
      </c>
      <c r="L17" s="96">
        <v>16</v>
      </c>
      <c r="M17" s="91" t="s">
        <v>271</v>
      </c>
      <c r="N17" s="91" t="s">
        <v>1003</v>
      </c>
      <c r="O17" s="92">
        <v>61989.62</v>
      </c>
      <c r="P17" s="92">
        <f t="shared" si="0"/>
        <v>205.67226277372265</v>
      </c>
      <c r="Q17" s="128">
        <v>205.67226277372265</v>
      </c>
    </row>
    <row r="18" spans="1:17" ht="35.25" x14ac:dyDescent="0.5">
      <c r="A18" s="6">
        <v>1</v>
      </c>
      <c r="B18" s="90">
        <f>SUBTOTAL(103,$A$13:A18)</f>
        <v>5</v>
      </c>
      <c r="C18" s="95" t="s">
        <v>1040</v>
      </c>
      <c r="D18" s="91">
        <v>1957</v>
      </c>
      <c r="E18" s="91"/>
      <c r="F18" s="91" t="s">
        <v>269</v>
      </c>
      <c r="G18" s="91" t="s">
        <v>305</v>
      </c>
      <c r="H18" s="91" t="s">
        <v>306</v>
      </c>
      <c r="I18" s="93">
        <v>272.39999999999998</v>
      </c>
      <c r="J18" s="93">
        <v>194.8</v>
      </c>
      <c r="K18" s="93">
        <f>J18-37.2</f>
        <v>157.60000000000002</v>
      </c>
      <c r="L18" s="96">
        <v>14</v>
      </c>
      <c r="M18" s="91" t="s">
        <v>271</v>
      </c>
      <c r="N18" s="91" t="s">
        <v>1064</v>
      </c>
      <c r="O18" s="92">
        <v>995484.92999999993</v>
      </c>
      <c r="P18" s="92">
        <f t="shared" si="0"/>
        <v>3654.4968061674008</v>
      </c>
      <c r="Q18" s="128">
        <v>3654.4968061674008</v>
      </c>
    </row>
    <row r="19" spans="1:17" ht="35.25" x14ac:dyDescent="0.5">
      <c r="A19" s="6">
        <v>1</v>
      </c>
      <c r="B19" s="90">
        <f>SUBTOTAL(103,$A$13:A19)</f>
        <v>6</v>
      </c>
      <c r="C19" s="95" t="s">
        <v>1083</v>
      </c>
      <c r="D19" s="91">
        <v>1960</v>
      </c>
      <c r="E19" s="91"/>
      <c r="F19" s="91" t="s">
        <v>269</v>
      </c>
      <c r="G19" s="91" t="s">
        <v>310</v>
      </c>
      <c r="H19" s="91" t="s">
        <v>310</v>
      </c>
      <c r="I19" s="93">
        <v>2738.8</v>
      </c>
      <c r="J19" s="93">
        <v>2498.1</v>
      </c>
      <c r="K19" s="93">
        <f>2498.1-114.3</f>
        <v>2383.7999999999997</v>
      </c>
      <c r="L19" s="96">
        <v>128</v>
      </c>
      <c r="M19" s="91" t="s">
        <v>271</v>
      </c>
      <c r="N19" s="91" t="s">
        <v>1082</v>
      </c>
      <c r="O19" s="92">
        <v>5363310.75</v>
      </c>
      <c r="P19" s="92">
        <f t="shared" si="0"/>
        <v>1958.2703191178616</v>
      </c>
      <c r="Q19" s="128">
        <v>2329.6281758434347</v>
      </c>
    </row>
    <row r="20" spans="1:17" ht="35.25" x14ac:dyDescent="0.5">
      <c r="A20" s="6">
        <v>1</v>
      </c>
      <c r="B20" s="90">
        <f>SUBTOTAL(103,$A$13:A20)</f>
        <v>7</v>
      </c>
      <c r="C20" s="89" t="s">
        <v>1091</v>
      </c>
      <c r="D20" s="91">
        <v>1956</v>
      </c>
      <c r="E20" s="91"/>
      <c r="F20" s="91" t="s">
        <v>269</v>
      </c>
      <c r="G20" s="91" t="s">
        <v>305</v>
      </c>
      <c r="H20" s="91" t="s">
        <v>306</v>
      </c>
      <c r="I20" s="93">
        <v>512.5</v>
      </c>
      <c r="J20" s="93">
        <v>512.20000000000005</v>
      </c>
      <c r="K20" s="93">
        <v>324.10000000000002</v>
      </c>
      <c r="L20" s="96">
        <v>25</v>
      </c>
      <c r="M20" s="91" t="s">
        <v>271</v>
      </c>
      <c r="N20" s="91" t="s">
        <v>1064</v>
      </c>
      <c r="O20" s="92">
        <v>50283.37</v>
      </c>
      <c r="P20" s="92">
        <f t="shared" si="0"/>
        <v>98.113892682926831</v>
      </c>
      <c r="Q20" s="128">
        <v>98.113892682926831</v>
      </c>
    </row>
    <row r="21" spans="1:17" ht="35.25" x14ac:dyDescent="0.5">
      <c r="A21" s="6">
        <v>1</v>
      </c>
      <c r="B21" s="90">
        <f>SUBTOTAL(103,$A$13:A21)</f>
        <v>8</v>
      </c>
      <c r="C21" s="89" t="s">
        <v>1406</v>
      </c>
      <c r="D21" s="91">
        <v>1957</v>
      </c>
      <c r="E21" s="91"/>
      <c r="F21" s="91" t="s">
        <v>269</v>
      </c>
      <c r="G21" s="91" t="s">
        <v>305</v>
      </c>
      <c r="H21" s="91" t="s">
        <v>306</v>
      </c>
      <c r="I21" s="93">
        <v>436.2</v>
      </c>
      <c r="J21" s="93">
        <v>387.1</v>
      </c>
      <c r="K21" s="93">
        <v>340.8</v>
      </c>
      <c r="L21" s="96">
        <v>20</v>
      </c>
      <c r="M21" s="91" t="s">
        <v>271</v>
      </c>
      <c r="N21" s="91" t="s">
        <v>1407</v>
      </c>
      <c r="O21" s="92">
        <v>43517.47</v>
      </c>
      <c r="P21" s="92">
        <f t="shared" ref="P21" si="1">O21/I21</f>
        <v>99.764947271893632</v>
      </c>
      <c r="Q21" s="128">
        <v>99.764947271893632</v>
      </c>
    </row>
    <row r="22" spans="1:17" ht="35.25" x14ac:dyDescent="0.5">
      <c r="A22" s="6">
        <v>1</v>
      </c>
      <c r="B22" s="90">
        <f>SUBTOTAL(103,$A$13:A22)</f>
        <v>9</v>
      </c>
      <c r="C22" s="89" t="s">
        <v>1735</v>
      </c>
      <c r="D22" s="91">
        <v>1965</v>
      </c>
      <c r="E22" s="91"/>
      <c r="F22" s="91" t="s">
        <v>269</v>
      </c>
      <c r="G22" s="91" t="s">
        <v>353</v>
      </c>
      <c r="H22" s="91" t="s">
        <v>305</v>
      </c>
      <c r="I22" s="93">
        <v>2519.1999999999998</v>
      </c>
      <c r="J22" s="93">
        <v>2034.8</v>
      </c>
      <c r="K22" s="93">
        <v>1749.9</v>
      </c>
      <c r="L22" s="96">
        <v>85</v>
      </c>
      <c r="M22" s="91" t="s">
        <v>267</v>
      </c>
      <c r="N22" s="91" t="s">
        <v>1387</v>
      </c>
      <c r="O22" s="92">
        <v>1522500</v>
      </c>
      <c r="P22" s="92">
        <f t="shared" si="0"/>
        <v>604.35852651635446</v>
      </c>
      <c r="Q22" s="128">
        <v>746.4913766275007</v>
      </c>
    </row>
    <row r="23" spans="1:17" ht="35.25" x14ac:dyDescent="0.4">
      <c r="B23" s="95" t="s">
        <v>825</v>
      </c>
      <c r="C23" s="95"/>
      <c r="D23" s="91" t="s">
        <v>896</v>
      </c>
      <c r="E23" s="91" t="s">
        <v>896</v>
      </c>
      <c r="F23" s="91" t="s">
        <v>896</v>
      </c>
      <c r="G23" s="91" t="s">
        <v>896</v>
      </c>
      <c r="H23" s="91" t="s">
        <v>896</v>
      </c>
      <c r="I23" s="93">
        <f>I24</f>
        <v>882.3</v>
      </c>
      <c r="J23" s="93">
        <f>J24</f>
        <v>779.5</v>
      </c>
      <c r="K23" s="93">
        <f>K24</f>
        <v>779.5</v>
      </c>
      <c r="L23" s="96">
        <f>L24</f>
        <v>29</v>
      </c>
      <c r="M23" s="91" t="s">
        <v>896</v>
      </c>
      <c r="N23" s="91" t="s">
        <v>896</v>
      </c>
      <c r="O23" s="92">
        <v>2196540.5</v>
      </c>
      <c r="P23" s="92">
        <f t="shared" si="0"/>
        <v>2489.5619403830897</v>
      </c>
      <c r="Q23" s="128">
        <f>MAX(Q24)</f>
        <v>2744.4650255015304</v>
      </c>
    </row>
    <row r="24" spans="1:17" ht="35.25" x14ac:dyDescent="0.5">
      <c r="A24" s="6">
        <v>1</v>
      </c>
      <c r="B24" s="90">
        <f>SUBTOTAL(103,$A$13:A24)</f>
        <v>10</v>
      </c>
      <c r="C24" s="95" t="s">
        <v>681</v>
      </c>
      <c r="D24" s="91">
        <v>1982</v>
      </c>
      <c r="E24" s="91"/>
      <c r="F24" s="91" t="s">
        <v>269</v>
      </c>
      <c r="G24" s="91" t="s">
        <v>310</v>
      </c>
      <c r="H24" s="91" t="s">
        <v>306</v>
      </c>
      <c r="I24" s="93">
        <v>882.3</v>
      </c>
      <c r="J24" s="93">
        <v>779.5</v>
      </c>
      <c r="K24" s="93">
        <f>J24</f>
        <v>779.5</v>
      </c>
      <c r="L24" s="96">
        <v>29</v>
      </c>
      <c r="M24" s="91" t="s">
        <v>268</v>
      </c>
      <c r="N24" s="91" t="s">
        <v>270</v>
      </c>
      <c r="O24" s="92">
        <v>2196540.5</v>
      </c>
      <c r="P24" s="92">
        <f t="shared" si="0"/>
        <v>2489.5619403830897</v>
      </c>
      <c r="Q24" s="128">
        <v>2744.4650255015304</v>
      </c>
    </row>
    <row r="25" spans="1:17" ht="35.25" x14ac:dyDescent="0.5">
      <c r="B25" s="292" t="s">
        <v>829</v>
      </c>
      <c r="C25" s="95"/>
      <c r="D25" s="91" t="s">
        <v>896</v>
      </c>
      <c r="E25" s="91" t="s">
        <v>896</v>
      </c>
      <c r="F25" s="91" t="s">
        <v>896</v>
      </c>
      <c r="G25" s="91" t="s">
        <v>896</v>
      </c>
      <c r="H25" s="91" t="s">
        <v>896</v>
      </c>
      <c r="I25" s="93">
        <f>I26</f>
        <v>1813.2</v>
      </c>
      <c r="J25" s="93">
        <f>J26</f>
        <v>1042.3</v>
      </c>
      <c r="K25" s="93">
        <f>K26</f>
        <v>567</v>
      </c>
      <c r="L25" s="96">
        <f>L26</f>
        <v>156</v>
      </c>
      <c r="M25" s="91" t="s">
        <v>896</v>
      </c>
      <c r="N25" s="91" t="s">
        <v>896</v>
      </c>
      <c r="O25" s="92">
        <v>6235729.1299999999</v>
      </c>
      <c r="P25" s="92">
        <f t="shared" si="0"/>
        <v>3439.0740844915067</v>
      </c>
      <c r="Q25" s="128">
        <f>MAX(Q26)</f>
        <v>3730.8412276637982</v>
      </c>
    </row>
    <row r="26" spans="1:17" ht="35.25" x14ac:dyDescent="0.5">
      <c r="A26" s="6">
        <v>1</v>
      </c>
      <c r="B26" s="90">
        <f>SUBTOTAL(103,$A$13:A26)</f>
        <v>11</v>
      </c>
      <c r="C26" s="95" t="s">
        <v>1074</v>
      </c>
      <c r="D26" s="91">
        <v>2007</v>
      </c>
      <c r="E26" s="91"/>
      <c r="F26" s="91" t="s">
        <v>269</v>
      </c>
      <c r="G26" s="91" t="s">
        <v>314</v>
      </c>
      <c r="H26" s="91" t="s">
        <v>314</v>
      </c>
      <c r="I26" s="93">
        <v>1813.2</v>
      </c>
      <c r="J26" s="93">
        <v>1042.3</v>
      </c>
      <c r="K26" s="93">
        <f>J26-475.3</f>
        <v>567</v>
      </c>
      <c r="L26" s="96">
        <v>156</v>
      </c>
      <c r="M26" s="91" t="s">
        <v>271</v>
      </c>
      <c r="N26" s="91" t="s">
        <v>1076</v>
      </c>
      <c r="O26" s="92">
        <v>6235729.1299999999</v>
      </c>
      <c r="P26" s="92">
        <f t="shared" si="0"/>
        <v>3439.0740844915067</v>
      </c>
      <c r="Q26" s="128">
        <v>3730.8412276637982</v>
      </c>
    </row>
    <row r="27" spans="1:17" ht="35.25" x14ac:dyDescent="0.4">
      <c r="B27" s="95" t="s">
        <v>830</v>
      </c>
      <c r="C27" s="95"/>
      <c r="D27" s="91" t="s">
        <v>896</v>
      </c>
      <c r="E27" s="91" t="s">
        <v>896</v>
      </c>
      <c r="F27" s="91" t="s">
        <v>896</v>
      </c>
      <c r="G27" s="91" t="s">
        <v>896</v>
      </c>
      <c r="H27" s="91" t="s">
        <v>896</v>
      </c>
      <c r="I27" s="93">
        <f>I28</f>
        <v>366.5</v>
      </c>
      <c r="J27" s="93">
        <f>J28</f>
        <v>336.9</v>
      </c>
      <c r="K27" s="93">
        <f>K28</f>
        <v>336.9</v>
      </c>
      <c r="L27" s="96">
        <f>L28</f>
        <v>13</v>
      </c>
      <c r="M27" s="91" t="s">
        <v>896</v>
      </c>
      <c r="N27" s="91" t="s">
        <v>896</v>
      </c>
      <c r="O27" s="92">
        <v>48440.03</v>
      </c>
      <c r="P27" s="92">
        <f t="shared" si="0"/>
        <v>132.16924965893588</v>
      </c>
      <c r="Q27" s="128">
        <f>MAX(Q28)</f>
        <v>150.38575716234652</v>
      </c>
    </row>
    <row r="28" spans="1:17" ht="35.25" x14ac:dyDescent="0.5">
      <c r="A28" s="6">
        <v>1</v>
      </c>
      <c r="B28" s="90">
        <f>SUBTOTAL(103,$A$13:A28)</f>
        <v>12</v>
      </c>
      <c r="C28" s="95" t="s">
        <v>1028</v>
      </c>
      <c r="D28" s="91">
        <v>1971</v>
      </c>
      <c r="E28" s="91"/>
      <c r="F28" s="91" t="s">
        <v>269</v>
      </c>
      <c r="G28" s="91" t="s">
        <v>305</v>
      </c>
      <c r="H28" s="91" t="s">
        <v>306</v>
      </c>
      <c r="I28" s="93">
        <v>366.5</v>
      </c>
      <c r="J28" s="93">
        <v>336.9</v>
      </c>
      <c r="K28" s="93">
        <f>J28</f>
        <v>336.9</v>
      </c>
      <c r="L28" s="96">
        <v>13</v>
      </c>
      <c r="M28" s="91" t="s">
        <v>271</v>
      </c>
      <c r="N28" s="91" t="s">
        <v>335</v>
      </c>
      <c r="O28" s="92">
        <v>48440.03</v>
      </c>
      <c r="P28" s="92">
        <f t="shared" si="0"/>
        <v>132.16924965893588</v>
      </c>
      <c r="Q28" s="128">
        <v>150.38575716234652</v>
      </c>
    </row>
    <row r="29" spans="1:17" ht="35.25" x14ac:dyDescent="0.4">
      <c r="B29" s="95" t="s">
        <v>1052</v>
      </c>
      <c r="C29" s="95"/>
      <c r="D29" s="91" t="s">
        <v>896</v>
      </c>
      <c r="E29" s="91" t="s">
        <v>896</v>
      </c>
      <c r="F29" s="91" t="s">
        <v>896</v>
      </c>
      <c r="G29" s="91" t="s">
        <v>896</v>
      </c>
      <c r="H29" s="91" t="s">
        <v>896</v>
      </c>
      <c r="I29" s="93">
        <f>I30+I31</f>
        <v>872.2</v>
      </c>
      <c r="J29" s="93">
        <f>J30+J31</f>
        <v>820.40000000000009</v>
      </c>
      <c r="K29" s="93">
        <f>K30+K31</f>
        <v>653.30000000000007</v>
      </c>
      <c r="L29" s="96">
        <f>L30+L31</f>
        <v>38</v>
      </c>
      <c r="M29" s="91" t="s">
        <v>896</v>
      </c>
      <c r="N29" s="91" t="s">
        <v>896</v>
      </c>
      <c r="O29" s="92">
        <v>31767</v>
      </c>
      <c r="P29" s="92">
        <f t="shared" si="0"/>
        <v>36.421692272414582</v>
      </c>
      <c r="Q29" s="128">
        <f>MAX(Q30:Q31)</f>
        <v>46.402933134476761</v>
      </c>
    </row>
    <row r="30" spans="1:17" ht="35.25" x14ac:dyDescent="0.5">
      <c r="A30" s="6">
        <v>1</v>
      </c>
      <c r="B30" s="90">
        <f>SUBTOTAL(103,$A$13:A30)</f>
        <v>13</v>
      </c>
      <c r="C30" s="95" t="s">
        <v>1029</v>
      </c>
      <c r="D30" s="91">
        <v>1938</v>
      </c>
      <c r="E30" s="91"/>
      <c r="F30" s="91" t="s">
        <v>332</v>
      </c>
      <c r="G30" s="91" t="s">
        <v>305</v>
      </c>
      <c r="H30" s="91" t="s">
        <v>305</v>
      </c>
      <c r="I30" s="93">
        <v>469.9</v>
      </c>
      <c r="J30" s="93">
        <v>418.1</v>
      </c>
      <c r="K30" s="93">
        <f>J30-167.1</f>
        <v>251.00000000000003</v>
      </c>
      <c r="L30" s="96">
        <v>19</v>
      </c>
      <c r="M30" s="91" t="s">
        <v>268</v>
      </c>
      <c r="N30" s="91" t="s">
        <v>270</v>
      </c>
      <c r="O30" s="92">
        <v>13099.1</v>
      </c>
      <c r="P30" s="92">
        <f t="shared" si="0"/>
        <v>27.876356671632266</v>
      </c>
      <c r="Q30" s="128">
        <v>27.876356671632266</v>
      </c>
    </row>
    <row r="31" spans="1:17" ht="35.25" x14ac:dyDescent="0.5">
      <c r="A31" s="6">
        <v>1</v>
      </c>
      <c r="B31" s="90">
        <f>SUBTOTAL(103,$A$13:A31)</f>
        <v>14</v>
      </c>
      <c r="C31" s="95" t="s">
        <v>1030</v>
      </c>
      <c r="D31" s="91">
        <v>1950</v>
      </c>
      <c r="E31" s="91"/>
      <c r="F31" s="91" t="s">
        <v>332</v>
      </c>
      <c r="G31" s="91" t="s">
        <v>305</v>
      </c>
      <c r="H31" s="91" t="s">
        <v>305</v>
      </c>
      <c r="I31" s="93">
        <v>402.3</v>
      </c>
      <c r="J31" s="93">
        <v>402.3</v>
      </c>
      <c r="K31" s="93">
        <f>J31</f>
        <v>402.3</v>
      </c>
      <c r="L31" s="96">
        <v>19</v>
      </c>
      <c r="M31" s="91" t="s">
        <v>268</v>
      </c>
      <c r="N31" s="91" t="s">
        <v>270</v>
      </c>
      <c r="O31" s="92">
        <v>18667.900000000001</v>
      </c>
      <c r="P31" s="92">
        <f t="shared" si="0"/>
        <v>46.402933134476761</v>
      </c>
      <c r="Q31" s="128">
        <v>46.402933134476761</v>
      </c>
    </row>
    <row r="32" spans="1:17" ht="35.25" x14ac:dyDescent="0.4">
      <c r="B32" s="95" t="s">
        <v>837</v>
      </c>
      <c r="C32" s="95"/>
      <c r="D32" s="91" t="s">
        <v>896</v>
      </c>
      <c r="E32" s="91" t="s">
        <v>896</v>
      </c>
      <c r="F32" s="91" t="s">
        <v>896</v>
      </c>
      <c r="G32" s="91" t="s">
        <v>896</v>
      </c>
      <c r="H32" s="91" t="s">
        <v>896</v>
      </c>
      <c r="I32" s="93">
        <f>I33+I34</f>
        <v>881.98</v>
      </c>
      <c r="J32" s="93">
        <f>J33+J34</f>
        <v>832.51</v>
      </c>
      <c r="K32" s="93">
        <f>K33+K34</f>
        <v>544.31000000000006</v>
      </c>
      <c r="L32" s="96">
        <f>L33+L34</f>
        <v>48</v>
      </c>
      <c r="M32" s="91" t="s">
        <v>896</v>
      </c>
      <c r="N32" s="91" t="s">
        <v>896</v>
      </c>
      <c r="O32" s="92">
        <v>3580408.22</v>
      </c>
      <c r="P32" s="92">
        <f t="shared" si="0"/>
        <v>4059.5118029887299</v>
      </c>
      <c r="Q32" s="128">
        <f>MAX(Q33:Q34)</f>
        <v>6676.3435828571428</v>
      </c>
    </row>
    <row r="33" spans="1:17" ht="35.25" x14ac:dyDescent="0.5">
      <c r="A33" s="6">
        <v>1</v>
      </c>
      <c r="B33" s="90">
        <f>SUBTOTAL(103,$A$13:A33)</f>
        <v>15</v>
      </c>
      <c r="C33" s="95" t="s">
        <v>1050</v>
      </c>
      <c r="D33" s="91">
        <v>1962</v>
      </c>
      <c r="E33" s="91"/>
      <c r="F33" s="91" t="s">
        <v>269</v>
      </c>
      <c r="G33" s="91" t="s">
        <v>305</v>
      </c>
      <c r="H33" s="91" t="s">
        <v>305</v>
      </c>
      <c r="I33" s="93">
        <v>671.98</v>
      </c>
      <c r="J33" s="93">
        <v>624.21</v>
      </c>
      <c r="K33" s="93">
        <f>J33-79.9</f>
        <v>544.31000000000006</v>
      </c>
      <c r="L33" s="96">
        <v>38</v>
      </c>
      <c r="M33" s="91" t="s">
        <v>271</v>
      </c>
      <c r="N33" s="91" t="s">
        <v>287</v>
      </c>
      <c r="O33" s="92">
        <v>2599022.54</v>
      </c>
      <c r="P33" s="92">
        <f t="shared" si="0"/>
        <v>3867.7081758385666</v>
      </c>
      <c r="Q33" s="128">
        <v>5528.5085175154027</v>
      </c>
    </row>
    <row r="34" spans="1:17" ht="35.25" x14ac:dyDescent="0.5">
      <c r="A34" s="6">
        <v>1</v>
      </c>
      <c r="B34" s="90">
        <f>SUBTOTAL(103,$A$13:A34)</f>
        <v>16</v>
      </c>
      <c r="C34" s="95" t="s">
        <v>1031</v>
      </c>
      <c r="D34" s="91">
        <v>1964</v>
      </c>
      <c r="E34" s="91"/>
      <c r="F34" s="91" t="s">
        <v>269</v>
      </c>
      <c r="G34" s="91" t="s">
        <v>305</v>
      </c>
      <c r="H34" s="91" t="s">
        <v>306</v>
      </c>
      <c r="I34" s="93">
        <v>210</v>
      </c>
      <c r="J34" s="93">
        <v>208.3</v>
      </c>
      <c r="K34" s="93">
        <v>0</v>
      </c>
      <c r="L34" s="96">
        <v>10</v>
      </c>
      <c r="M34" s="91" t="s">
        <v>268</v>
      </c>
      <c r="N34" s="91" t="s">
        <v>270</v>
      </c>
      <c r="O34" s="92">
        <v>981385.68</v>
      </c>
      <c r="P34" s="92">
        <f t="shared" si="0"/>
        <v>4673.2651428571435</v>
      </c>
      <c r="Q34" s="128">
        <v>6676.3435828571428</v>
      </c>
    </row>
    <row r="35" spans="1:17" ht="35.25" x14ac:dyDescent="0.4">
      <c r="B35" s="95" t="s">
        <v>766</v>
      </c>
      <c r="C35" s="95"/>
      <c r="D35" s="91" t="s">
        <v>896</v>
      </c>
      <c r="E35" s="91" t="s">
        <v>896</v>
      </c>
      <c r="F35" s="91" t="s">
        <v>896</v>
      </c>
      <c r="G35" s="91" t="s">
        <v>896</v>
      </c>
      <c r="H35" s="91" t="s">
        <v>896</v>
      </c>
      <c r="I35" s="93">
        <f>I36+I37+I38</f>
        <v>2093.1</v>
      </c>
      <c r="J35" s="93">
        <f>J36+J37+J38</f>
        <v>1649</v>
      </c>
      <c r="K35" s="93">
        <f>K36+K37+K38</f>
        <v>1480.6</v>
      </c>
      <c r="L35" s="96">
        <f>L36+L37+L38</f>
        <v>110</v>
      </c>
      <c r="M35" s="91" t="s">
        <v>896</v>
      </c>
      <c r="N35" s="91" t="s">
        <v>896</v>
      </c>
      <c r="O35" s="92">
        <v>223917.22</v>
      </c>
      <c r="P35" s="92">
        <f t="shared" si="0"/>
        <v>106.97874922363958</v>
      </c>
      <c r="Q35" s="128">
        <f>MAX(Q36:Q38)</f>
        <v>174.55257664709717</v>
      </c>
    </row>
    <row r="36" spans="1:17" ht="35.25" x14ac:dyDescent="0.5">
      <c r="A36" s="6">
        <v>1</v>
      </c>
      <c r="B36" s="90">
        <f>SUBTOTAL(103,$A$13:A36)</f>
        <v>17</v>
      </c>
      <c r="C36" s="95" t="s">
        <v>1032</v>
      </c>
      <c r="D36" s="91">
        <v>1960</v>
      </c>
      <c r="E36" s="91"/>
      <c r="F36" s="91" t="s">
        <v>269</v>
      </c>
      <c r="G36" s="91" t="s">
        <v>305</v>
      </c>
      <c r="H36" s="91" t="s">
        <v>306</v>
      </c>
      <c r="I36" s="93">
        <v>306.60000000000002</v>
      </c>
      <c r="J36" s="93">
        <v>285.60000000000002</v>
      </c>
      <c r="K36" s="93">
        <f>J36-33.2</f>
        <v>252.40000000000003</v>
      </c>
      <c r="L36" s="96">
        <v>21</v>
      </c>
      <c r="M36" s="91" t="s">
        <v>268</v>
      </c>
      <c r="N36" s="91" t="s">
        <v>270</v>
      </c>
      <c r="O36" s="92">
        <v>47271.85</v>
      </c>
      <c r="P36" s="92">
        <f t="shared" si="0"/>
        <v>154.18085453359424</v>
      </c>
      <c r="Q36" s="128">
        <v>174.55257664709717</v>
      </c>
    </row>
    <row r="37" spans="1:17" ht="35.25" x14ac:dyDescent="0.5">
      <c r="A37" s="6">
        <v>1</v>
      </c>
      <c r="B37" s="90">
        <f>SUBTOTAL(103,$A$13:A37)</f>
        <v>18</v>
      </c>
      <c r="C37" s="95" t="s">
        <v>790</v>
      </c>
      <c r="D37" s="91">
        <v>1960</v>
      </c>
      <c r="E37" s="91"/>
      <c r="F37" s="91" t="s">
        <v>269</v>
      </c>
      <c r="G37" s="91" t="s">
        <v>314</v>
      </c>
      <c r="H37" s="91" t="s">
        <v>305</v>
      </c>
      <c r="I37" s="93">
        <v>1286.5</v>
      </c>
      <c r="J37" s="93">
        <v>881.8</v>
      </c>
      <c r="K37" s="93">
        <f>J37-65.9</f>
        <v>815.9</v>
      </c>
      <c r="L37" s="96">
        <v>39</v>
      </c>
      <c r="M37" s="91" t="s">
        <v>268</v>
      </c>
      <c r="N37" s="91" t="s">
        <v>270</v>
      </c>
      <c r="O37" s="92">
        <v>99352.46</v>
      </c>
      <c r="P37" s="92">
        <f t="shared" si="0"/>
        <v>77.226941313641674</v>
      </c>
      <c r="Q37" s="128">
        <v>77.226941313641674</v>
      </c>
    </row>
    <row r="38" spans="1:17" ht="35.25" x14ac:dyDescent="0.5">
      <c r="A38" s="6">
        <v>1</v>
      </c>
      <c r="B38" s="90">
        <f>SUBTOTAL(103,$A$13:A38)</f>
        <v>19</v>
      </c>
      <c r="C38" s="95" t="s">
        <v>782</v>
      </c>
      <c r="D38" s="91">
        <v>1965</v>
      </c>
      <c r="E38" s="91"/>
      <c r="F38" s="91" t="s">
        <v>269</v>
      </c>
      <c r="G38" s="91" t="s">
        <v>305</v>
      </c>
      <c r="H38" s="91" t="s">
        <v>314</v>
      </c>
      <c r="I38" s="93">
        <v>500</v>
      </c>
      <c r="J38" s="93">
        <v>481.6</v>
      </c>
      <c r="K38" s="93">
        <f>J38-69.3</f>
        <v>412.3</v>
      </c>
      <c r="L38" s="96">
        <v>50</v>
      </c>
      <c r="M38" s="91" t="s">
        <v>268</v>
      </c>
      <c r="N38" s="91" t="s">
        <v>270</v>
      </c>
      <c r="O38" s="92">
        <v>77292.91</v>
      </c>
      <c r="P38" s="92">
        <f t="shared" si="0"/>
        <v>154.58582000000001</v>
      </c>
      <c r="Q38" s="128">
        <v>154.58582000000001</v>
      </c>
    </row>
    <row r="39" spans="1:17" ht="35.25" x14ac:dyDescent="0.4">
      <c r="B39" s="95" t="s">
        <v>844</v>
      </c>
      <c r="C39" s="95"/>
      <c r="D39" s="91" t="s">
        <v>896</v>
      </c>
      <c r="E39" s="91" t="s">
        <v>896</v>
      </c>
      <c r="F39" s="91" t="s">
        <v>896</v>
      </c>
      <c r="G39" s="91" t="s">
        <v>896</v>
      </c>
      <c r="H39" s="91" t="s">
        <v>896</v>
      </c>
      <c r="I39" s="93">
        <f>I40</f>
        <v>755.8</v>
      </c>
      <c r="J39" s="93">
        <f>J40</f>
        <v>690.5</v>
      </c>
      <c r="K39" s="93">
        <f>K40</f>
        <v>391.9</v>
      </c>
      <c r="L39" s="96">
        <f>L40</f>
        <v>20</v>
      </c>
      <c r="M39" s="91" t="s">
        <v>896</v>
      </c>
      <c r="N39" s="91" t="s">
        <v>896</v>
      </c>
      <c r="O39" s="92">
        <v>2144299</v>
      </c>
      <c r="P39" s="92">
        <f t="shared" si="0"/>
        <v>2837.1249007673991</v>
      </c>
      <c r="Q39" s="128">
        <f>MAX(Q40)</f>
        <v>3717.5986738555171</v>
      </c>
    </row>
    <row r="40" spans="1:17" ht="35.25" x14ac:dyDescent="0.5">
      <c r="A40" s="6">
        <v>1</v>
      </c>
      <c r="B40" s="90">
        <f>SUBTOTAL(103,$A$13:A40)</f>
        <v>20</v>
      </c>
      <c r="C40" s="95" t="s">
        <v>1033</v>
      </c>
      <c r="D40" s="91">
        <v>1953</v>
      </c>
      <c r="E40" s="91"/>
      <c r="F40" s="91" t="s">
        <v>269</v>
      </c>
      <c r="G40" s="91" t="s">
        <v>305</v>
      </c>
      <c r="H40" s="91" t="s">
        <v>305</v>
      </c>
      <c r="I40" s="93">
        <v>755.8</v>
      </c>
      <c r="J40" s="93">
        <v>690.5</v>
      </c>
      <c r="K40" s="93">
        <f>J40-298.6</f>
        <v>391.9</v>
      </c>
      <c r="L40" s="96">
        <v>20</v>
      </c>
      <c r="M40" s="91" t="s">
        <v>268</v>
      </c>
      <c r="N40" s="91" t="s">
        <v>270</v>
      </c>
      <c r="O40" s="92">
        <v>2144299</v>
      </c>
      <c r="P40" s="92">
        <f t="shared" si="0"/>
        <v>2837.1249007673991</v>
      </c>
      <c r="Q40" s="128">
        <v>3717.5986738555171</v>
      </c>
    </row>
    <row r="41" spans="1:17" ht="35.25" x14ac:dyDescent="0.4">
      <c r="B41" s="95" t="s">
        <v>846</v>
      </c>
      <c r="C41" s="95"/>
      <c r="D41" s="91" t="s">
        <v>896</v>
      </c>
      <c r="E41" s="91" t="s">
        <v>896</v>
      </c>
      <c r="F41" s="91" t="s">
        <v>896</v>
      </c>
      <c r="G41" s="91" t="s">
        <v>896</v>
      </c>
      <c r="H41" s="91" t="s">
        <v>896</v>
      </c>
      <c r="I41" s="93">
        <f>I42</f>
        <v>1840.2</v>
      </c>
      <c r="J41" s="93">
        <f>J42</f>
        <v>1840.2</v>
      </c>
      <c r="K41" s="93">
        <f>K42</f>
        <v>1695.4</v>
      </c>
      <c r="L41" s="96">
        <f>L42</f>
        <v>77</v>
      </c>
      <c r="M41" s="91" t="s">
        <v>896</v>
      </c>
      <c r="N41" s="91" t="s">
        <v>896</v>
      </c>
      <c r="O41" s="92">
        <v>97672.62</v>
      </c>
      <c r="P41" s="92">
        <f t="shared" si="0"/>
        <v>53.077176393870225</v>
      </c>
      <c r="Q41" s="128">
        <f>MAX(Q42)</f>
        <v>53.077176393870225</v>
      </c>
    </row>
    <row r="42" spans="1:17" ht="35.25" x14ac:dyDescent="0.5">
      <c r="A42" s="6">
        <v>1</v>
      </c>
      <c r="B42" s="90">
        <f>SUBTOTAL(103,$A$13:A42)</f>
        <v>21</v>
      </c>
      <c r="C42" s="95" t="s">
        <v>1034</v>
      </c>
      <c r="D42" s="91">
        <v>1986</v>
      </c>
      <c r="E42" s="91"/>
      <c r="F42" s="91" t="s">
        <v>269</v>
      </c>
      <c r="G42" s="91" t="s">
        <v>314</v>
      </c>
      <c r="H42" s="91" t="s">
        <v>314</v>
      </c>
      <c r="I42" s="93">
        <v>1840.2</v>
      </c>
      <c r="J42" s="93">
        <v>1840.2</v>
      </c>
      <c r="K42" s="93">
        <f>J42-144.8</f>
        <v>1695.4</v>
      </c>
      <c r="L42" s="96">
        <v>77</v>
      </c>
      <c r="M42" s="91" t="s">
        <v>343</v>
      </c>
      <c r="N42" s="91" t="s">
        <v>1065</v>
      </c>
      <c r="O42" s="92">
        <v>97672.62</v>
      </c>
      <c r="P42" s="92">
        <f t="shared" si="0"/>
        <v>53.077176393870225</v>
      </c>
      <c r="Q42" s="128">
        <v>53.077176393870225</v>
      </c>
    </row>
    <row r="43" spans="1:17" ht="35.25" x14ac:dyDescent="0.4">
      <c r="B43" s="95" t="s">
        <v>1053</v>
      </c>
      <c r="C43" s="95"/>
      <c r="D43" s="91" t="s">
        <v>896</v>
      </c>
      <c r="E43" s="91" t="s">
        <v>896</v>
      </c>
      <c r="F43" s="91" t="s">
        <v>896</v>
      </c>
      <c r="G43" s="91" t="s">
        <v>896</v>
      </c>
      <c r="H43" s="91" t="s">
        <v>896</v>
      </c>
      <c r="I43" s="93">
        <f>I44+I45+I46</f>
        <v>1621.7</v>
      </c>
      <c r="J43" s="93">
        <f>J44+J45+J46</f>
        <v>1475.1999999999998</v>
      </c>
      <c r="K43" s="93">
        <f>K44+K45+K46</f>
        <v>1246.9000000000001</v>
      </c>
      <c r="L43" s="96">
        <f>L44+L45+L46</f>
        <v>58</v>
      </c>
      <c r="M43" s="91" t="s">
        <v>896</v>
      </c>
      <c r="N43" s="91" t="s">
        <v>896</v>
      </c>
      <c r="O43" s="92">
        <v>7637123.5900000008</v>
      </c>
      <c r="P43" s="92">
        <f t="shared" si="0"/>
        <v>4709.3319294567436</v>
      </c>
      <c r="Q43" s="128">
        <f>MAX(Q44:Q46)</f>
        <v>5660.4420122824977</v>
      </c>
    </row>
    <row r="44" spans="1:17" ht="35.25" x14ac:dyDescent="0.5">
      <c r="A44" s="6">
        <v>1</v>
      </c>
      <c r="B44" s="90">
        <f>SUBTOTAL(103,$A$13:A44)</f>
        <v>22</v>
      </c>
      <c r="C44" s="95" t="s">
        <v>1035</v>
      </c>
      <c r="D44" s="91">
        <v>1950</v>
      </c>
      <c r="E44" s="91"/>
      <c r="F44" s="91" t="s">
        <v>269</v>
      </c>
      <c r="G44" s="91" t="s">
        <v>305</v>
      </c>
      <c r="H44" s="91" t="s">
        <v>306</v>
      </c>
      <c r="I44" s="93">
        <v>488.5</v>
      </c>
      <c r="J44" s="93">
        <v>433.9</v>
      </c>
      <c r="K44" s="93">
        <f>J44-53.4</f>
        <v>380.5</v>
      </c>
      <c r="L44" s="96">
        <v>18</v>
      </c>
      <c r="M44" s="91" t="s">
        <v>271</v>
      </c>
      <c r="N44" s="91" t="s">
        <v>323</v>
      </c>
      <c r="O44" s="92">
        <v>2406352.7599999998</v>
      </c>
      <c r="P44" s="92">
        <f t="shared" si="0"/>
        <v>4926.003602865916</v>
      </c>
      <c r="Q44" s="128">
        <v>5660.4420122824977</v>
      </c>
    </row>
    <row r="45" spans="1:17" ht="35.25" x14ac:dyDescent="0.5">
      <c r="A45" s="6">
        <v>1</v>
      </c>
      <c r="B45" s="90">
        <f>SUBTOTAL(103,$A$13:A45)</f>
        <v>23</v>
      </c>
      <c r="C45" s="95" t="s">
        <v>1036</v>
      </c>
      <c r="D45" s="91">
        <v>1956</v>
      </c>
      <c r="E45" s="91"/>
      <c r="F45" s="91" t="s">
        <v>269</v>
      </c>
      <c r="G45" s="91" t="s">
        <v>305</v>
      </c>
      <c r="H45" s="91" t="s">
        <v>306</v>
      </c>
      <c r="I45" s="93">
        <v>567.9</v>
      </c>
      <c r="J45" s="93">
        <v>524.79999999999995</v>
      </c>
      <c r="K45" s="93">
        <f>J45-79.8</f>
        <v>444.99999999999994</v>
      </c>
      <c r="L45" s="96">
        <v>13</v>
      </c>
      <c r="M45" s="91" t="s">
        <v>271</v>
      </c>
      <c r="N45" s="91" t="s">
        <v>323</v>
      </c>
      <c r="O45" s="92">
        <v>2491755.89</v>
      </c>
      <c r="P45" s="92">
        <f t="shared" si="0"/>
        <v>4387.6666490579328</v>
      </c>
      <c r="Q45" s="128">
        <v>5533.7478077126252</v>
      </c>
    </row>
    <row r="46" spans="1:17" ht="35.25" x14ac:dyDescent="0.5">
      <c r="A46" s="6">
        <v>1</v>
      </c>
      <c r="B46" s="90">
        <f>SUBTOTAL(103,$A$13:A46)</f>
        <v>24</v>
      </c>
      <c r="C46" s="95" t="s">
        <v>1037</v>
      </c>
      <c r="D46" s="91">
        <v>1963</v>
      </c>
      <c r="E46" s="91"/>
      <c r="F46" s="91" t="s">
        <v>269</v>
      </c>
      <c r="G46" s="91" t="s">
        <v>305</v>
      </c>
      <c r="H46" s="91" t="s">
        <v>305</v>
      </c>
      <c r="I46" s="93">
        <v>565.29999999999995</v>
      </c>
      <c r="J46" s="93">
        <v>516.5</v>
      </c>
      <c r="K46" s="93">
        <f>J46-95.1</f>
        <v>421.4</v>
      </c>
      <c r="L46" s="96">
        <v>27</v>
      </c>
      <c r="M46" s="91" t="s">
        <v>271</v>
      </c>
      <c r="N46" s="91" t="s">
        <v>329</v>
      </c>
      <c r="O46" s="92">
        <v>2739014.9400000004</v>
      </c>
      <c r="P46" s="92">
        <f t="shared" si="0"/>
        <v>4845.2413585706718</v>
      </c>
      <c r="Q46" s="128">
        <v>5481.6806120643905</v>
      </c>
    </row>
    <row r="47" spans="1:17" ht="35.25" x14ac:dyDescent="0.4">
      <c r="B47" s="95" t="s">
        <v>1054</v>
      </c>
      <c r="C47" s="95"/>
      <c r="D47" s="91" t="s">
        <v>896</v>
      </c>
      <c r="E47" s="91" t="s">
        <v>896</v>
      </c>
      <c r="F47" s="91" t="s">
        <v>896</v>
      </c>
      <c r="G47" s="91" t="s">
        <v>896</v>
      </c>
      <c r="H47" s="91" t="s">
        <v>896</v>
      </c>
      <c r="I47" s="93">
        <f>I48</f>
        <v>1598.9</v>
      </c>
      <c r="J47" s="93">
        <f>J48</f>
        <v>874</v>
      </c>
      <c r="K47" s="93">
        <f>K48</f>
        <v>786.4</v>
      </c>
      <c r="L47" s="96">
        <f>L48</f>
        <v>38</v>
      </c>
      <c r="M47" s="91" t="s">
        <v>896</v>
      </c>
      <c r="N47" s="91" t="s">
        <v>896</v>
      </c>
      <c r="O47" s="92">
        <v>2434994.4500000002</v>
      </c>
      <c r="P47" s="92">
        <f t="shared" si="0"/>
        <v>1522.9185377446995</v>
      </c>
      <c r="Q47" s="128">
        <f>MAX(Q48)</f>
        <v>3053.9422102695598</v>
      </c>
    </row>
    <row r="48" spans="1:17" ht="35.25" x14ac:dyDescent="0.5">
      <c r="A48" s="6">
        <v>1</v>
      </c>
      <c r="B48" s="90">
        <f>SUBTOTAL(103,$A$13:A48)</f>
        <v>25</v>
      </c>
      <c r="C48" s="95" t="s">
        <v>1042</v>
      </c>
      <c r="D48" s="91">
        <v>1974</v>
      </c>
      <c r="E48" s="91"/>
      <c r="F48" s="91" t="s">
        <v>269</v>
      </c>
      <c r="G48" s="91" t="s">
        <v>305</v>
      </c>
      <c r="H48" s="91" t="s">
        <v>314</v>
      </c>
      <c r="I48" s="93">
        <v>1598.9</v>
      </c>
      <c r="J48" s="93">
        <v>874</v>
      </c>
      <c r="K48" s="93">
        <f>J48-87.6</f>
        <v>786.4</v>
      </c>
      <c r="L48" s="96">
        <v>38</v>
      </c>
      <c r="M48" s="91" t="s">
        <v>271</v>
      </c>
      <c r="N48" s="91" t="s">
        <v>296</v>
      </c>
      <c r="O48" s="92">
        <v>2434994.4500000002</v>
      </c>
      <c r="P48" s="92">
        <f t="shared" si="0"/>
        <v>1522.9185377446995</v>
      </c>
      <c r="Q48" s="128">
        <v>3053.9422102695598</v>
      </c>
    </row>
    <row r="49" spans="1:17" ht="35.25" x14ac:dyDescent="0.4">
      <c r="B49" s="95" t="s">
        <v>857</v>
      </c>
      <c r="C49" s="95"/>
      <c r="D49" s="91" t="s">
        <v>896</v>
      </c>
      <c r="E49" s="91" t="s">
        <v>896</v>
      </c>
      <c r="F49" s="91" t="s">
        <v>896</v>
      </c>
      <c r="G49" s="91" t="s">
        <v>896</v>
      </c>
      <c r="H49" s="91" t="s">
        <v>896</v>
      </c>
      <c r="I49" s="93">
        <f>I50</f>
        <v>465</v>
      </c>
      <c r="J49" s="93">
        <f>J50</f>
        <v>424.6</v>
      </c>
      <c r="K49" s="93">
        <f>K50</f>
        <v>175.8</v>
      </c>
      <c r="L49" s="96">
        <f>L50</f>
        <v>26</v>
      </c>
      <c r="M49" s="91" t="s">
        <v>896</v>
      </c>
      <c r="N49" s="91" t="s">
        <v>896</v>
      </c>
      <c r="O49" s="92">
        <v>89459.11</v>
      </c>
      <c r="P49" s="92">
        <f t="shared" si="0"/>
        <v>192.38518279569894</v>
      </c>
      <c r="Q49" s="128">
        <f>MAX(Q50)</f>
        <v>192.38518279569894</v>
      </c>
    </row>
    <row r="50" spans="1:17" ht="35.25" x14ac:dyDescent="0.5">
      <c r="A50" s="6">
        <v>1</v>
      </c>
      <c r="B50" s="90">
        <f>SUBTOTAL(103,$A$13:A50)</f>
        <v>26</v>
      </c>
      <c r="C50" s="95" t="s">
        <v>1038</v>
      </c>
      <c r="D50" s="91">
        <v>1953</v>
      </c>
      <c r="E50" s="91"/>
      <c r="F50" s="91" t="s">
        <v>269</v>
      </c>
      <c r="G50" s="91" t="s">
        <v>305</v>
      </c>
      <c r="H50" s="91" t="s">
        <v>306</v>
      </c>
      <c r="I50" s="93">
        <v>465</v>
      </c>
      <c r="J50" s="93">
        <v>424.6</v>
      </c>
      <c r="K50" s="93">
        <f>J50-248.8</f>
        <v>175.8</v>
      </c>
      <c r="L50" s="96">
        <v>26</v>
      </c>
      <c r="M50" s="91" t="s">
        <v>268</v>
      </c>
      <c r="N50" s="91" t="s">
        <v>270</v>
      </c>
      <c r="O50" s="92">
        <v>89459.11</v>
      </c>
      <c r="P50" s="92">
        <f t="shared" si="0"/>
        <v>192.38518279569894</v>
      </c>
      <c r="Q50" s="128">
        <v>192.38518279569894</v>
      </c>
    </row>
    <row r="51" spans="1:17" ht="35.25" x14ac:dyDescent="0.4">
      <c r="B51" s="95" t="s">
        <v>863</v>
      </c>
      <c r="C51" s="95"/>
      <c r="D51" s="91" t="s">
        <v>896</v>
      </c>
      <c r="E51" s="91" t="s">
        <v>896</v>
      </c>
      <c r="F51" s="91" t="s">
        <v>896</v>
      </c>
      <c r="G51" s="91" t="s">
        <v>896</v>
      </c>
      <c r="H51" s="91" t="s">
        <v>896</v>
      </c>
      <c r="I51" s="93">
        <f>I52</f>
        <v>861.5</v>
      </c>
      <c r="J51" s="93">
        <f>J52</f>
        <v>861.5</v>
      </c>
      <c r="K51" s="93">
        <f>K52</f>
        <v>816.5</v>
      </c>
      <c r="L51" s="96">
        <f>L52</f>
        <v>31</v>
      </c>
      <c r="M51" s="91" t="s">
        <v>896</v>
      </c>
      <c r="N51" s="91" t="s">
        <v>896</v>
      </c>
      <c r="O51" s="92">
        <v>3168456.39</v>
      </c>
      <c r="P51" s="92">
        <f t="shared" si="0"/>
        <v>3677.8367846778874</v>
      </c>
      <c r="Q51" s="128">
        <f>MAX(Q52)</f>
        <v>6351.0227045850261</v>
      </c>
    </row>
    <row r="52" spans="1:17" ht="35.25" x14ac:dyDescent="0.5">
      <c r="A52" s="6">
        <v>1</v>
      </c>
      <c r="B52" s="90">
        <f>SUBTOTAL(103,$A$13:A52)</f>
        <v>27</v>
      </c>
      <c r="C52" s="95" t="s">
        <v>1041</v>
      </c>
      <c r="D52" s="91">
        <v>1980</v>
      </c>
      <c r="E52" s="91"/>
      <c r="F52" s="91" t="s">
        <v>269</v>
      </c>
      <c r="G52" s="91" t="s">
        <v>305</v>
      </c>
      <c r="H52" s="91" t="s">
        <v>314</v>
      </c>
      <c r="I52" s="93">
        <v>861.5</v>
      </c>
      <c r="J52" s="93">
        <v>861.5</v>
      </c>
      <c r="K52" s="93">
        <f>J52-45</f>
        <v>816.5</v>
      </c>
      <c r="L52" s="96">
        <v>31</v>
      </c>
      <c r="M52" s="91" t="s">
        <v>271</v>
      </c>
      <c r="N52" s="91" t="s">
        <v>284</v>
      </c>
      <c r="O52" s="92">
        <v>3168456.39</v>
      </c>
      <c r="P52" s="92">
        <f t="shared" si="0"/>
        <v>3677.8367846778874</v>
      </c>
      <c r="Q52" s="128">
        <v>6351.0227045850261</v>
      </c>
    </row>
    <row r="53" spans="1:17" ht="35.25" x14ac:dyDescent="0.4">
      <c r="B53" s="95" t="s">
        <v>865</v>
      </c>
      <c r="C53" s="95"/>
      <c r="D53" s="91" t="s">
        <v>896</v>
      </c>
      <c r="E53" s="91" t="s">
        <v>896</v>
      </c>
      <c r="F53" s="91" t="s">
        <v>896</v>
      </c>
      <c r="G53" s="91" t="s">
        <v>896</v>
      </c>
      <c r="H53" s="91" t="s">
        <v>896</v>
      </c>
      <c r="I53" s="93">
        <f>I55+I54+I56</f>
        <v>2249.1999999999998</v>
      </c>
      <c r="J53" s="93">
        <f>J55+J54+J56</f>
        <v>2068.4</v>
      </c>
      <c r="K53" s="93">
        <f>K55+K54+K56</f>
        <v>2023.6000000000001</v>
      </c>
      <c r="L53" s="96">
        <f>L55+L54+L56</f>
        <v>104</v>
      </c>
      <c r="M53" s="91" t="s">
        <v>896</v>
      </c>
      <c r="N53" s="91" t="s">
        <v>896</v>
      </c>
      <c r="O53" s="92">
        <v>4973352.16</v>
      </c>
      <c r="P53" s="92">
        <f t="shared" si="0"/>
        <v>2211.1649297528011</v>
      </c>
      <c r="Q53" s="128">
        <f>MAX(Q54:Q56)</f>
        <v>5314.8823866446828</v>
      </c>
    </row>
    <row r="54" spans="1:17" ht="35.25" x14ac:dyDescent="0.5">
      <c r="A54" s="6">
        <v>1</v>
      </c>
      <c r="B54" s="90">
        <f>SUBTOTAL(103,$A$13:A54)</f>
        <v>28</v>
      </c>
      <c r="C54" s="95" t="s">
        <v>1084</v>
      </c>
      <c r="D54" s="91">
        <v>1980</v>
      </c>
      <c r="E54" s="91"/>
      <c r="F54" s="91" t="s">
        <v>320</v>
      </c>
      <c r="G54" s="91" t="s">
        <v>314</v>
      </c>
      <c r="H54" s="91" t="s">
        <v>314</v>
      </c>
      <c r="I54" s="93">
        <v>1481.6</v>
      </c>
      <c r="J54" s="93">
        <v>1361.4</v>
      </c>
      <c r="K54" s="93">
        <v>1361.4</v>
      </c>
      <c r="L54" s="96">
        <v>70</v>
      </c>
      <c r="M54" s="91" t="s">
        <v>268</v>
      </c>
      <c r="N54" s="91" t="s">
        <v>270</v>
      </c>
      <c r="O54" s="92">
        <v>1928055.1199999999</v>
      </c>
      <c r="P54" s="92">
        <f t="shared" si="0"/>
        <v>1301.3330993520519</v>
      </c>
      <c r="Q54" s="128">
        <v>2416.3589748920085</v>
      </c>
    </row>
    <row r="55" spans="1:17" ht="35.25" x14ac:dyDescent="0.5">
      <c r="A55" s="6">
        <v>1</v>
      </c>
      <c r="B55" s="90">
        <f>SUBTOTAL(103,$A$13:A55)</f>
        <v>29</v>
      </c>
      <c r="C55" s="95" t="s">
        <v>1039</v>
      </c>
      <c r="D55" s="91">
        <v>1970</v>
      </c>
      <c r="E55" s="91"/>
      <c r="F55" s="91" t="s">
        <v>269</v>
      </c>
      <c r="G55" s="91" t="s">
        <v>305</v>
      </c>
      <c r="H55" s="91" t="s">
        <v>306</v>
      </c>
      <c r="I55" s="93">
        <v>403.7</v>
      </c>
      <c r="J55" s="93">
        <v>373</v>
      </c>
      <c r="K55" s="93">
        <f>J55-44.8</f>
        <v>328.2</v>
      </c>
      <c r="L55" s="96">
        <v>20</v>
      </c>
      <c r="M55" s="91" t="s">
        <v>268</v>
      </c>
      <c r="N55" s="91" t="s">
        <v>270</v>
      </c>
      <c r="O55" s="92">
        <v>1654265.04</v>
      </c>
      <c r="P55" s="92">
        <f t="shared" si="0"/>
        <v>4097.7583353975724</v>
      </c>
      <c r="Q55" s="128">
        <v>4097.7583353975724</v>
      </c>
    </row>
    <row r="56" spans="1:17" ht="35.25" x14ac:dyDescent="0.5">
      <c r="A56" s="6">
        <v>1</v>
      </c>
      <c r="B56" s="90">
        <f>SUBTOTAL(103,$A$13:A56)</f>
        <v>30</v>
      </c>
      <c r="C56" s="95" t="s">
        <v>192</v>
      </c>
      <c r="D56" s="91">
        <v>1968</v>
      </c>
      <c r="E56" s="91"/>
      <c r="F56" s="91" t="s">
        <v>269</v>
      </c>
      <c r="G56" s="91" t="s">
        <v>305</v>
      </c>
      <c r="H56" s="91" t="s">
        <v>306</v>
      </c>
      <c r="I56" s="93">
        <v>363.9</v>
      </c>
      <c r="J56" s="93">
        <v>334</v>
      </c>
      <c r="K56" s="93">
        <v>334</v>
      </c>
      <c r="L56" s="96">
        <v>14</v>
      </c>
      <c r="M56" s="91" t="s">
        <v>268</v>
      </c>
      <c r="N56" s="91" t="s">
        <v>270</v>
      </c>
      <c r="O56" s="92">
        <v>1391032.0000000002</v>
      </c>
      <c r="P56" s="92">
        <f t="shared" si="0"/>
        <v>3822.5666391865907</v>
      </c>
      <c r="Q56" s="128">
        <v>5314.8823866446828</v>
      </c>
    </row>
    <row r="57" spans="1:17" ht="35.25" x14ac:dyDescent="0.4">
      <c r="B57" s="95" t="s">
        <v>864</v>
      </c>
      <c r="C57" s="95"/>
      <c r="D57" s="91" t="s">
        <v>896</v>
      </c>
      <c r="E57" s="91" t="s">
        <v>896</v>
      </c>
      <c r="F57" s="91" t="s">
        <v>896</v>
      </c>
      <c r="G57" s="91" t="s">
        <v>896</v>
      </c>
      <c r="H57" s="91" t="s">
        <v>896</v>
      </c>
      <c r="I57" s="93">
        <f>I58</f>
        <v>940.4</v>
      </c>
      <c r="J57" s="93">
        <f>J58</f>
        <v>940.4</v>
      </c>
      <c r="K57" s="93">
        <f>K58</f>
        <v>940.4</v>
      </c>
      <c r="L57" s="96">
        <f>L58</f>
        <v>26</v>
      </c>
      <c r="M57" s="91" t="s">
        <v>896</v>
      </c>
      <c r="N57" s="91" t="s">
        <v>896</v>
      </c>
      <c r="O57" s="92">
        <v>1664467.67</v>
      </c>
      <c r="P57" s="92">
        <f t="shared" si="0"/>
        <v>1769.9571139940451</v>
      </c>
      <c r="Q57" s="128">
        <f>MAX(Q58)</f>
        <v>3637.6869688430461</v>
      </c>
    </row>
    <row r="58" spans="1:17" ht="35.25" x14ac:dyDescent="0.5">
      <c r="A58" s="6">
        <v>1</v>
      </c>
      <c r="B58" s="90">
        <f>SUBTOTAL(103,$A$13:A58)</f>
        <v>31</v>
      </c>
      <c r="C58" s="95" t="s">
        <v>1075</v>
      </c>
      <c r="D58" s="91">
        <v>1987</v>
      </c>
      <c r="E58" s="91"/>
      <c r="F58" s="91" t="s">
        <v>269</v>
      </c>
      <c r="G58" s="97" t="s">
        <v>305</v>
      </c>
      <c r="H58" s="97" t="s">
        <v>305</v>
      </c>
      <c r="I58" s="93">
        <v>940.4</v>
      </c>
      <c r="J58" s="93">
        <v>940.4</v>
      </c>
      <c r="K58" s="93">
        <f>J58</f>
        <v>940.4</v>
      </c>
      <c r="L58" s="96">
        <v>26</v>
      </c>
      <c r="M58" s="91" t="s">
        <v>271</v>
      </c>
      <c r="N58" s="91" t="s">
        <v>1077</v>
      </c>
      <c r="O58" s="92">
        <v>1664467.67</v>
      </c>
      <c r="P58" s="92">
        <f t="shared" si="0"/>
        <v>1769.9571139940451</v>
      </c>
      <c r="Q58" s="128">
        <v>3637.6869688430461</v>
      </c>
    </row>
    <row r="59" spans="1:17" ht="35.25" x14ac:dyDescent="0.5">
      <c r="B59" s="292" t="s">
        <v>840</v>
      </c>
      <c r="C59" s="95"/>
      <c r="D59" s="91" t="s">
        <v>896</v>
      </c>
      <c r="E59" s="91" t="s">
        <v>896</v>
      </c>
      <c r="F59" s="91" t="s">
        <v>896</v>
      </c>
      <c r="G59" s="97" t="s">
        <v>896</v>
      </c>
      <c r="H59" s="97" t="s">
        <v>896</v>
      </c>
      <c r="I59" s="93">
        <f>I60</f>
        <v>1743.7</v>
      </c>
      <c r="J59" s="93">
        <f>J60</f>
        <v>1552.6</v>
      </c>
      <c r="K59" s="93">
        <f>K60</f>
        <v>1552.6</v>
      </c>
      <c r="L59" s="96">
        <f>L60</f>
        <v>65</v>
      </c>
      <c r="M59" s="91" t="s">
        <v>896</v>
      </c>
      <c r="N59" s="91" t="s">
        <v>896</v>
      </c>
      <c r="O59" s="92">
        <v>119901.4</v>
      </c>
      <c r="P59" s="92">
        <f t="shared" si="0"/>
        <v>68.762631186557314</v>
      </c>
      <c r="Q59" s="128">
        <f>MAX(Q60)</f>
        <v>68.762631186557314</v>
      </c>
    </row>
    <row r="60" spans="1:17" ht="35.25" x14ac:dyDescent="0.5">
      <c r="A60" s="6">
        <v>1</v>
      </c>
      <c r="B60" s="90">
        <f>SUBTOTAL(103,$A$13:A60)</f>
        <v>32</v>
      </c>
      <c r="C60" s="95" t="s">
        <v>1408</v>
      </c>
      <c r="D60" s="91">
        <v>1978</v>
      </c>
      <c r="E60" s="91"/>
      <c r="F60" s="91" t="s">
        <v>269</v>
      </c>
      <c r="G60" s="97" t="s">
        <v>314</v>
      </c>
      <c r="H60" s="97" t="s">
        <v>314</v>
      </c>
      <c r="I60" s="93">
        <v>1743.7</v>
      </c>
      <c r="J60" s="93">
        <v>1552.6</v>
      </c>
      <c r="K60" s="93">
        <f>J60</f>
        <v>1552.6</v>
      </c>
      <c r="L60" s="96">
        <v>65</v>
      </c>
      <c r="M60" s="91" t="s">
        <v>271</v>
      </c>
      <c r="N60" s="91" t="s">
        <v>816</v>
      </c>
      <c r="O60" s="92">
        <v>119901.4</v>
      </c>
      <c r="P60" s="92">
        <f t="shared" si="0"/>
        <v>68.762631186557314</v>
      </c>
      <c r="Q60" s="128">
        <v>68.762631186557314</v>
      </c>
    </row>
    <row r="61" spans="1:17" ht="35.25" x14ac:dyDescent="0.5">
      <c r="B61" s="292" t="s">
        <v>876</v>
      </c>
      <c r="C61" s="95"/>
      <c r="D61" s="91" t="s">
        <v>896</v>
      </c>
      <c r="E61" s="91" t="s">
        <v>896</v>
      </c>
      <c r="F61" s="91" t="s">
        <v>896</v>
      </c>
      <c r="G61" s="97" t="s">
        <v>896</v>
      </c>
      <c r="H61" s="97" t="s">
        <v>896</v>
      </c>
      <c r="I61" s="93">
        <f>I62</f>
        <v>1105.0999999999999</v>
      </c>
      <c r="J61" s="93">
        <f>J62</f>
        <v>953.3</v>
      </c>
      <c r="K61" s="93">
        <f>K62</f>
        <v>870.1</v>
      </c>
      <c r="L61" s="96">
        <f>L62</f>
        <v>44</v>
      </c>
      <c r="M61" s="91" t="s">
        <v>896</v>
      </c>
      <c r="N61" s="91" t="s">
        <v>896</v>
      </c>
      <c r="O61" s="92">
        <v>603261.75</v>
      </c>
      <c r="P61" s="92">
        <f t="shared" si="0"/>
        <v>545.88883358972043</v>
      </c>
      <c r="Q61" s="128">
        <f>MAX(Q62)</f>
        <v>810.46</v>
      </c>
    </row>
    <row r="62" spans="1:17" ht="35.25" x14ac:dyDescent="0.5">
      <c r="A62" s="6">
        <v>1</v>
      </c>
      <c r="B62" s="90">
        <f>SUBTOTAL(103,$A$13:A62)</f>
        <v>33</v>
      </c>
      <c r="C62" s="95" t="s">
        <v>1409</v>
      </c>
      <c r="D62" s="91">
        <v>1979</v>
      </c>
      <c r="E62" s="91"/>
      <c r="F62" s="91" t="s">
        <v>269</v>
      </c>
      <c r="G62" s="97" t="s">
        <v>305</v>
      </c>
      <c r="H62" s="97" t="s">
        <v>314</v>
      </c>
      <c r="I62" s="93">
        <v>1105.0999999999999</v>
      </c>
      <c r="J62" s="93">
        <v>953.3</v>
      </c>
      <c r="K62" s="93">
        <v>870.1</v>
      </c>
      <c r="L62" s="96">
        <v>44</v>
      </c>
      <c r="M62" s="91" t="s">
        <v>271</v>
      </c>
      <c r="N62" s="91" t="s">
        <v>1364</v>
      </c>
      <c r="O62" s="92">
        <v>603261.75</v>
      </c>
      <c r="P62" s="92">
        <f t="shared" si="0"/>
        <v>545.88883358972043</v>
      </c>
      <c r="Q62" s="128">
        <v>810.46</v>
      </c>
    </row>
    <row r="63" spans="1:17" ht="35.25" x14ac:dyDescent="0.4">
      <c r="B63" s="94" t="s">
        <v>1959</v>
      </c>
      <c r="C63" s="291"/>
      <c r="D63" s="91" t="s">
        <v>896</v>
      </c>
      <c r="E63" s="91" t="s">
        <v>896</v>
      </c>
      <c r="F63" s="91" t="s">
        <v>896</v>
      </c>
      <c r="G63" s="91" t="s">
        <v>896</v>
      </c>
      <c r="H63" s="91" t="s">
        <v>896</v>
      </c>
      <c r="I63" s="93">
        <f>I64+I68+I70+I72+I76+I78+I80+I82</f>
        <v>9357.5</v>
      </c>
      <c r="J63" s="93">
        <f t="shared" ref="J63:L63" si="2">J64+J68+J70+J72+J76+J78+J80+J82</f>
        <v>7976.1</v>
      </c>
      <c r="K63" s="93">
        <f t="shared" si="2"/>
        <v>7286.1</v>
      </c>
      <c r="L63" s="96">
        <f t="shared" si="2"/>
        <v>424</v>
      </c>
      <c r="M63" s="91" t="s">
        <v>896</v>
      </c>
      <c r="N63" s="91" t="s">
        <v>896</v>
      </c>
      <c r="O63" s="93">
        <v>29983610.259999998</v>
      </c>
      <c r="P63" s="92">
        <f>O63/I63</f>
        <v>3204.2329959925191</v>
      </c>
      <c r="Q63" s="128">
        <f>MAX(Q64:Q83)</f>
        <v>6348.892646700755</v>
      </c>
    </row>
    <row r="64" spans="1:17" ht="35.25" x14ac:dyDescent="0.4">
      <c r="B64" s="95" t="s">
        <v>1051</v>
      </c>
      <c r="C64" s="95"/>
      <c r="D64" s="91" t="s">
        <v>896</v>
      </c>
      <c r="E64" s="91" t="s">
        <v>896</v>
      </c>
      <c r="F64" s="91" t="s">
        <v>896</v>
      </c>
      <c r="G64" s="91" t="s">
        <v>896</v>
      </c>
      <c r="H64" s="91" t="s">
        <v>896</v>
      </c>
      <c r="I64" s="93">
        <f>SUM(I65:I67)</f>
        <v>1180.5999999999999</v>
      </c>
      <c r="J64" s="93">
        <f>SUM(J65:J67)</f>
        <v>1060.7</v>
      </c>
      <c r="K64" s="93">
        <f>SUM(K65:K67)</f>
        <v>932.7</v>
      </c>
      <c r="L64" s="96">
        <f>SUM(L65:L67)</f>
        <v>60</v>
      </c>
      <c r="M64" s="91" t="s">
        <v>896</v>
      </c>
      <c r="N64" s="91" t="s">
        <v>896</v>
      </c>
      <c r="O64" s="92">
        <v>5103149.49</v>
      </c>
      <c r="P64" s="92">
        <f t="shared" ref="P64:P83" si="3">O64/I64</f>
        <v>4322.5050736913436</v>
      </c>
      <c r="Q64" s="128">
        <f>MAX(Q65:Q67)</f>
        <v>5857.940090293454</v>
      </c>
    </row>
    <row r="65" spans="1:17" ht="35.25" x14ac:dyDescent="0.5">
      <c r="A65" s="6">
        <v>1</v>
      </c>
      <c r="B65" s="90">
        <f>SUBTOTAL(103,$A$64:A65)</f>
        <v>1</v>
      </c>
      <c r="C65" s="95" t="s">
        <v>1027</v>
      </c>
      <c r="D65" s="91">
        <v>1961</v>
      </c>
      <c r="E65" s="91"/>
      <c r="F65" s="91" t="s">
        <v>269</v>
      </c>
      <c r="G65" s="91" t="s">
        <v>305</v>
      </c>
      <c r="H65" s="91" t="s">
        <v>306</v>
      </c>
      <c r="I65" s="93">
        <v>301.39999999999998</v>
      </c>
      <c r="J65" s="93">
        <v>276.5</v>
      </c>
      <c r="K65" s="93">
        <f>J65-38</f>
        <v>238.5</v>
      </c>
      <c r="L65" s="96">
        <v>16</v>
      </c>
      <c r="M65" s="91" t="s">
        <v>271</v>
      </c>
      <c r="N65" s="91" t="s">
        <v>1003</v>
      </c>
      <c r="O65" s="92">
        <v>1063050</v>
      </c>
      <c r="P65" s="92">
        <f t="shared" si="3"/>
        <v>3527.0404777704052</v>
      </c>
      <c r="Q65" s="128">
        <v>5337.9855009953553</v>
      </c>
    </row>
    <row r="66" spans="1:17" ht="35.25" x14ac:dyDescent="0.5">
      <c r="A66" s="6">
        <v>1</v>
      </c>
      <c r="B66" s="90">
        <f>SUBTOTAL(103,$A$64:A66)</f>
        <v>2</v>
      </c>
      <c r="C66" s="89" t="s">
        <v>1090</v>
      </c>
      <c r="D66" s="91">
        <v>1956</v>
      </c>
      <c r="E66" s="91"/>
      <c r="F66" s="91" t="s">
        <v>269</v>
      </c>
      <c r="G66" s="91" t="s">
        <v>305</v>
      </c>
      <c r="H66" s="91" t="s">
        <v>306</v>
      </c>
      <c r="I66" s="93">
        <v>443</v>
      </c>
      <c r="J66" s="93">
        <v>397.1</v>
      </c>
      <c r="K66" s="93">
        <v>353.4</v>
      </c>
      <c r="L66" s="96">
        <v>24</v>
      </c>
      <c r="M66" s="91" t="s">
        <v>271</v>
      </c>
      <c r="N66" s="91" t="s">
        <v>1082</v>
      </c>
      <c r="O66" s="92">
        <v>2595067.46</v>
      </c>
      <c r="P66" s="92">
        <f t="shared" si="3"/>
        <v>5857.940090293454</v>
      </c>
      <c r="Q66" s="128">
        <v>5857.940090293454</v>
      </c>
    </row>
    <row r="67" spans="1:17" ht="35.25" x14ac:dyDescent="0.5">
      <c r="A67" s="6">
        <v>1</v>
      </c>
      <c r="B67" s="90">
        <f>SUBTOTAL(103,$A$64:A67)</f>
        <v>3</v>
      </c>
      <c r="C67" s="89" t="s">
        <v>1406</v>
      </c>
      <c r="D67" s="91">
        <v>1957</v>
      </c>
      <c r="E67" s="91"/>
      <c r="F67" s="91" t="s">
        <v>269</v>
      </c>
      <c r="G67" s="91" t="s">
        <v>305</v>
      </c>
      <c r="H67" s="91" t="s">
        <v>306</v>
      </c>
      <c r="I67" s="93">
        <v>436.2</v>
      </c>
      <c r="J67" s="93">
        <v>387.1</v>
      </c>
      <c r="K67" s="93">
        <v>340.8</v>
      </c>
      <c r="L67" s="96">
        <v>20</v>
      </c>
      <c r="M67" s="91" t="s">
        <v>271</v>
      </c>
      <c r="N67" s="91" t="s">
        <v>1407</v>
      </c>
      <c r="O67" s="92">
        <v>1445032.0299999998</v>
      </c>
      <c r="P67" s="92">
        <f t="shared" si="3"/>
        <v>3312.774025676295</v>
      </c>
      <c r="Q67" s="128">
        <v>5380.864366574966</v>
      </c>
    </row>
    <row r="68" spans="1:17" ht="35.25" x14ac:dyDescent="0.4">
      <c r="B68" s="95" t="s">
        <v>830</v>
      </c>
      <c r="C68" s="95"/>
      <c r="D68" s="91" t="s">
        <v>896</v>
      </c>
      <c r="E68" s="91" t="s">
        <v>896</v>
      </c>
      <c r="F68" s="91" t="s">
        <v>896</v>
      </c>
      <c r="G68" s="91" t="s">
        <v>896</v>
      </c>
      <c r="H68" s="91" t="s">
        <v>896</v>
      </c>
      <c r="I68" s="93">
        <f>I69</f>
        <v>366.5</v>
      </c>
      <c r="J68" s="93">
        <f>J69</f>
        <v>336.9</v>
      </c>
      <c r="K68" s="93">
        <f>K69</f>
        <v>336.9</v>
      </c>
      <c r="L68" s="96">
        <f>L69</f>
        <v>25</v>
      </c>
      <c r="M68" s="91" t="s">
        <v>896</v>
      </c>
      <c r="N68" s="91" t="s">
        <v>896</v>
      </c>
      <c r="O68" s="92">
        <v>1315440</v>
      </c>
      <c r="P68" s="92">
        <f t="shared" si="3"/>
        <v>3589.1950886766713</v>
      </c>
      <c r="Q68" s="128">
        <f>Q69</f>
        <v>5001.319596180082</v>
      </c>
    </row>
    <row r="69" spans="1:17" ht="35.25" x14ac:dyDescent="0.5">
      <c r="A69" s="6">
        <v>1</v>
      </c>
      <c r="B69" s="90">
        <f>SUBTOTAL(103,$A$64:A69)</f>
        <v>4</v>
      </c>
      <c r="C69" s="95" t="s">
        <v>1028</v>
      </c>
      <c r="D69" s="91">
        <v>1971</v>
      </c>
      <c r="E69" s="91"/>
      <c r="F69" s="91" t="s">
        <v>269</v>
      </c>
      <c r="G69" s="91" t="s">
        <v>305</v>
      </c>
      <c r="H69" s="91" t="s">
        <v>306</v>
      </c>
      <c r="I69" s="93">
        <v>366.5</v>
      </c>
      <c r="J69" s="93">
        <v>336.9</v>
      </c>
      <c r="K69" s="93">
        <f>J69</f>
        <v>336.9</v>
      </c>
      <c r="L69" s="96">
        <f t="shared" ref="L69:L70" si="4">L70</f>
        <v>25</v>
      </c>
      <c r="M69" s="91" t="s">
        <v>271</v>
      </c>
      <c r="N69" s="91" t="s">
        <v>335</v>
      </c>
      <c r="O69" s="92">
        <v>1315440</v>
      </c>
      <c r="P69" s="92">
        <f t="shared" si="3"/>
        <v>3589.1950886766713</v>
      </c>
      <c r="Q69" s="128">
        <v>5001.319596180082</v>
      </c>
    </row>
    <row r="70" spans="1:17" ht="35.25" x14ac:dyDescent="0.4">
      <c r="B70" s="95" t="s">
        <v>1052</v>
      </c>
      <c r="C70" s="95"/>
      <c r="D70" s="91" t="s">
        <v>896</v>
      </c>
      <c r="E70" s="91" t="s">
        <v>896</v>
      </c>
      <c r="F70" s="91" t="s">
        <v>896</v>
      </c>
      <c r="G70" s="91" t="s">
        <v>896</v>
      </c>
      <c r="H70" s="91" t="s">
        <v>896</v>
      </c>
      <c r="I70" s="93">
        <f>I71</f>
        <v>410.7</v>
      </c>
      <c r="J70" s="93">
        <f t="shared" ref="J70" si="5">J71</f>
        <v>379.6</v>
      </c>
      <c r="K70" s="93">
        <f t="shared" ref="K70" si="6">K71</f>
        <v>379.6</v>
      </c>
      <c r="L70" s="96">
        <f t="shared" si="4"/>
        <v>25</v>
      </c>
      <c r="M70" s="91" t="s">
        <v>896</v>
      </c>
      <c r="N70" s="91" t="s">
        <v>896</v>
      </c>
      <c r="O70" s="92">
        <v>2607490.21</v>
      </c>
      <c r="P70" s="92">
        <f t="shared" si="3"/>
        <v>6348.892646700755</v>
      </c>
      <c r="Q70" s="128">
        <f>Q71</f>
        <v>6348.892646700755</v>
      </c>
    </row>
    <row r="71" spans="1:17" ht="35.25" x14ac:dyDescent="0.5">
      <c r="A71" s="6">
        <v>1</v>
      </c>
      <c r="B71" s="90">
        <f>SUBTOTAL(103,$A$64:A71)</f>
        <v>5</v>
      </c>
      <c r="C71" s="95" t="s">
        <v>1960</v>
      </c>
      <c r="D71" s="91">
        <v>1997</v>
      </c>
      <c r="E71" s="91"/>
      <c r="F71" s="91" t="s">
        <v>269</v>
      </c>
      <c r="G71" s="91">
        <v>2</v>
      </c>
      <c r="H71" s="91">
        <v>1</v>
      </c>
      <c r="I71" s="93">
        <v>410.7</v>
      </c>
      <c r="J71" s="93">
        <v>379.6</v>
      </c>
      <c r="K71" s="93">
        <v>379.6</v>
      </c>
      <c r="L71" s="96">
        <v>25</v>
      </c>
      <c r="M71" s="91" t="s">
        <v>268</v>
      </c>
      <c r="N71" s="91" t="s">
        <v>270</v>
      </c>
      <c r="O71" s="92">
        <v>2607490.21</v>
      </c>
      <c r="P71" s="92">
        <f t="shared" si="3"/>
        <v>6348.892646700755</v>
      </c>
      <c r="Q71" s="128">
        <v>6348.892646700755</v>
      </c>
    </row>
    <row r="72" spans="1:17" ht="35.25" x14ac:dyDescent="0.4">
      <c r="B72" s="95" t="s">
        <v>766</v>
      </c>
      <c r="C72" s="95"/>
      <c r="D72" s="91" t="s">
        <v>896</v>
      </c>
      <c r="E72" s="91" t="s">
        <v>896</v>
      </c>
      <c r="F72" s="91" t="s">
        <v>896</v>
      </c>
      <c r="G72" s="91" t="s">
        <v>896</v>
      </c>
      <c r="H72" s="91" t="s">
        <v>896</v>
      </c>
      <c r="I72" s="93">
        <f>I73+I74+I75</f>
        <v>2093.1</v>
      </c>
      <c r="J72" s="93">
        <f>J73+J74+J75</f>
        <v>1649</v>
      </c>
      <c r="K72" s="93">
        <f>K73+K74+K75</f>
        <v>1480.6</v>
      </c>
      <c r="L72" s="96">
        <f>L73+L74+L75</f>
        <v>110</v>
      </c>
      <c r="M72" s="91" t="s">
        <v>896</v>
      </c>
      <c r="N72" s="91" t="s">
        <v>896</v>
      </c>
      <c r="O72" s="92">
        <v>6088266.21</v>
      </c>
      <c r="P72" s="92">
        <f t="shared" si="3"/>
        <v>2908.7316468396161</v>
      </c>
      <c r="Q72" s="128">
        <f>MAX(Q73:Q75)</f>
        <v>5421.3245399999996</v>
      </c>
    </row>
    <row r="73" spans="1:17" ht="35.25" x14ac:dyDescent="0.5">
      <c r="A73" s="6">
        <v>1</v>
      </c>
      <c r="B73" s="90">
        <f>SUBTOTAL(103,$A$64:A73)</f>
        <v>6</v>
      </c>
      <c r="C73" s="95" t="s">
        <v>1032</v>
      </c>
      <c r="D73" s="91">
        <v>1960</v>
      </c>
      <c r="E73" s="91"/>
      <c r="F73" s="91" t="s">
        <v>269</v>
      </c>
      <c r="G73" s="91" t="s">
        <v>305</v>
      </c>
      <c r="H73" s="91" t="s">
        <v>306</v>
      </c>
      <c r="I73" s="93">
        <v>306.60000000000002</v>
      </c>
      <c r="J73" s="93">
        <v>285.60000000000002</v>
      </c>
      <c r="K73" s="93">
        <f>J73-33.2</f>
        <v>252.40000000000003</v>
      </c>
      <c r="L73" s="96">
        <v>21</v>
      </c>
      <c r="M73" s="91" t="s">
        <v>268</v>
      </c>
      <c r="N73" s="91" t="s">
        <v>270</v>
      </c>
      <c r="O73" s="92">
        <v>987466.21</v>
      </c>
      <c r="P73" s="92">
        <f t="shared" si="3"/>
        <v>3220.6986627527722</v>
      </c>
      <c r="Q73" s="128">
        <v>4213.0711174168291</v>
      </c>
    </row>
    <row r="74" spans="1:17" ht="35.25" x14ac:dyDescent="0.5">
      <c r="A74" s="6">
        <v>1</v>
      </c>
      <c r="B74" s="90">
        <f>SUBTOTAL(103,$A$64:A74)</f>
        <v>7</v>
      </c>
      <c r="C74" s="95" t="s">
        <v>790</v>
      </c>
      <c r="D74" s="91">
        <v>1960</v>
      </c>
      <c r="E74" s="91"/>
      <c r="F74" s="91" t="s">
        <v>269</v>
      </c>
      <c r="G74" s="91" t="s">
        <v>314</v>
      </c>
      <c r="H74" s="91" t="s">
        <v>305</v>
      </c>
      <c r="I74" s="93">
        <v>1286.5</v>
      </c>
      <c r="J74" s="93">
        <v>881.8</v>
      </c>
      <c r="K74" s="93">
        <f>J74-65.9</f>
        <v>815.9</v>
      </c>
      <c r="L74" s="96">
        <v>39</v>
      </c>
      <c r="M74" s="91" t="s">
        <v>268</v>
      </c>
      <c r="N74" s="91" t="s">
        <v>270</v>
      </c>
      <c r="O74" s="92">
        <v>2664800</v>
      </c>
      <c r="P74" s="92">
        <f t="shared" si="3"/>
        <v>2071.3563933151963</v>
      </c>
      <c r="Q74" s="128">
        <v>2802.8522658375437</v>
      </c>
    </row>
    <row r="75" spans="1:17" ht="35.25" x14ac:dyDescent="0.5">
      <c r="A75" s="6">
        <v>1</v>
      </c>
      <c r="B75" s="90">
        <f>SUBTOTAL(103,$A$64:A75)</f>
        <v>8</v>
      </c>
      <c r="C75" s="95" t="s">
        <v>782</v>
      </c>
      <c r="D75" s="91">
        <v>1965</v>
      </c>
      <c r="E75" s="91"/>
      <c r="F75" s="91" t="s">
        <v>269</v>
      </c>
      <c r="G75" s="91" t="s">
        <v>305</v>
      </c>
      <c r="H75" s="91" t="s">
        <v>314</v>
      </c>
      <c r="I75" s="93">
        <v>500</v>
      </c>
      <c r="J75" s="93">
        <v>481.6</v>
      </c>
      <c r="K75" s="93">
        <f>J75-69.3</f>
        <v>412.3</v>
      </c>
      <c r="L75" s="96">
        <v>50</v>
      </c>
      <c r="M75" s="91" t="s">
        <v>268</v>
      </c>
      <c r="N75" s="91" t="s">
        <v>270</v>
      </c>
      <c r="O75" s="92">
        <v>2436000</v>
      </c>
      <c r="P75" s="92">
        <f t="shared" si="3"/>
        <v>4872</v>
      </c>
      <c r="Q75" s="128">
        <v>5421.3245399999996</v>
      </c>
    </row>
    <row r="76" spans="1:17" ht="35.25" x14ac:dyDescent="0.4">
      <c r="B76" s="95" t="s">
        <v>846</v>
      </c>
      <c r="C76" s="95"/>
      <c r="D76" s="91" t="s">
        <v>896</v>
      </c>
      <c r="E76" s="91" t="s">
        <v>896</v>
      </c>
      <c r="F76" s="91" t="s">
        <v>896</v>
      </c>
      <c r="G76" s="91" t="s">
        <v>896</v>
      </c>
      <c r="H76" s="91" t="s">
        <v>896</v>
      </c>
      <c r="I76" s="93">
        <f>I77</f>
        <v>1840.2</v>
      </c>
      <c r="J76" s="93">
        <f>J77</f>
        <v>1840.2</v>
      </c>
      <c r="K76" s="93">
        <f>K77</f>
        <v>1695.4</v>
      </c>
      <c r="L76" s="96">
        <f>L77</f>
        <v>77</v>
      </c>
      <c r="M76" s="91" t="s">
        <v>896</v>
      </c>
      <c r="N76" s="91" t="s">
        <v>896</v>
      </c>
      <c r="O76" s="92">
        <v>5538174.9500000002</v>
      </c>
      <c r="P76" s="92">
        <f t="shared" si="3"/>
        <v>3009.5505651559615</v>
      </c>
      <c r="Q76" s="128">
        <f>Q77</f>
        <v>3520.3958361591126</v>
      </c>
    </row>
    <row r="77" spans="1:17" ht="35.25" x14ac:dyDescent="0.5">
      <c r="A77" s="6">
        <v>1</v>
      </c>
      <c r="B77" s="90">
        <f>SUBTOTAL(103,$A$64:A77)</f>
        <v>9</v>
      </c>
      <c r="C77" s="95" t="s">
        <v>1034</v>
      </c>
      <c r="D77" s="91">
        <v>1986</v>
      </c>
      <c r="E77" s="91"/>
      <c r="F77" s="91" t="s">
        <v>269</v>
      </c>
      <c r="G77" s="91" t="s">
        <v>314</v>
      </c>
      <c r="H77" s="91" t="s">
        <v>314</v>
      </c>
      <c r="I77" s="93">
        <v>1840.2</v>
      </c>
      <c r="J77" s="93">
        <v>1840.2</v>
      </c>
      <c r="K77" s="93">
        <f>J77-144.8</f>
        <v>1695.4</v>
      </c>
      <c r="L77" s="96">
        <v>77</v>
      </c>
      <c r="M77" s="91" t="s">
        <v>343</v>
      </c>
      <c r="N77" s="91" t="s">
        <v>1065</v>
      </c>
      <c r="O77" s="92">
        <v>5538174.9500000002</v>
      </c>
      <c r="P77" s="92">
        <f t="shared" si="3"/>
        <v>3009.5505651559615</v>
      </c>
      <c r="Q77" s="128">
        <v>3520.3958361591126</v>
      </c>
    </row>
    <row r="78" spans="1:17" ht="35.25" x14ac:dyDescent="0.4">
      <c r="B78" s="95" t="s">
        <v>1718</v>
      </c>
      <c r="C78" s="95"/>
      <c r="D78" s="91" t="s">
        <v>896</v>
      </c>
      <c r="E78" s="91" t="s">
        <v>896</v>
      </c>
      <c r="F78" s="91" t="s">
        <v>896</v>
      </c>
      <c r="G78" s="91" t="s">
        <v>896</v>
      </c>
      <c r="H78" s="91" t="s">
        <v>896</v>
      </c>
      <c r="I78" s="93">
        <f>I79</f>
        <v>1257.7</v>
      </c>
      <c r="J78" s="93">
        <f>J79</f>
        <v>732.5</v>
      </c>
      <c r="K78" s="93">
        <f>K79</f>
        <v>732.5</v>
      </c>
      <c r="L78" s="96">
        <f>L79</f>
        <v>36</v>
      </c>
      <c r="M78" s="91" t="s">
        <v>896</v>
      </c>
      <c r="N78" s="91" t="s">
        <v>896</v>
      </c>
      <c r="O78" s="92">
        <v>3672464.4</v>
      </c>
      <c r="P78" s="92">
        <f t="shared" si="3"/>
        <v>2919.9844159974555</v>
      </c>
      <c r="Q78" s="128">
        <f>Q79</f>
        <v>3308.040291007394</v>
      </c>
    </row>
    <row r="79" spans="1:17" ht="35.25" x14ac:dyDescent="0.5">
      <c r="A79" s="6">
        <v>1</v>
      </c>
      <c r="B79" s="90">
        <f>SUBTOTAL(103,$A$64:A79)</f>
        <v>10</v>
      </c>
      <c r="C79" s="95" t="s">
        <v>1717</v>
      </c>
      <c r="D79" s="91">
        <v>1972</v>
      </c>
      <c r="E79" s="91"/>
      <c r="F79" s="91" t="s">
        <v>269</v>
      </c>
      <c r="G79" s="91" t="s">
        <v>305</v>
      </c>
      <c r="H79" s="91" t="s">
        <v>305</v>
      </c>
      <c r="I79" s="93">
        <v>1257.7</v>
      </c>
      <c r="J79" s="93">
        <v>732.5</v>
      </c>
      <c r="K79" s="93">
        <f>J79</f>
        <v>732.5</v>
      </c>
      <c r="L79" s="96">
        <v>36</v>
      </c>
      <c r="M79" s="91" t="s">
        <v>343</v>
      </c>
      <c r="N79" s="91" t="s">
        <v>1719</v>
      </c>
      <c r="O79" s="92">
        <v>3672464.4</v>
      </c>
      <c r="P79" s="92">
        <f t="shared" si="3"/>
        <v>2919.9844159974555</v>
      </c>
      <c r="Q79" s="128">
        <v>3308.040291007394</v>
      </c>
    </row>
    <row r="80" spans="1:17" ht="35.25" x14ac:dyDescent="0.4">
      <c r="B80" s="95" t="s">
        <v>857</v>
      </c>
      <c r="C80" s="95"/>
      <c r="D80" s="91" t="s">
        <v>896</v>
      </c>
      <c r="E80" s="91" t="s">
        <v>896</v>
      </c>
      <c r="F80" s="91" t="s">
        <v>896</v>
      </c>
      <c r="G80" s="91" t="s">
        <v>896</v>
      </c>
      <c r="H80" s="91" t="s">
        <v>896</v>
      </c>
      <c r="I80" s="93">
        <f>I81</f>
        <v>465</v>
      </c>
      <c r="J80" s="93">
        <f>J81</f>
        <v>424.6</v>
      </c>
      <c r="K80" s="93">
        <f>K81</f>
        <v>175.8</v>
      </c>
      <c r="L80" s="96">
        <f>L81</f>
        <v>26</v>
      </c>
      <c r="M80" s="91" t="s">
        <v>896</v>
      </c>
      <c r="N80" s="91" t="s">
        <v>896</v>
      </c>
      <c r="O80" s="92">
        <v>2030000</v>
      </c>
      <c r="P80" s="92">
        <f t="shared" si="3"/>
        <v>4365.5913978494627</v>
      </c>
      <c r="Q80" s="128">
        <f>Q81</f>
        <v>4745.6279032258053</v>
      </c>
    </row>
    <row r="81" spans="1:23" ht="35.25" x14ac:dyDescent="0.5">
      <c r="A81" s="6">
        <v>1</v>
      </c>
      <c r="B81" s="90">
        <f>SUBTOTAL(103,$A$64:A81)</f>
        <v>11</v>
      </c>
      <c r="C81" s="95" t="s">
        <v>1038</v>
      </c>
      <c r="D81" s="91">
        <v>1953</v>
      </c>
      <c r="E81" s="91"/>
      <c r="F81" s="91" t="s">
        <v>269</v>
      </c>
      <c r="G81" s="91" t="s">
        <v>305</v>
      </c>
      <c r="H81" s="91" t="s">
        <v>306</v>
      </c>
      <c r="I81" s="93">
        <v>465</v>
      </c>
      <c r="J81" s="93">
        <v>424.6</v>
      </c>
      <c r="K81" s="93">
        <f>J81-248.8</f>
        <v>175.8</v>
      </c>
      <c r="L81" s="96">
        <v>26</v>
      </c>
      <c r="M81" s="91" t="s">
        <v>268</v>
      </c>
      <c r="N81" s="91" t="s">
        <v>270</v>
      </c>
      <c r="O81" s="92">
        <v>2030000</v>
      </c>
      <c r="P81" s="92">
        <f t="shared" si="3"/>
        <v>4365.5913978494627</v>
      </c>
      <c r="Q81" s="128">
        <v>4745.6279032258053</v>
      </c>
    </row>
    <row r="82" spans="1:23" ht="35.25" x14ac:dyDescent="0.5">
      <c r="B82" s="292" t="s">
        <v>840</v>
      </c>
      <c r="C82" s="95"/>
      <c r="D82" s="91" t="s">
        <v>896</v>
      </c>
      <c r="E82" s="91" t="s">
        <v>896</v>
      </c>
      <c r="F82" s="91" t="s">
        <v>896</v>
      </c>
      <c r="G82" s="97" t="s">
        <v>896</v>
      </c>
      <c r="H82" s="97" t="s">
        <v>896</v>
      </c>
      <c r="I82" s="93">
        <f>I83</f>
        <v>1743.7</v>
      </c>
      <c r="J82" s="93">
        <f>J83</f>
        <v>1552.6</v>
      </c>
      <c r="K82" s="93">
        <f>K83</f>
        <v>1552.6</v>
      </c>
      <c r="L82" s="96">
        <f>L83</f>
        <v>65</v>
      </c>
      <c r="M82" s="91" t="s">
        <v>896</v>
      </c>
      <c r="N82" s="91" t="s">
        <v>896</v>
      </c>
      <c r="O82" s="92">
        <v>3628625</v>
      </c>
      <c r="P82" s="92">
        <f t="shared" si="3"/>
        <v>2080.9915696507428</v>
      </c>
      <c r="Q82" s="128">
        <f>Q83</f>
        <v>2566.9758846131786</v>
      </c>
    </row>
    <row r="83" spans="1:23" ht="35.25" x14ac:dyDescent="0.5">
      <c r="A83" s="6">
        <v>1</v>
      </c>
      <c r="B83" s="90">
        <f>SUBTOTAL(103,$A$64:A83)</f>
        <v>12</v>
      </c>
      <c r="C83" s="95" t="s">
        <v>1408</v>
      </c>
      <c r="D83" s="91">
        <v>1978</v>
      </c>
      <c r="E83" s="91"/>
      <c r="F83" s="91" t="s">
        <v>269</v>
      </c>
      <c r="G83" s="97" t="s">
        <v>314</v>
      </c>
      <c r="H83" s="97" t="s">
        <v>314</v>
      </c>
      <c r="I83" s="93">
        <v>1743.7</v>
      </c>
      <c r="J83" s="93">
        <v>1552.6</v>
      </c>
      <c r="K83" s="93">
        <f>J83</f>
        <v>1552.6</v>
      </c>
      <c r="L83" s="96">
        <v>65</v>
      </c>
      <c r="M83" s="91" t="s">
        <v>271</v>
      </c>
      <c r="N83" s="91" t="s">
        <v>816</v>
      </c>
      <c r="O83" s="92">
        <v>3628625</v>
      </c>
      <c r="P83" s="92">
        <f t="shared" si="3"/>
        <v>2080.9915696507428</v>
      </c>
      <c r="Q83" s="128">
        <v>2566.9758846131786</v>
      </c>
    </row>
    <row r="84" spans="1:23" ht="45.75" x14ac:dyDescent="0.25">
      <c r="B84" s="414" t="s">
        <v>1410</v>
      </c>
      <c r="C84" s="415"/>
      <c r="D84" s="415"/>
      <c r="E84" s="415"/>
      <c r="F84" s="415"/>
      <c r="G84" s="415"/>
      <c r="H84" s="415"/>
      <c r="I84" s="415"/>
      <c r="J84" s="415"/>
      <c r="K84" s="415"/>
      <c r="L84" s="415"/>
      <c r="M84" s="415"/>
      <c r="N84" s="415"/>
      <c r="O84" s="415"/>
      <c r="P84" s="415"/>
      <c r="Q84" s="416"/>
    </row>
    <row r="85" spans="1:23" ht="35.25" x14ac:dyDescent="0.5">
      <c r="B85" s="293" t="s">
        <v>1055</v>
      </c>
      <c r="C85" s="293"/>
      <c r="D85" s="211" t="s">
        <v>757</v>
      </c>
      <c r="E85" s="211" t="s">
        <v>757</v>
      </c>
      <c r="F85" s="212" t="s">
        <v>757</v>
      </c>
      <c r="G85" s="212" t="s">
        <v>757</v>
      </c>
      <c r="H85" s="212" t="s">
        <v>757</v>
      </c>
      <c r="I85" s="192">
        <f>I86+I95+I99+I116+I124+I129+I160+I176+I182+I185+I188+I190+I195+I197+I200+I203+I207+I209+I211+I213+I217+I219+I221+I223+I225+I227+I229+I232+I234+I236+I93</f>
        <v>296284.69</v>
      </c>
      <c r="J85" s="192">
        <f t="shared" ref="J85:L85" si="7">J86+J95+J99+J116+J124+J129+J160+J176+J182+J185+J188+J190+J195+J197+J200+J203+J207+J209+J211+J213+J217+J219+J221+J223+J225+J227+J229+J232+J234+J236+J93</f>
        <v>248106.15000000005</v>
      </c>
      <c r="K85" s="192">
        <f t="shared" si="7"/>
        <v>219113.84999999992</v>
      </c>
      <c r="L85" s="213">
        <f t="shared" si="7"/>
        <v>12433</v>
      </c>
      <c r="M85" s="211" t="s">
        <v>896</v>
      </c>
      <c r="N85" s="214" t="s">
        <v>896</v>
      </c>
      <c r="O85" s="192">
        <v>37865799.850000024</v>
      </c>
      <c r="P85" s="192">
        <f t="shared" ref="P85:P148" si="8">O85/I85</f>
        <v>127.80208066100217</v>
      </c>
      <c r="Q85" s="192">
        <f>MAX(Q86:Q237)</f>
        <v>9325.2146313364065</v>
      </c>
    </row>
    <row r="86" spans="1:23" ht="35.25" x14ac:dyDescent="0.5">
      <c r="B86" s="293" t="s">
        <v>821</v>
      </c>
      <c r="C86" s="293"/>
      <c r="D86" s="211" t="s">
        <v>757</v>
      </c>
      <c r="E86" s="211" t="s">
        <v>757</v>
      </c>
      <c r="F86" s="212" t="s">
        <v>757</v>
      </c>
      <c r="G86" s="211" t="s">
        <v>757</v>
      </c>
      <c r="H86" s="211" t="s">
        <v>757</v>
      </c>
      <c r="I86" s="192">
        <f>SUM(I87:I92)</f>
        <v>13682.619999999999</v>
      </c>
      <c r="J86" s="192">
        <f t="shared" ref="J86:L86" si="9">SUM(J87:J92)</f>
        <v>11157.02</v>
      </c>
      <c r="K86" s="192">
        <f t="shared" si="9"/>
        <v>10128.199999999999</v>
      </c>
      <c r="L86" s="213">
        <f t="shared" si="9"/>
        <v>744</v>
      </c>
      <c r="M86" s="211" t="s">
        <v>896</v>
      </c>
      <c r="N86" s="214" t="s">
        <v>896</v>
      </c>
      <c r="O86" s="192">
        <v>3112010.69</v>
      </c>
      <c r="P86" s="192">
        <f t="shared" si="8"/>
        <v>227.44260163623636</v>
      </c>
      <c r="Q86" s="192">
        <f>MAX(Q87:Q92)</f>
        <v>3439.8277675145659</v>
      </c>
    </row>
    <row r="87" spans="1:23" ht="35.25" x14ac:dyDescent="0.5">
      <c r="A87" s="6">
        <v>1</v>
      </c>
      <c r="B87" s="215">
        <v>1</v>
      </c>
      <c r="C87" s="216" t="s">
        <v>623</v>
      </c>
      <c r="D87" s="211">
        <v>1965</v>
      </c>
      <c r="E87" s="211"/>
      <c r="F87" s="212" t="s">
        <v>269</v>
      </c>
      <c r="G87" s="211">
        <v>5</v>
      </c>
      <c r="H87" s="211">
        <v>2</v>
      </c>
      <c r="I87" s="192">
        <v>2985.38</v>
      </c>
      <c r="J87" s="192">
        <v>2398.58</v>
      </c>
      <c r="K87" s="192">
        <v>1889.27</v>
      </c>
      <c r="L87" s="213">
        <v>202</v>
      </c>
      <c r="M87" s="211" t="s">
        <v>271</v>
      </c>
      <c r="N87" s="211" t="s">
        <v>1320</v>
      </c>
      <c r="O87" s="192">
        <v>546602.54</v>
      </c>
      <c r="P87" s="192">
        <f t="shared" si="8"/>
        <v>183.09312047377554</v>
      </c>
      <c r="Q87" s="192">
        <v>1786.1812707260044</v>
      </c>
      <c r="R87" s="217"/>
      <c r="S87" s="16"/>
      <c r="V87" s="218"/>
      <c r="W87" s="218"/>
    </row>
    <row r="88" spans="1:23" ht="35.25" x14ac:dyDescent="0.5">
      <c r="A88" s="6">
        <v>1</v>
      </c>
      <c r="B88" s="215">
        <v>2</v>
      </c>
      <c r="C88" s="216" t="s">
        <v>1414</v>
      </c>
      <c r="D88" s="211">
        <v>1986</v>
      </c>
      <c r="E88" s="211"/>
      <c r="F88" s="212" t="s">
        <v>269</v>
      </c>
      <c r="G88" s="211">
        <v>4</v>
      </c>
      <c r="H88" s="211">
        <v>1</v>
      </c>
      <c r="I88" s="192">
        <v>2374.1999999999998</v>
      </c>
      <c r="J88" s="192">
        <v>1689.3</v>
      </c>
      <c r="K88" s="192">
        <v>1639.4</v>
      </c>
      <c r="L88" s="213">
        <v>151</v>
      </c>
      <c r="M88" s="211" t="s">
        <v>271</v>
      </c>
      <c r="N88" s="214" t="s">
        <v>1512</v>
      </c>
      <c r="O88" s="192">
        <v>491284.57</v>
      </c>
      <c r="P88" s="192">
        <f t="shared" si="8"/>
        <v>206.92636256423219</v>
      </c>
      <c r="Q88" s="192">
        <v>2377.0370166793023</v>
      </c>
      <c r="R88" s="217"/>
      <c r="S88" s="16"/>
      <c r="V88" s="218"/>
      <c r="W88" s="218"/>
    </row>
    <row r="89" spans="1:23" ht="35.25" x14ac:dyDescent="0.5">
      <c r="A89" s="6">
        <v>1</v>
      </c>
      <c r="B89" s="215">
        <v>3</v>
      </c>
      <c r="C89" s="216" t="s">
        <v>1415</v>
      </c>
      <c r="D89" s="211">
        <v>1969</v>
      </c>
      <c r="E89" s="211"/>
      <c r="F89" s="212" t="s">
        <v>269</v>
      </c>
      <c r="G89" s="211">
        <v>5</v>
      </c>
      <c r="H89" s="211">
        <v>4</v>
      </c>
      <c r="I89" s="192">
        <v>2953.64</v>
      </c>
      <c r="J89" s="192">
        <v>2684.14</v>
      </c>
      <c r="K89" s="192">
        <v>2616.34</v>
      </c>
      <c r="L89" s="213">
        <v>107</v>
      </c>
      <c r="M89" s="211" t="s">
        <v>271</v>
      </c>
      <c r="N89" s="214" t="s">
        <v>1085</v>
      </c>
      <c r="O89" s="192">
        <v>1439828.96</v>
      </c>
      <c r="P89" s="192">
        <f t="shared" si="8"/>
        <v>487.47611760404112</v>
      </c>
      <c r="Q89" s="192">
        <v>1718.9007766687885</v>
      </c>
      <c r="R89" s="217"/>
      <c r="S89" s="16"/>
      <c r="V89" s="218"/>
      <c r="W89" s="218"/>
    </row>
    <row r="90" spans="1:23" ht="35.25" x14ac:dyDescent="0.5">
      <c r="A90" s="6">
        <v>1</v>
      </c>
      <c r="B90" s="215">
        <v>4</v>
      </c>
      <c r="C90" s="216" t="s">
        <v>1416</v>
      </c>
      <c r="D90" s="211">
        <v>1928</v>
      </c>
      <c r="E90" s="211"/>
      <c r="F90" s="212" t="s">
        <v>269</v>
      </c>
      <c r="G90" s="211">
        <v>3</v>
      </c>
      <c r="H90" s="211">
        <v>2</v>
      </c>
      <c r="I90" s="192">
        <v>884.1</v>
      </c>
      <c r="J90" s="192">
        <v>763.7</v>
      </c>
      <c r="K90" s="192">
        <v>441.4</v>
      </c>
      <c r="L90" s="213">
        <v>48</v>
      </c>
      <c r="M90" s="211" t="s">
        <v>271</v>
      </c>
      <c r="N90" s="211" t="s">
        <v>1513</v>
      </c>
      <c r="O90" s="192">
        <v>342298.98</v>
      </c>
      <c r="P90" s="192">
        <f t="shared" si="8"/>
        <v>387.17224295894124</v>
      </c>
      <c r="Q90" s="192">
        <v>712.1</v>
      </c>
      <c r="R90" s="217"/>
      <c r="S90" s="16"/>
      <c r="V90" s="218"/>
      <c r="W90" s="218"/>
    </row>
    <row r="91" spans="1:23" ht="35.25" x14ac:dyDescent="0.5">
      <c r="A91" s="6">
        <v>1</v>
      </c>
      <c r="B91" s="215">
        <v>5</v>
      </c>
      <c r="C91" s="216" t="s">
        <v>1417</v>
      </c>
      <c r="D91" s="211">
        <v>1958</v>
      </c>
      <c r="E91" s="211"/>
      <c r="F91" s="212" t="s">
        <v>269</v>
      </c>
      <c r="G91" s="211">
        <v>3</v>
      </c>
      <c r="H91" s="211">
        <v>3</v>
      </c>
      <c r="I91" s="192">
        <v>2111.1</v>
      </c>
      <c r="J91" s="192">
        <v>1932</v>
      </c>
      <c r="K91" s="192">
        <v>1902.39</v>
      </c>
      <c r="L91" s="213">
        <v>85</v>
      </c>
      <c r="M91" s="211" t="s">
        <v>268</v>
      </c>
      <c r="N91" s="211" t="s">
        <v>270</v>
      </c>
      <c r="O91" s="192">
        <v>179920.82</v>
      </c>
      <c r="P91" s="192">
        <f t="shared" si="8"/>
        <v>85.226100137369144</v>
      </c>
      <c r="Q91" s="192">
        <v>3439.8277675145659</v>
      </c>
      <c r="R91" s="217"/>
      <c r="S91" s="16"/>
      <c r="V91" s="218"/>
      <c r="W91" s="218"/>
    </row>
    <row r="92" spans="1:23" ht="35.25" x14ac:dyDescent="0.5">
      <c r="A92" s="6">
        <v>1</v>
      </c>
      <c r="B92" s="215">
        <v>6</v>
      </c>
      <c r="C92" s="216" t="s">
        <v>1418</v>
      </c>
      <c r="D92" s="211">
        <v>1986</v>
      </c>
      <c r="E92" s="211"/>
      <c r="F92" s="212" t="s">
        <v>269</v>
      </c>
      <c r="G92" s="211">
        <v>4</v>
      </c>
      <c r="H92" s="211">
        <v>1</v>
      </c>
      <c r="I92" s="192">
        <v>2374.1999999999998</v>
      </c>
      <c r="J92" s="192">
        <v>1689.3</v>
      </c>
      <c r="K92" s="192">
        <v>1639.4</v>
      </c>
      <c r="L92" s="213">
        <v>151</v>
      </c>
      <c r="M92" s="211" t="s">
        <v>271</v>
      </c>
      <c r="N92" s="211" t="s">
        <v>1512</v>
      </c>
      <c r="O92" s="192">
        <v>112074.81999999999</v>
      </c>
      <c r="P92" s="192">
        <f t="shared" si="8"/>
        <v>47.205298626905908</v>
      </c>
      <c r="Q92" s="192">
        <v>2900.4334091483447</v>
      </c>
      <c r="R92" s="217"/>
      <c r="S92" s="16"/>
      <c r="V92" s="218"/>
      <c r="W92" s="218"/>
    </row>
    <row r="93" spans="1:23" ht="35.25" x14ac:dyDescent="0.5">
      <c r="B93" s="293" t="s">
        <v>822</v>
      </c>
      <c r="C93" s="293"/>
      <c r="D93" s="211" t="s">
        <v>757</v>
      </c>
      <c r="E93" s="211" t="s">
        <v>757</v>
      </c>
      <c r="F93" s="212" t="s">
        <v>757</v>
      </c>
      <c r="G93" s="211" t="s">
        <v>757</v>
      </c>
      <c r="H93" s="211" t="s">
        <v>757</v>
      </c>
      <c r="I93" s="192">
        <f>I94</f>
        <v>4101.7</v>
      </c>
      <c r="J93" s="192">
        <f t="shared" ref="J93:L93" si="10">J94</f>
        <v>2751.3</v>
      </c>
      <c r="K93" s="192">
        <f t="shared" si="10"/>
        <v>2562.4</v>
      </c>
      <c r="L93" s="213">
        <f t="shared" si="10"/>
        <v>111</v>
      </c>
      <c r="M93" s="211" t="s">
        <v>896</v>
      </c>
      <c r="N93" s="214" t="s">
        <v>896</v>
      </c>
      <c r="O93" s="192">
        <v>418959.01</v>
      </c>
      <c r="P93" s="192">
        <f t="shared" si="8"/>
        <v>102.14277250895971</v>
      </c>
      <c r="Q93" s="192">
        <f>Q94</f>
        <v>1251.0612046224737</v>
      </c>
    </row>
    <row r="94" spans="1:23" ht="35.25" x14ac:dyDescent="0.5">
      <c r="A94" s="6">
        <v>1</v>
      </c>
      <c r="B94" s="215">
        <v>7</v>
      </c>
      <c r="C94" s="216" t="s">
        <v>1946</v>
      </c>
      <c r="D94" s="211">
        <v>1980</v>
      </c>
      <c r="E94" s="211"/>
      <c r="F94" s="212" t="s">
        <v>269</v>
      </c>
      <c r="G94" s="211">
        <v>5</v>
      </c>
      <c r="H94" s="211">
        <v>4</v>
      </c>
      <c r="I94" s="192">
        <v>4101.7</v>
      </c>
      <c r="J94" s="192">
        <v>2751.3</v>
      </c>
      <c r="K94" s="192">
        <f>J94-188.9</f>
        <v>2562.4</v>
      </c>
      <c r="L94" s="213">
        <v>111</v>
      </c>
      <c r="M94" s="211" t="s">
        <v>271</v>
      </c>
      <c r="N94" s="211" t="s">
        <v>714</v>
      </c>
      <c r="O94" s="192">
        <v>418959.01</v>
      </c>
      <c r="P94" s="192">
        <f t="shared" si="8"/>
        <v>102.14277250895971</v>
      </c>
      <c r="Q94" s="192">
        <v>1251.0612046224737</v>
      </c>
      <c r="R94" s="217"/>
      <c r="S94" s="16"/>
      <c r="V94" s="218"/>
      <c r="W94" s="218"/>
    </row>
    <row r="95" spans="1:23" ht="35.25" x14ac:dyDescent="0.5">
      <c r="B95" s="293" t="s">
        <v>825</v>
      </c>
      <c r="C95" s="216"/>
      <c r="D95" s="211" t="s">
        <v>757</v>
      </c>
      <c r="E95" s="211" t="s">
        <v>757</v>
      </c>
      <c r="F95" s="211" t="s">
        <v>757</v>
      </c>
      <c r="G95" s="211" t="s">
        <v>757</v>
      </c>
      <c r="H95" s="211" t="s">
        <v>757</v>
      </c>
      <c r="I95" s="192">
        <f>I96+I97+I98</f>
        <v>2327.5</v>
      </c>
      <c r="J95" s="192">
        <f t="shared" ref="J95:L95" si="11">J96+J97+J98</f>
        <v>2088.7999999999997</v>
      </c>
      <c r="K95" s="192">
        <f t="shared" si="11"/>
        <v>1990.8000000000002</v>
      </c>
      <c r="L95" s="213">
        <f t="shared" si="11"/>
        <v>106</v>
      </c>
      <c r="M95" s="211" t="s">
        <v>896</v>
      </c>
      <c r="N95" s="214" t="s">
        <v>896</v>
      </c>
      <c r="O95" s="192">
        <v>34418.18</v>
      </c>
      <c r="P95" s="192">
        <f t="shared" si="8"/>
        <v>14.787617615467239</v>
      </c>
      <c r="Q95" s="192">
        <f>MAX(Q96:Q98)</f>
        <v>6437.1165965123264</v>
      </c>
      <c r="R95" s="217"/>
      <c r="S95" s="16"/>
      <c r="V95" s="218"/>
      <c r="W95" s="218"/>
    </row>
    <row r="96" spans="1:23" ht="35.25" x14ac:dyDescent="0.5">
      <c r="A96" s="6">
        <v>1</v>
      </c>
      <c r="B96" s="215">
        <v>8</v>
      </c>
      <c r="C96" s="216" t="s">
        <v>1419</v>
      </c>
      <c r="D96" s="211">
        <v>1979</v>
      </c>
      <c r="E96" s="211"/>
      <c r="F96" s="212" t="s">
        <v>269</v>
      </c>
      <c r="G96" s="211">
        <v>2</v>
      </c>
      <c r="H96" s="211">
        <v>3</v>
      </c>
      <c r="I96" s="192">
        <v>1053.2</v>
      </c>
      <c r="J96" s="192">
        <v>928.3</v>
      </c>
      <c r="K96" s="192">
        <v>866</v>
      </c>
      <c r="L96" s="213">
        <v>38</v>
      </c>
      <c r="M96" s="211" t="s">
        <v>268</v>
      </c>
      <c r="N96" s="214" t="s">
        <v>270</v>
      </c>
      <c r="O96" s="192">
        <v>11221.62</v>
      </c>
      <c r="P96" s="192">
        <f t="shared" si="8"/>
        <v>10.654785415875427</v>
      </c>
      <c r="Q96" s="192">
        <v>5492.2289783516899</v>
      </c>
      <c r="R96" s="217"/>
      <c r="S96" s="16"/>
      <c r="V96" s="218"/>
      <c r="W96" s="218"/>
    </row>
    <row r="97" spans="1:23" ht="35.25" x14ac:dyDescent="0.5">
      <c r="A97" s="6">
        <v>1</v>
      </c>
      <c r="B97" s="215">
        <v>9</v>
      </c>
      <c r="C97" s="216" t="s">
        <v>1420</v>
      </c>
      <c r="D97" s="211">
        <v>1980</v>
      </c>
      <c r="E97" s="211"/>
      <c r="F97" s="212" t="s">
        <v>269</v>
      </c>
      <c r="G97" s="211">
        <v>2</v>
      </c>
      <c r="H97" s="211">
        <v>3</v>
      </c>
      <c r="I97" s="192">
        <v>941.7</v>
      </c>
      <c r="J97" s="192">
        <v>856.9</v>
      </c>
      <c r="K97" s="192">
        <v>856.9</v>
      </c>
      <c r="L97" s="213">
        <v>53</v>
      </c>
      <c r="M97" s="211" t="s">
        <v>268</v>
      </c>
      <c r="N97" s="214" t="s">
        <v>270</v>
      </c>
      <c r="O97" s="192">
        <v>19576.66</v>
      </c>
      <c r="P97" s="192">
        <f t="shared" si="8"/>
        <v>20.78863757035149</v>
      </c>
      <c r="Q97" s="192">
        <v>4959.224530105128</v>
      </c>
      <c r="R97" s="217"/>
      <c r="S97" s="16"/>
      <c r="V97" s="218"/>
      <c r="W97" s="218"/>
    </row>
    <row r="98" spans="1:23" ht="35.25" x14ac:dyDescent="0.5">
      <c r="B98" s="215">
        <v>10</v>
      </c>
      <c r="C98" s="216" t="s">
        <v>1901</v>
      </c>
      <c r="D98" s="211">
        <v>1962</v>
      </c>
      <c r="E98" s="211"/>
      <c r="F98" s="212" t="s">
        <v>269</v>
      </c>
      <c r="G98" s="211">
        <v>2</v>
      </c>
      <c r="H98" s="211">
        <v>1</v>
      </c>
      <c r="I98" s="192">
        <v>332.6</v>
      </c>
      <c r="J98" s="192">
        <v>303.60000000000002</v>
      </c>
      <c r="K98" s="192">
        <v>267.89999999999998</v>
      </c>
      <c r="L98" s="213">
        <v>15</v>
      </c>
      <c r="M98" s="211" t="s">
        <v>268</v>
      </c>
      <c r="N98" s="214" t="s">
        <v>270</v>
      </c>
      <c r="O98" s="192">
        <v>3619.9</v>
      </c>
      <c r="P98" s="192">
        <f t="shared" si="8"/>
        <v>10.883644016837041</v>
      </c>
      <c r="Q98" s="192">
        <v>6437.1165965123264</v>
      </c>
      <c r="R98" s="217"/>
      <c r="S98" s="16"/>
      <c r="V98" s="218"/>
      <c r="W98" s="218"/>
    </row>
    <row r="99" spans="1:23" ht="35.25" x14ac:dyDescent="0.5">
      <c r="B99" s="293" t="s">
        <v>1051</v>
      </c>
      <c r="C99" s="216"/>
      <c r="D99" s="211" t="s">
        <v>757</v>
      </c>
      <c r="E99" s="211" t="s">
        <v>757</v>
      </c>
      <c r="F99" s="212" t="s">
        <v>757</v>
      </c>
      <c r="G99" s="211" t="s">
        <v>757</v>
      </c>
      <c r="H99" s="211" t="s">
        <v>757</v>
      </c>
      <c r="I99" s="192">
        <f>SUM(I100:I115)</f>
        <v>28928.739999999998</v>
      </c>
      <c r="J99" s="192">
        <f t="shared" ref="J99:L99" si="12">SUM(J100:J115)</f>
        <v>24894.54</v>
      </c>
      <c r="K99" s="192">
        <f t="shared" si="12"/>
        <v>22312.100000000002</v>
      </c>
      <c r="L99" s="213">
        <f t="shared" si="12"/>
        <v>1177</v>
      </c>
      <c r="M99" s="211" t="s">
        <v>896</v>
      </c>
      <c r="N99" s="214" t="s">
        <v>896</v>
      </c>
      <c r="O99" s="192">
        <v>1958443.2499999998</v>
      </c>
      <c r="P99" s="192">
        <f t="shared" si="8"/>
        <v>67.698878347276789</v>
      </c>
      <c r="Q99" s="192">
        <f>MAX(Q100:Q115)</f>
        <v>9325.2146313364065</v>
      </c>
      <c r="R99" s="217"/>
      <c r="S99" s="16"/>
      <c r="V99" s="218"/>
      <c r="W99" s="218"/>
    </row>
    <row r="100" spans="1:23" ht="35.25" x14ac:dyDescent="0.5">
      <c r="A100" s="6">
        <v>1</v>
      </c>
      <c r="B100" s="215">
        <v>11</v>
      </c>
      <c r="C100" s="216" t="s">
        <v>1421</v>
      </c>
      <c r="D100" s="211">
        <v>1966</v>
      </c>
      <c r="E100" s="211"/>
      <c r="F100" s="212" t="s">
        <v>269</v>
      </c>
      <c r="G100" s="211">
        <v>5</v>
      </c>
      <c r="H100" s="211">
        <v>4</v>
      </c>
      <c r="I100" s="192">
        <v>4070</v>
      </c>
      <c r="J100" s="192">
        <v>3151.1</v>
      </c>
      <c r="K100" s="192">
        <v>2925.4</v>
      </c>
      <c r="L100" s="213">
        <v>137</v>
      </c>
      <c r="M100" s="211" t="s">
        <v>271</v>
      </c>
      <c r="N100" s="214" t="s">
        <v>1515</v>
      </c>
      <c r="O100" s="192">
        <v>9167.9599999999991</v>
      </c>
      <c r="P100" s="192">
        <f t="shared" si="8"/>
        <v>2.2525700245700242</v>
      </c>
      <c r="Q100" s="192">
        <v>1722.7058476658476</v>
      </c>
      <c r="R100" s="217"/>
      <c r="S100" s="16"/>
      <c r="V100" s="218"/>
      <c r="W100" s="218"/>
    </row>
    <row r="101" spans="1:23" ht="35.25" x14ac:dyDescent="0.5">
      <c r="A101" s="6">
        <v>1</v>
      </c>
      <c r="B101" s="215">
        <v>12</v>
      </c>
      <c r="C101" s="216" t="s">
        <v>1422</v>
      </c>
      <c r="D101" s="211">
        <v>1960</v>
      </c>
      <c r="E101" s="211">
        <v>2006</v>
      </c>
      <c r="F101" s="212" t="s">
        <v>269</v>
      </c>
      <c r="G101" s="211">
        <v>2</v>
      </c>
      <c r="H101" s="211">
        <v>3</v>
      </c>
      <c r="I101" s="192">
        <v>1011.9</v>
      </c>
      <c r="J101" s="192">
        <v>804.7</v>
      </c>
      <c r="K101" s="192">
        <v>655.4</v>
      </c>
      <c r="L101" s="213">
        <v>42</v>
      </c>
      <c r="M101" s="211" t="s">
        <v>271</v>
      </c>
      <c r="N101" s="214" t="s">
        <v>1516</v>
      </c>
      <c r="O101" s="192">
        <v>208611.94</v>
      </c>
      <c r="P101" s="192">
        <f t="shared" si="8"/>
        <v>206.15865204071548</v>
      </c>
      <c r="Q101" s="192">
        <v>4504.5652167210201</v>
      </c>
      <c r="R101" s="217"/>
      <c r="S101" s="16"/>
      <c r="V101" s="218"/>
      <c r="W101" s="218"/>
    </row>
    <row r="102" spans="1:23" ht="35.25" x14ac:dyDescent="0.5">
      <c r="A102" s="6">
        <v>1</v>
      </c>
      <c r="B102" s="215">
        <v>13</v>
      </c>
      <c r="C102" s="216" t="s">
        <v>1423</v>
      </c>
      <c r="D102" s="211">
        <v>1951</v>
      </c>
      <c r="E102" s="211"/>
      <c r="F102" s="212" t="s">
        <v>269</v>
      </c>
      <c r="G102" s="211">
        <v>2</v>
      </c>
      <c r="H102" s="211">
        <v>2</v>
      </c>
      <c r="I102" s="192">
        <v>695</v>
      </c>
      <c r="J102" s="192">
        <v>626.9</v>
      </c>
      <c r="K102" s="192">
        <v>626.9</v>
      </c>
      <c r="L102" s="213">
        <v>33</v>
      </c>
      <c r="M102" s="211" t="s">
        <v>271</v>
      </c>
      <c r="N102" s="214" t="s">
        <v>995</v>
      </c>
      <c r="O102" s="192">
        <v>170151.06</v>
      </c>
      <c r="P102" s="192">
        <f t="shared" si="8"/>
        <v>244.82166906474819</v>
      </c>
      <c r="Q102" s="192">
        <v>6800.6380575539561</v>
      </c>
      <c r="R102" s="217"/>
      <c r="S102" s="16"/>
      <c r="V102" s="218"/>
      <c r="W102" s="218"/>
    </row>
    <row r="103" spans="1:23" ht="35.25" x14ac:dyDescent="0.5">
      <c r="A103" s="6">
        <v>1</v>
      </c>
      <c r="B103" s="215">
        <v>14</v>
      </c>
      <c r="C103" s="216" t="s">
        <v>1424</v>
      </c>
      <c r="D103" s="211">
        <v>1953</v>
      </c>
      <c r="E103" s="211">
        <v>2006</v>
      </c>
      <c r="F103" s="212" t="s">
        <v>269</v>
      </c>
      <c r="G103" s="211">
        <v>2</v>
      </c>
      <c r="H103" s="211">
        <v>1</v>
      </c>
      <c r="I103" s="192">
        <v>537.54</v>
      </c>
      <c r="J103" s="192">
        <v>501.3</v>
      </c>
      <c r="K103" s="192">
        <v>310.2</v>
      </c>
      <c r="L103" s="213">
        <v>37</v>
      </c>
      <c r="M103" s="211" t="s">
        <v>271</v>
      </c>
      <c r="N103" s="214" t="s">
        <v>1514</v>
      </c>
      <c r="O103" s="192">
        <v>48424.71</v>
      </c>
      <c r="P103" s="192">
        <f t="shared" si="8"/>
        <v>90.085779662908806</v>
      </c>
      <c r="Q103" s="192">
        <v>5788.06122335082</v>
      </c>
      <c r="R103" s="217"/>
      <c r="S103" s="16"/>
      <c r="V103" s="218"/>
      <c r="W103" s="218"/>
    </row>
    <row r="104" spans="1:23" ht="35.25" x14ac:dyDescent="0.5">
      <c r="A104" s="6">
        <v>1</v>
      </c>
      <c r="B104" s="215">
        <v>15</v>
      </c>
      <c r="C104" s="216" t="s">
        <v>1425</v>
      </c>
      <c r="D104" s="211">
        <v>1958</v>
      </c>
      <c r="E104" s="211">
        <v>2007</v>
      </c>
      <c r="F104" s="212" t="s">
        <v>269</v>
      </c>
      <c r="G104" s="211">
        <v>2</v>
      </c>
      <c r="H104" s="211">
        <v>2</v>
      </c>
      <c r="I104" s="192">
        <v>854.8</v>
      </c>
      <c r="J104" s="192">
        <v>789.8</v>
      </c>
      <c r="K104" s="192">
        <v>434.07</v>
      </c>
      <c r="L104" s="213">
        <v>42</v>
      </c>
      <c r="M104" s="211" t="s">
        <v>271</v>
      </c>
      <c r="N104" s="214" t="s">
        <v>1516</v>
      </c>
      <c r="O104" s="192">
        <v>35463.9</v>
      </c>
      <c r="P104" s="192">
        <f t="shared" si="8"/>
        <v>41.487950397753863</v>
      </c>
      <c r="Q104" s="192">
        <v>4657.7922788956485</v>
      </c>
      <c r="R104" s="217"/>
      <c r="S104" s="16"/>
      <c r="V104" s="218"/>
      <c r="W104" s="218"/>
    </row>
    <row r="105" spans="1:23" ht="35.25" x14ac:dyDescent="0.5">
      <c r="A105" s="6">
        <v>1</v>
      </c>
      <c r="B105" s="215">
        <v>16</v>
      </c>
      <c r="C105" s="216" t="s">
        <v>1426</v>
      </c>
      <c r="D105" s="211">
        <v>1940</v>
      </c>
      <c r="E105" s="211"/>
      <c r="F105" s="212" t="s">
        <v>269</v>
      </c>
      <c r="G105" s="211">
        <v>3</v>
      </c>
      <c r="H105" s="211">
        <v>2</v>
      </c>
      <c r="I105" s="192">
        <v>1189.4000000000001</v>
      </c>
      <c r="J105" s="192">
        <v>1119.5999999999999</v>
      </c>
      <c r="K105" s="192">
        <v>1021.2</v>
      </c>
      <c r="L105" s="213">
        <v>46</v>
      </c>
      <c r="M105" s="211" t="s">
        <v>271</v>
      </c>
      <c r="N105" s="214" t="s">
        <v>351</v>
      </c>
      <c r="O105" s="192">
        <v>381944.5</v>
      </c>
      <c r="P105" s="192">
        <f t="shared" si="8"/>
        <v>321.12367580292585</v>
      </c>
      <c r="Q105" s="192">
        <v>3394.8398772490327</v>
      </c>
      <c r="R105" s="217"/>
      <c r="S105" s="16"/>
      <c r="V105" s="218"/>
      <c r="W105" s="218"/>
    </row>
    <row r="106" spans="1:23" ht="35.25" x14ac:dyDescent="0.5">
      <c r="A106" s="6">
        <v>1</v>
      </c>
      <c r="B106" s="215">
        <v>17</v>
      </c>
      <c r="C106" s="216" t="s">
        <v>1427</v>
      </c>
      <c r="D106" s="211">
        <v>1961</v>
      </c>
      <c r="E106" s="211"/>
      <c r="F106" s="212" t="s">
        <v>269</v>
      </c>
      <c r="G106" s="211">
        <v>4</v>
      </c>
      <c r="H106" s="211">
        <v>3</v>
      </c>
      <c r="I106" s="192">
        <v>2136.1</v>
      </c>
      <c r="J106" s="192">
        <v>1990.2</v>
      </c>
      <c r="K106" s="192">
        <v>1946.2</v>
      </c>
      <c r="L106" s="213">
        <v>89</v>
      </c>
      <c r="M106" s="211" t="s">
        <v>271</v>
      </c>
      <c r="N106" s="214" t="s">
        <v>995</v>
      </c>
      <c r="O106" s="192">
        <v>14784.77</v>
      </c>
      <c r="P106" s="192">
        <f t="shared" si="8"/>
        <v>6.9213847666307764</v>
      </c>
      <c r="Q106" s="192">
        <v>2027.4622180141375</v>
      </c>
      <c r="R106" s="217"/>
      <c r="S106" s="16"/>
      <c r="V106" s="218"/>
      <c r="W106" s="218"/>
    </row>
    <row r="107" spans="1:23" ht="35.25" x14ac:dyDescent="0.5">
      <c r="A107" s="6">
        <v>1</v>
      </c>
      <c r="B107" s="215">
        <v>18</v>
      </c>
      <c r="C107" s="216" t="s">
        <v>1428</v>
      </c>
      <c r="D107" s="211">
        <v>1935</v>
      </c>
      <c r="E107" s="211"/>
      <c r="F107" s="212" t="s">
        <v>269</v>
      </c>
      <c r="G107" s="211">
        <v>2</v>
      </c>
      <c r="H107" s="211">
        <v>2</v>
      </c>
      <c r="I107" s="192">
        <v>474.9</v>
      </c>
      <c r="J107" s="192">
        <v>427.5</v>
      </c>
      <c r="K107" s="192">
        <v>427.5</v>
      </c>
      <c r="L107" s="213">
        <v>15</v>
      </c>
      <c r="M107" s="211" t="s">
        <v>271</v>
      </c>
      <c r="N107" s="214" t="s">
        <v>351</v>
      </c>
      <c r="O107" s="192">
        <v>433416.75</v>
      </c>
      <c r="P107" s="192">
        <f t="shared" si="8"/>
        <v>912.64845230574861</v>
      </c>
      <c r="Q107" s="192">
        <v>912.64845230574861</v>
      </c>
      <c r="R107" s="217"/>
      <c r="S107" s="16"/>
      <c r="V107" s="218"/>
      <c r="W107" s="218"/>
    </row>
    <row r="108" spans="1:23" ht="35.25" x14ac:dyDescent="0.5">
      <c r="A108" s="6">
        <v>1</v>
      </c>
      <c r="B108" s="215">
        <v>19</v>
      </c>
      <c r="C108" s="216" t="s">
        <v>1124</v>
      </c>
      <c r="D108" s="211">
        <v>1991</v>
      </c>
      <c r="E108" s="211">
        <v>2010</v>
      </c>
      <c r="F108" s="212" t="s">
        <v>1325</v>
      </c>
      <c r="G108" s="211">
        <v>13</v>
      </c>
      <c r="H108" s="211">
        <v>1</v>
      </c>
      <c r="I108" s="192">
        <v>4135.3</v>
      </c>
      <c r="J108" s="192">
        <v>3928.9</v>
      </c>
      <c r="K108" s="192">
        <v>3680.79</v>
      </c>
      <c r="L108" s="213">
        <v>225</v>
      </c>
      <c r="M108" s="214" t="s">
        <v>271</v>
      </c>
      <c r="N108" s="219" t="s">
        <v>350</v>
      </c>
      <c r="O108" s="192">
        <v>167825.19</v>
      </c>
      <c r="P108" s="192">
        <f t="shared" si="8"/>
        <v>40.583558629361832</v>
      </c>
      <c r="Q108" s="192">
        <v>611.59208763572167</v>
      </c>
      <c r="R108" s="217"/>
      <c r="S108" s="16"/>
      <c r="V108" s="218"/>
      <c r="W108" s="218"/>
    </row>
    <row r="109" spans="1:23" ht="35.25" x14ac:dyDescent="0.5">
      <c r="A109" s="6">
        <v>1</v>
      </c>
      <c r="B109" s="215">
        <v>20</v>
      </c>
      <c r="C109" s="216" t="s">
        <v>1429</v>
      </c>
      <c r="D109" s="211">
        <v>1959</v>
      </c>
      <c r="E109" s="211"/>
      <c r="F109" s="212" t="s">
        <v>269</v>
      </c>
      <c r="G109" s="211">
        <v>4</v>
      </c>
      <c r="H109" s="211">
        <v>3</v>
      </c>
      <c r="I109" s="192">
        <v>3123</v>
      </c>
      <c r="J109" s="192">
        <v>2505.0300000000002</v>
      </c>
      <c r="K109" s="192">
        <v>2369.63</v>
      </c>
      <c r="L109" s="213">
        <v>89</v>
      </c>
      <c r="M109" s="219" t="s">
        <v>271</v>
      </c>
      <c r="N109" s="219" t="s">
        <v>1324</v>
      </c>
      <c r="O109" s="192">
        <v>11016.92</v>
      </c>
      <c r="P109" s="192">
        <f t="shared" si="8"/>
        <v>3.5276721101504962</v>
      </c>
      <c r="Q109" s="192">
        <v>2317.2525264169067</v>
      </c>
      <c r="R109" s="217"/>
      <c r="S109" s="16"/>
      <c r="V109" s="218"/>
      <c r="W109" s="218"/>
    </row>
    <row r="110" spans="1:23" ht="35.25" x14ac:dyDescent="0.5">
      <c r="A110" s="6">
        <v>1</v>
      </c>
      <c r="B110" s="215">
        <v>21</v>
      </c>
      <c r="C110" s="216" t="s">
        <v>1500</v>
      </c>
      <c r="D110" s="211">
        <v>1953</v>
      </c>
      <c r="E110" s="211">
        <v>2008</v>
      </c>
      <c r="F110" s="212" t="s">
        <v>269</v>
      </c>
      <c r="G110" s="211">
        <v>2</v>
      </c>
      <c r="H110" s="211">
        <v>1</v>
      </c>
      <c r="I110" s="192">
        <v>520.79999999999995</v>
      </c>
      <c r="J110" s="192">
        <v>480.7</v>
      </c>
      <c r="K110" s="192">
        <v>406.6</v>
      </c>
      <c r="L110" s="213">
        <v>27</v>
      </c>
      <c r="M110" s="219" t="s">
        <v>271</v>
      </c>
      <c r="N110" s="219" t="s">
        <v>350</v>
      </c>
      <c r="O110" s="192">
        <v>111509.89</v>
      </c>
      <c r="P110" s="192">
        <f t="shared" si="8"/>
        <v>214.11269201228882</v>
      </c>
      <c r="Q110" s="192">
        <v>9325.2146313364065</v>
      </c>
      <c r="R110" s="217"/>
      <c r="S110" s="16"/>
      <c r="V110" s="218"/>
      <c r="W110" s="218"/>
    </row>
    <row r="111" spans="1:23" ht="35.25" x14ac:dyDescent="0.5">
      <c r="A111" s="6">
        <v>1</v>
      </c>
      <c r="B111" s="215">
        <v>22</v>
      </c>
      <c r="C111" s="216" t="s">
        <v>1501</v>
      </c>
      <c r="D111" s="211">
        <v>1936</v>
      </c>
      <c r="E111" s="211">
        <v>2008</v>
      </c>
      <c r="F111" s="212" t="s">
        <v>269</v>
      </c>
      <c r="G111" s="211">
        <v>3</v>
      </c>
      <c r="H111" s="211">
        <v>4</v>
      </c>
      <c r="I111" s="192">
        <v>1637.8</v>
      </c>
      <c r="J111" s="192">
        <v>1246.5999999999999</v>
      </c>
      <c r="K111" s="192">
        <v>1142.8</v>
      </c>
      <c r="L111" s="213">
        <v>53</v>
      </c>
      <c r="M111" s="219" t="s">
        <v>271</v>
      </c>
      <c r="N111" s="219" t="s">
        <v>351</v>
      </c>
      <c r="O111" s="192">
        <v>159880.51999999999</v>
      </c>
      <c r="P111" s="192">
        <f t="shared" si="8"/>
        <v>97.619074368054697</v>
      </c>
      <c r="Q111" s="192">
        <v>2379.8889361948955</v>
      </c>
      <c r="R111" s="217"/>
      <c r="S111" s="16"/>
      <c r="V111" s="218"/>
      <c r="W111" s="218"/>
    </row>
    <row r="112" spans="1:23" ht="35.25" x14ac:dyDescent="0.5">
      <c r="A112" s="6">
        <v>1</v>
      </c>
      <c r="B112" s="215">
        <v>23</v>
      </c>
      <c r="C112" s="216" t="s">
        <v>1502</v>
      </c>
      <c r="D112" s="211">
        <v>1950</v>
      </c>
      <c r="E112" s="211"/>
      <c r="F112" s="212" t="s">
        <v>269</v>
      </c>
      <c r="G112" s="211">
        <v>2</v>
      </c>
      <c r="H112" s="211">
        <v>1</v>
      </c>
      <c r="I112" s="192">
        <v>459.9</v>
      </c>
      <c r="J112" s="192">
        <v>417.6</v>
      </c>
      <c r="K112" s="192">
        <v>417.6</v>
      </c>
      <c r="L112" s="213">
        <v>24</v>
      </c>
      <c r="M112" s="219" t="s">
        <v>271</v>
      </c>
      <c r="N112" s="219" t="s">
        <v>995</v>
      </c>
      <c r="O112" s="192">
        <v>9497.9600000000009</v>
      </c>
      <c r="P112" s="192">
        <f t="shared" si="8"/>
        <v>20.652228745379432</v>
      </c>
      <c r="Q112" s="192">
        <v>7486.637312459231</v>
      </c>
      <c r="R112" s="217"/>
      <c r="S112" s="16"/>
      <c r="V112" s="218"/>
      <c r="W112" s="218"/>
    </row>
    <row r="113" spans="1:23" ht="35.25" x14ac:dyDescent="0.5">
      <c r="A113" s="6">
        <v>1</v>
      </c>
      <c r="B113" s="215">
        <v>24</v>
      </c>
      <c r="C113" s="216" t="s">
        <v>1503</v>
      </c>
      <c r="D113" s="211">
        <v>1961</v>
      </c>
      <c r="E113" s="211"/>
      <c r="F113" s="212" t="s">
        <v>269</v>
      </c>
      <c r="G113" s="211">
        <v>4</v>
      </c>
      <c r="H113" s="211">
        <v>2</v>
      </c>
      <c r="I113" s="192">
        <v>2794.3</v>
      </c>
      <c r="J113" s="192">
        <v>1973.11</v>
      </c>
      <c r="K113" s="192">
        <v>1887.11</v>
      </c>
      <c r="L113" s="213">
        <v>86</v>
      </c>
      <c r="M113" s="219" t="s">
        <v>271</v>
      </c>
      <c r="N113" s="219" t="s">
        <v>1576</v>
      </c>
      <c r="O113" s="192">
        <v>61000.020000000004</v>
      </c>
      <c r="P113" s="192">
        <f t="shared" si="8"/>
        <v>21.830161399992843</v>
      </c>
      <c r="Q113" s="192">
        <v>1807.9566725118991</v>
      </c>
      <c r="R113" s="217"/>
      <c r="S113" s="16"/>
      <c r="V113" s="218"/>
      <c r="W113" s="218"/>
    </row>
    <row r="114" spans="1:23" ht="35.25" x14ac:dyDescent="0.5">
      <c r="A114" s="6">
        <v>1</v>
      </c>
      <c r="B114" s="215">
        <v>25</v>
      </c>
      <c r="C114" s="216" t="s">
        <v>1612</v>
      </c>
      <c r="D114" s="211">
        <v>1952</v>
      </c>
      <c r="E114" s="211"/>
      <c r="F114" s="212" t="s">
        <v>338</v>
      </c>
      <c r="G114" s="211">
        <v>2</v>
      </c>
      <c r="H114" s="211">
        <v>3</v>
      </c>
      <c r="I114" s="192">
        <v>1380</v>
      </c>
      <c r="J114" s="192">
        <v>1114.5</v>
      </c>
      <c r="K114" s="192">
        <v>895.5</v>
      </c>
      <c r="L114" s="213">
        <v>35</v>
      </c>
      <c r="M114" s="219" t="s">
        <v>271</v>
      </c>
      <c r="N114" s="219" t="s">
        <v>1611</v>
      </c>
      <c r="O114" s="192">
        <v>91802</v>
      </c>
      <c r="P114" s="192">
        <f t="shared" si="8"/>
        <v>66.5231884057971</v>
      </c>
      <c r="Q114" s="192">
        <v>4804.015369565217</v>
      </c>
      <c r="R114" s="217"/>
      <c r="S114" s="16"/>
      <c r="V114" s="218"/>
      <c r="W114" s="218"/>
    </row>
    <row r="115" spans="1:23" ht="35.25" x14ac:dyDescent="0.5">
      <c r="B115" s="215">
        <v>26</v>
      </c>
      <c r="C115" s="216" t="s">
        <v>1903</v>
      </c>
      <c r="D115" s="211" t="s">
        <v>376</v>
      </c>
      <c r="E115" s="211"/>
      <c r="F115" s="212" t="s">
        <v>313</v>
      </c>
      <c r="G115" s="211">
        <v>5</v>
      </c>
      <c r="H115" s="211">
        <v>4</v>
      </c>
      <c r="I115" s="192">
        <v>3908</v>
      </c>
      <c r="J115" s="192">
        <v>3817</v>
      </c>
      <c r="K115" s="192">
        <v>3165.2</v>
      </c>
      <c r="L115" s="213">
        <v>197</v>
      </c>
      <c r="M115" s="219" t="s">
        <v>271</v>
      </c>
      <c r="N115" s="214" t="s">
        <v>1705</v>
      </c>
      <c r="O115" s="192">
        <v>43945.16</v>
      </c>
      <c r="P115" s="192">
        <f t="shared" si="8"/>
        <v>11.244923234390994</v>
      </c>
      <c r="Q115" s="192">
        <v>1526.6021161719548</v>
      </c>
      <c r="R115" s="217"/>
      <c r="S115" s="16"/>
      <c r="V115" s="218"/>
      <c r="W115" s="218"/>
    </row>
    <row r="116" spans="1:23" ht="35.25" x14ac:dyDescent="0.5">
      <c r="B116" s="293" t="s">
        <v>829</v>
      </c>
      <c r="C116" s="216"/>
      <c r="D116" s="211" t="s">
        <v>757</v>
      </c>
      <c r="E116" s="211" t="s">
        <v>757</v>
      </c>
      <c r="F116" s="212" t="s">
        <v>757</v>
      </c>
      <c r="G116" s="211" t="s">
        <v>757</v>
      </c>
      <c r="H116" s="211" t="s">
        <v>757</v>
      </c>
      <c r="I116" s="192">
        <f>SUM(I117:I123)</f>
        <v>14909.5</v>
      </c>
      <c r="J116" s="192">
        <f t="shared" ref="J116:L116" si="13">SUM(J117:J123)</f>
        <v>8883.0999999999985</v>
      </c>
      <c r="K116" s="192">
        <f t="shared" si="13"/>
        <v>7514.1</v>
      </c>
      <c r="L116" s="213">
        <f t="shared" si="13"/>
        <v>477</v>
      </c>
      <c r="M116" s="211" t="s">
        <v>896</v>
      </c>
      <c r="N116" s="214" t="s">
        <v>896</v>
      </c>
      <c r="O116" s="192">
        <v>2682931.6799999997</v>
      </c>
      <c r="P116" s="192">
        <f t="shared" si="8"/>
        <v>179.94779704215432</v>
      </c>
      <c r="Q116" s="192">
        <f>MAX(Q117:Q123)</f>
        <v>5909.1714344685242</v>
      </c>
      <c r="R116" s="217"/>
      <c r="S116" s="16"/>
      <c r="V116" s="218"/>
      <c r="W116" s="218"/>
    </row>
    <row r="117" spans="1:23" ht="35.25" x14ac:dyDescent="0.5">
      <c r="A117" s="6">
        <v>1</v>
      </c>
      <c r="B117" s="215">
        <v>27</v>
      </c>
      <c r="C117" s="216" t="s">
        <v>1430</v>
      </c>
      <c r="D117" s="211">
        <v>1992</v>
      </c>
      <c r="E117" s="211"/>
      <c r="F117" s="212" t="s">
        <v>269</v>
      </c>
      <c r="G117" s="211">
        <v>3</v>
      </c>
      <c r="H117" s="211">
        <v>3</v>
      </c>
      <c r="I117" s="192">
        <v>3997</v>
      </c>
      <c r="J117" s="192">
        <v>1901.1</v>
      </c>
      <c r="K117" s="192">
        <v>1791.5</v>
      </c>
      <c r="L117" s="213">
        <v>73</v>
      </c>
      <c r="M117" s="211" t="s">
        <v>271</v>
      </c>
      <c r="N117" s="214" t="s">
        <v>1517</v>
      </c>
      <c r="O117" s="192">
        <v>505301.78</v>
      </c>
      <c r="P117" s="192">
        <f t="shared" si="8"/>
        <v>126.42026019514637</v>
      </c>
      <c r="Q117" s="192">
        <v>1798.0230472854639</v>
      </c>
      <c r="R117" s="217"/>
      <c r="S117" s="16"/>
      <c r="V117" s="218"/>
      <c r="W117" s="218"/>
    </row>
    <row r="118" spans="1:23" ht="35.25" x14ac:dyDescent="0.5">
      <c r="A118" s="6">
        <v>1</v>
      </c>
      <c r="B118" s="215">
        <v>28</v>
      </c>
      <c r="C118" s="216" t="s">
        <v>1431</v>
      </c>
      <c r="D118" s="211">
        <v>1983</v>
      </c>
      <c r="E118" s="211"/>
      <c r="F118" s="212" t="s">
        <v>313</v>
      </c>
      <c r="G118" s="211">
        <v>5</v>
      </c>
      <c r="H118" s="211">
        <v>4</v>
      </c>
      <c r="I118" s="192">
        <v>4357</v>
      </c>
      <c r="J118" s="192">
        <v>1821.4</v>
      </c>
      <c r="K118" s="192">
        <v>1678.3</v>
      </c>
      <c r="L118" s="213">
        <v>159</v>
      </c>
      <c r="M118" s="211" t="s">
        <v>271</v>
      </c>
      <c r="N118" s="214" t="s">
        <v>1517</v>
      </c>
      <c r="O118" s="192">
        <v>1853524.39</v>
      </c>
      <c r="P118" s="192">
        <f t="shared" si="8"/>
        <v>425.41298829469815</v>
      </c>
      <c r="Q118" s="192">
        <v>1167.4097716318568</v>
      </c>
      <c r="R118" s="217"/>
      <c r="S118" s="16"/>
      <c r="V118" s="218"/>
      <c r="W118" s="218"/>
    </row>
    <row r="119" spans="1:23" ht="35.25" x14ac:dyDescent="0.5">
      <c r="A119" s="6">
        <v>1</v>
      </c>
      <c r="B119" s="215">
        <v>29</v>
      </c>
      <c r="C119" s="216" t="s">
        <v>1432</v>
      </c>
      <c r="D119" s="211">
        <v>1940</v>
      </c>
      <c r="E119" s="211"/>
      <c r="F119" s="212" t="s">
        <v>269</v>
      </c>
      <c r="G119" s="211">
        <v>3</v>
      </c>
      <c r="H119" s="211">
        <v>3</v>
      </c>
      <c r="I119" s="192">
        <v>2021</v>
      </c>
      <c r="J119" s="192">
        <v>1886.9</v>
      </c>
      <c r="K119" s="192">
        <v>1320.5</v>
      </c>
      <c r="L119" s="213">
        <v>47</v>
      </c>
      <c r="M119" s="211" t="s">
        <v>271</v>
      </c>
      <c r="N119" s="214" t="s">
        <v>1518</v>
      </c>
      <c r="O119" s="192">
        <v>57982.38</v>
      </c>
      <c r="P119" s="192">
        <f t="shared" si="8"/>
        <v>28.689945571499255</v>
      </c>
      <c r="Q119" s="192">
        <v>3842.7220714497771</v>
      </c>
      <c r="R119" s="217"/>
      <c r="S119" s="16"/>
      <c r="V119" s="218"/>
      <c r="W119" s="218"/>
    </row>
    <row r="120" spans="1:23" ht="35.25" x14ac:dyDescent="0.5">
      <c r="A120" s="6">
        <v>1</v>
      </c>
      <c r="B120" s="215">
        <v>30</v>
      </c>
      <c r="C120" s="216" t="s">
        <v>1433</v>
      </c>
      <c r="D120" s="211">
        <v>1994</v>
      </c>
      <c r="E120" s="211"/>
      <c r="F120" s="212" t="s">
        <v>269</v>
      </c>
      <c r="G120" s="211">
        <v>3</v>
      </c>
      <c r="H120" s="211">
        <v>3</v>
      </c>
      <c r="I120" s="192">
        <v>1540.3</v>
      </c>
      <c r="J120" s="192">
        <v>1362.4</v>
      </c>
      <c r="K120" s="192">
        <v>1247.3</v>
      </c>
      <c r="L120" s="213">
        <v>65</v>
      </c>
      <c r="M120" s="211" t="s">
        <v>268</v>
      </c>
      <c r="N120" s="214" t="s">
        <v>270</v>
      </c>
      <c r="O120" s="192">
        <v>175548.91</v>
      </c>
      <c r="P120" s="192">
        <f t="shared" si="8"/>
        <v>113.97059663701877</v>
      </c>
      <c r="Q120" s="192">
        <v>3405.8554956826592</v>
      </c>
      <c r="R120" s="217"/>
      <c r="S120" s="16"/>
      <c r="V120" s="218"/>
      <c r="W120" s="218"/>
    </row>
    <row r="121" spans="1:23" ht="35.25" x14ac:dyDescent="0.5">
      <c r="A121" s="6">
        <v>1</v>
      </c>
      <c r="B121" s="215">
        <v>31</v>
      </c>
      <c r="C121" s="216" t="s">
        <v>1434</v>
      </c>
      <c r="D121" s="211">
        <v>1955</v>
      </c>
      <c r="E121" s="211"/>
      <c r="F121" s="212" t="s">
        <v>269</v>
      </c>
      <c r="G121" s="211">
        <v>2</v>
      </c>
      <c r="H121" s="211">
        <v>2</v>
      </c>
      <c r="I121" s="192">
        <v>872.1</v>
      </c>
      <c r="J121" s="192">
        <v>557</v>
      </c>
      <c r="K121" s="192">
        <v>255.4</v>
      </c>
      <c r="L121" s="213">
        <v>40</v>
      </c>
      <c r="M121" s="211" t="s">
        <v>271</v>
      </c>
      <c r="N121" s="214" t="s">
        <v>1518</v>
      </c>
      <c r="O121" s="192">
        <v>63876.88</v>
      </c>
      <c r="P121" s="192">
        <f t="shared" si="8"/>
        <v>73.2449031074418</v>
      </c>
      <c r="Q121" s="192">
        <v>5909.1714344685242</v>
      </c>
      <c r="R121" s="217"/>
      <c r="S121" s="16"/>
      <c r="V121" s="218"/>
      <c r="W121" s="218"/>
    </row>
    <row r="122" spans="1:23" ht="35.25" x14ac:dyDescent="0.5">
      <c r="A122" s="6">
        <v>1</v>
      </c>
      <c r="B122" s="215">
        <v>32</v>
      </c>
      <c r="C122" s="216" t="s">
        <v>1435</v>
      </c>
      <c r="D122" s="211">
        <v>1928</v>
      </c>
      <c r="E122" s="211"/>
      <c r="F122" s="212" t="s">
        <v>269</v>
      </c>
      <c r="G122" s="211">
        <v>2</v>
      </c>
      <c r="H122" s="211">
        <v>2</v>
      </c>
      <c r="I122" s="192">
        <v>552</v>
      </c>
      <c r="J122" s="192">
        <v>401.5</v>
      </c>
      <c r="K122" s="192">
        <v>268.3</v>
      </c>
      <c r="L122" s="213">
        <v>32</v>
      </c>
      <c r="M122" s="211" t="s">
        <v>268</v>
      </c>
      <c r="N122" s="214" t="s">
        <v>270</v>
      </c>
      <c r="O122" s="192">
        <v>2454.27</v>
      </c>
      <c r="P122" s="192">
        <f t="shared" si="8"/>
        <v>4.446141304347826</v>
      </c>
      <c r="Q122" s="192">
        <v>5352.9160869565212</v>
      </c>
      <c r="R122" s="217"/>
      <c r="S122" s="16"/>
      <c r="V122" s="218"/>
      <c r="W122" s="218"/>
    </row>
    <row r="123" spans="1:23" ht="35.25" x14ac:dyDescent="0.5">
      <c r="B123" s="215">
        <v>33</v>
      </c>
      <c r="C123" s="216" t="s">
        <v>1904</v>
      </c>
      <c r="D123" s="211" t="s">
        <v>371</v>
      </c>
      <c r="E123" s="211"/>
      <c r="F123" s="212" t="s">
        <v>269</v>
      </c>
      <c r="G123" s="211">
        <v>3</v>
      </c>
      <c r="H123" s="211">
        <v>3</v>
      </c>
      <c r="I123" s="192">
        <v>1570.1</v>
      </c>
      <c r="J123" s="192">
        <v>952.8</v>
      </c>
      <c r="K123" s="192">
        <v>952.8</v>
      </c>
      <c r="L123" s="213">
        <v>61</v>
      </c>
      <c r="M123" s="211" t="s">
        <v>343</v>
      </c>
      <c r="N123" s="214" t="s">
        <v>1916</v>
      </c>
      <c r="O123" s="192">
        <v>24243.07</v>
      </c>
      <c r="P123" s="192">
        <f t="shared" si="8"/>
        <v>15.440462390930515</v>
      </c>
      <c r="Q123" s="192">
        <v>3927.3212852684542</v>
      </c>
      <c r="R123" s="217"/>
      <c r="S123" s="16"/>
      <c r="V123" s="218"/>
      <c r="W123" s="218"/>
    </row>
    <row r="124" spans="1:23" ht="35.25" x14ac:dyDescent="0.5">
      <c r="B124" s="293" t="s">
        <v>828</v>
      </c>
      <c r="C124" s="216"/>
      <c r="D124" s="211" t="s">
        <v>757</v>
      </c>
      <c r="E124" s="211" t="s">
        <v>757</v>
      </c>
      <c r="F124" s="212" t="s">
        <v>757</v>
      </c>
      <c r="G124" s="211" t="s">
        <v>757</v>
      </c>
      <c r="H124" s="211" t="s">
        <v>757</v>
      </c>
      <c r="I124" s="192">
        <f>SUM(I125:I128)</f>
        <v>3874.7000000000003</v>
      </c>
      <c r="J124" s="192">
        <f t="shared" ref="J124:L124" si="14">SUM(J125:J128)</f>
        <v>2543</v>
      </c>
      <c r="K124" s="192">
        <f t="shared" si="14"/>
        <v>1614</v>
      </c>
      <c r="L124" s="213">
        <f t="shared" si="14"/>
        <v>141</v>
      </c>
      <c r="M124" s="211" t="s">
        <v>896</v>
      </c>
      <c r="N124" s="214" t="s">
        <v>896</v>
      </c>
      <c r="O124" s="192">
        <v>3091318.25</v>
      </c>
      <c r="P124" s="192">
        <f t="shared" si="8"/>
        <v>797.82131519859593</v>
      </c>
      <c r="Q124" s="192">
        <f>MAX(Q125:Q128)</f>
        <v>4506.257456896552</v>
      </c>
      <c r="R124" s="217"/>
      <c r="S124" s="16"/>
      <c r="V124" s="218"/>
      <c r="W124" s="218"/>
    </row>
    <row r="125" spans="1:23" ht="35.25" x14ac:dyDescent="0.5">
      <c r="A125" s="6">
        <v>1</v>
      </c>
      <c r="B125" s="215">
        <v>34</v>
      </c>
      <c r="C125" s="216" t="s">
        <v>1436</v>
      </c>
      <c r="D125" s="211">
        <v>1965</v>
      </c>
      <c r="E125" s="211"/>
      <c r="F125" s="212" t="s">
        <v>269</v>
      </c>
      <c r="G125" s="211">
        <v>2</v>
      </c>
      <c r="H125" s="211">
        <v>2</v>
      </c>
      <c r="I125" s="192">
        <v>772.6</v>
      </c>
      <c r="J125" s="192">
        <v>450.9</v>
      </c>
      <c r="K125" s="192">
        <v>299.5</v>
      </c>
      <c r="L125" s="213">
        <v>27</v>
      </c>
      <c r="M125" s="211" t="s">
        <v>268</v>
      </c>
      <c r="N125" s="211" t="s">
        <v>270</v>
      </c>
      <c r="O125" s="192">
        <v>48915.49</v>
      </c>
      <c r="P125" s="192">
        <f t="shared" si="8"/>
        <v>63.312826818534816</v>
      </c>
      <c r="Q125" s="192">
        <v>3338.3358529640172</v>
      </c>
      <c r="R125" s="217"/>
      <c r="S125" s="16"/>
      <c r="V125" s="218"/>
      <c r="W125" s="218"/>
    </row>
    <row r="126" spans="1:23" ht="35.25" x14ac:dyDescent="0.5">
      <c r="A126" s="6">
        <v>1</v>
      </c>
      <c r="B126" s="215">
        <v>35</v>
      </c>
      <c r="C126" s="216" t="s">
        <v>1437</v>
      </c>
      <c r="D126" s="211">
        <v>1942</v>
      </c>
      <c r="E126" s="211"/>
      <c r="F126" s="212" t="s">
        <v>332</v>
      </c>
      <c r="G126" s="211">
        <v>2</v>
      </c>
      <c r="H126" s="211">
        <v>2</v>
      </c>
      <c r="I126" s="192">
        <v>842.2</v>
      </c>
      <c r="J126" s="192">
        <v>492.3</v>
      </c>
      <c r="K126" s="192">
        <v>352</v>
      </c>
      <c r="L126" s="213">
        <v>33</v>
      </c>
      <c r="M126" s="211" t="s">
        <v>268</v>
      </c>
      <c r="N126" s="211" t="s">
        <v>270</v>
      </c>
      <c r="O126" s="192">
        <v>14682.87</v>
      </c>
      <c r="P126" s="192">
        <f t="shared" si="8"/>
        <v>17.433946805984327</v>
      </c>
      <c r="Q126" s="192">
        <v>3776.0348135834715</v>
      </c>
      <c r="R126" s="217"/>
      <c r="S126" s="16"/>
      <c r="V126" s="218"/>
      <c r="W126" s="218"/>
    </row>
    <row r="127" spans="1:23" ht="35.25" x14ac:dyDescent="0.5">
      <c r="A127" s="6">
        <v>1</v>
      </c>
      <c r="B127" s="215">
        <v>36</v>
      </c>
      <c r="C127" s="216" t="s">
        <v>1438</v>
      </c>
      <c r="D127" s="211">
        <v>1933</v>
      </c>
      <c r="E127" s="211"/>
      <c r="F127" s="212" t="s">
        <v>269</v>
      </c>
      <c r="G127" s="211">
        <v>3</v>
      </c>
      <c r="H127" s="211">
        <v>3</v>
      </c>
      <c r="I127" s="192">
        <v>1795.9</v>
      </c>
      <c r="J127" s="192">
        <v>1183</v>
      </c>
      <c r="K127" s="192">
        <v>857.7</v>
      </c>
      <c r="L127" s="213">
        <v>48</v>
      </c>
      <c r="M127" s="211" t="s">
        <v>268</v>
      </c>
      <c r="N127" s="211" t="s">
        <v>270</v>
      </c>
      <c r="O127" s="192">
        <v>2981100.72</v>
      </c>
      <c r="P127" s="192">
        <f t="shared" si="8"/>
        <v>1659.94805946879</v>
      </c>
      <c r="Q127" s="192">
        <v>2544.6509827941418</v>
      </c>
      <c r="R127" s="217"/>
      <c r="S127" s="16"/>
      <c r="V127" s="218"/>
      <c r="W127" s="218"/>
    </row>
    <row r="128" spans="1:23" ht="35.25" x14ac:dyDescent="0.5">
      <c r="A128" s="6">
        <v>1</v>
      </c>
      <c r="B128" s="215">
        <v>37</v>
      </c>
      <c r="C128" s="216" t="s">
        <v>1439</v>
      </c>
      <c r="D128" s="211">
        <v>1934</v>
      </c>
      <c r="E128" s="211"/>
      <c r="F128" s="212" t="s">
        <v>332</v>
      </c>
      <c r="G128" s="211">
        <v>2</v>
      </c>
      <c r="H128" s="211">
        <v>2</v>
      </c>
      <c r="I128" s="192">
        <v>464</v>
      </c>
      <c r="J128" s="192">
        <v>416.8</v>
      </c>
      <c r="K128" s="192">
        <v>104.80000000000001</v>
      </c>
      <c r="L128" s="213">
        <v>33</v>
      </c>
      <c r="M128" s="211" t="s">
        <v>268</v>
      </c>
      <c r="N128" s="211" t="s">
        <v>270</v>
      </c>
      <c r="O128" s="192">
        <v>46619.17</v>
      </c>
      <c r="P128" s="192">
        <f t="shared" si="8"/>
        <v>100.47234913793103</v>
      </c>
      <c r="Q128" s="192">
        <v>4506.257456896552</v>
      </c>
      <c r="R128" s="217"/>
      <c r="S128" s="16"/>
      <c r="V128" s="218"/>
      <c r="W128" s="218"/>
    </row>
    <row r="129" spans="1:23" ht="35.25" x14ac:dyDescent="0.5">
      <c r="B129" s="293" t="s">
        <v>766</v>
      </c>
      <c r="C129" s="216"/>
      <c r="D129" s="211" t="s">
        <v>757</v>
      </c>
      <c r="E129" s="211" t="s">
        <v>757</v>
      </c>
      <c r="F129" s="212" t="s">
        <v>757</v>
      </c>
      <c r="G129" s="211" t="s">
        <v>757</v>
      </c>
      <c r="H129" s="211" t="s">
        <v>757</v>
      </c>
      <c r="I129" s="192">
        <f>SUM(I130:I159)</f>
        <v>63103.719999999994</v>
      </c>
      <c r="J129" s="192">
        <f t="shared" ref="J129:L129" si="15">SUM(J130:J159)</f>
        <v>52709.600000000006</v>
      </c>
      <c r="K129" s="192">
        <f t="shared" si="15"/>
        <v>44681.909999999996</v>
      </c>
      <c r="L129" s="213">
        <f t="shared" si="15"/>
        <v>2118</v>
      </c>
      <c r="M129" s="211" t="s">
        <v>896</v>
      </c>
      <c r="N129" s="214" t="s">
        <v>896</v>
      </c>
      <c r="O129" s="192">
        <v>9439005.0200000033</v>
      </c>
      <c r="P129" s="192">
        <f t="shared" si="8"/>
        <v>149.57921688293501</v>
      </c>
      <c r="Q129" s="192">
        <f>MAX(Q130:Q159)</f>
        <v>6583.3815536494567</v>
      </c>
      <c r="R129" s="217"/>
      <c r="S129" s="16"/>
      <c r="V129" s="218"/>
      <c r="W129" s="218"/>
    </row>
    <row r="130" spans="1:23" ht="35.25" x14ac:dyDescent="0.5">
      <c r="A130" s="6">
        <v>1</v>
      </c>
      <c r="B130" s="215">
        <v>38</v>
      </c>
      <c r="C130" s="216" t="s">
        <v>1440</v>
      </c>
      <c r="D130" s="211">
        <v>1962</v>
      </c>
      <c r="E130" s="211"/>
      <c r="F130" s="212" t="s">
        <v>269</v>
      </c>
      <c r="G130" s="211">
        <v>5</v>
      </c>
      <c r="H130" s="211">
        <v>2</v>
      </c>
      <c r="I130" s="192">
        <v>1612.2</v>
      </c>
      <c r="J130" s="192">
        <v>1358.8</v>
      </c>
      <c r="K130" s="192">
        <v>1358.8</v>
      </c>
      <c r="L130" s="213">
        <v>53</v>
      </c>
      <c r="M130" s="211" t="s">
        <v>271</v>
      </c>
      <c r="N130" s="211" t="s">
        <v>1519</v>
      </c>
      <c r="O130" s="192">
        <v>15597.11</v>
      </c>
      <c r="P130" s="192">
        <f t="shared" si="8"/>
        <v>9.6744262498449327</v>
      </c>
      <c r="Q130" s="192">
        <v>810.46</v>
      </c>
      <c r="R130" s="217"/>
      <c r="S130" s="16"/>
      <c r="V130" s="218"/>
      <c r="W130" s="218"/>
    </row>
    <row r="131" spans="1:23" ht="35.25" x14ac:dyDescent="0.5">
      <c r="A131" s="6">
        <v>1</v>
      </c>
      <c r="B131" s="215">
        <v>39</v>
      </c>
      <c r="C131" s="216" t="s">
        <v>1441</v>
      </c>
      <c r="D131" s="211">
        <v>1958</v>
      </c>
      <c r="E131" s="211"/>
      <c r="F131" s="212" t="s">
        <v>269</v>
      </c>
      <c r="G131" s="211">
        <v>4</v>
      </c>
      <c r="H131" s="211">
        <v>4</v>
      </c>
      <c r="I131" s="192">
        <v>5485.5</v>
      </c>
      <c r="J131" s="192">
        <v>4412.8</v>
      </c>
      <c r="K131" s="192">
        <v>3382.7</v>
      </c>
      <c r="L131" s="213">
        <v>96</v>
      </c>
      <c r="M131" s="211" t="s">
        <v>271</v>
      </c>
      <c r="N131" s="214" t="s">
        <v>1360</v>
      </c>
      <c r="O131" s="192">
        <v>2190830</v>
      </c>
      <c r="P131" s="192">
        <f t="shared" si="8"/>
        <v>399.385653085407</v>
      </c>
      <c r="Q131" s="192">
        <v>1825.9600765654909</v>
      </c>
      <c r="R131" s="217"/>
      <c r="S131" s="16"/>
      <c r="V131" s="218"/>
      <c r="W131" s="218"/>
    </row>
    <row r="132" spans="1:23" ht="35.25" x14ac:dyDescent="0.5">
      <c r="A132" s="6">
        <v>1</v>
      </c>
      <c r="B132" s="215">
        <v>40</v>
      </c>
      <c r="C132" s="216" t="s">
        <v>1442</v>
      </c>
      <c r="D132" s="211">
        <v>1929</v>
      </c>
      <c r="E132" s="211"/>
      <c r="F132" s="212" t="s">
        <v>269</v>
      </c>
      <c r="G132" s="211">
        <v>4</v>
      </c>
      <c r="H132" s="211">
        <v>5</v>
      </c>
      <c r="I132" s="192">
        <v>2469.13</v>
      </c>
      <c r="J132" s="192">
        <v>2349.9299999999998</v>
      </c>
      <c r="K132" s="192">
        <v>2349.9299999999998</v>
      </c>
      <c r="L132" s="213">
        <v>95</v>
      </c>
      <c r="M132" s="211" t="s">
        <v>271</v>
      </c>
      <c r="N132" s="214" t="s">
        <v>1520</v>
      </c>
      <c r="O132" s="192">
        <v>485978.33</v>
      </c>
      <c r="P132" s="192">
        <f t="shared" si="8"/>
        <v>196.82168618096253</v>
      </c>
      <c r="Q132" s="192">
        <v>2091.3866532746347</v>
      </c>
      <c r="R132" s="217"/>
      <c r="S132" s="16"/>
      <c r="V132" s="218"/>
      <c r="W132" s="218"/>
    </row>
    <row r="133" spans="1:23" ht="35.25" x14ac:dyDescent="0.5">
      <c r="A133" s="6">
        <v>1</v>
      </c>
      <c r="B133" s="215">
        <v>41</v>
      </c>
      <c r="C133" s="216" t="s">
        <v>1443</v>
      </c>
      <c r="D133" s="211">
        <v>1961</v>
      </c>
      <c r="E133" s="211"/>
      <c r="F133" s="212" t="s">
        <v>269</v>
      </c>
      <c r="G133" s="211">
        <v>4</v>
      </c>
      <c r="H133" s="211">
        <v>2</v>
      </c>
      <c r="I133" s="192">
        <v>1371.7</v>
      </c>
      <c r="J133" s="192">
        <v>1268.5999999999999</v>
      </c>
      <c r="K133" s="192">
        <v>1268.5999999999999</v>
      </c>
      <c r="L133" s="213">
        <v>55</v>
      </c>
      <c r="M133" s="211" t="s">
        <v>271</v>
      </c>
      <c r="N133" s="214" t="s">
        <v>1521</v>
      </c>
      <c r="O133" s="192">
        <v>450455.92</v>
      </c>
      <c r="P133" s="192">
        <f t="shared" si="8"/>
        <v>328.39244732813296</v>
      </c>
      <c r="Q133" s="192">
        <v>2179.6797725450169</v>
      </c>
      <c r="R133" s="217"/>
      <c r="S133" s="16"/>
      <c r="V133" s="218"/>
      <c r="W133" s="218"/>
    </row>
    <row r="134" spans="1:23" ht="35.25" x14ac:dyDescent="0.5">
      <c r="A134" s="6">
        <v>1</v>
      </c>
      <c r="B134" s="215">
        <v>42</v>
      </c>
      <c r="C134" s="216" t="s">
        <v>1444</v>
      </c>
      <c r="D134" s="211">
        <v>1959</v>
      </c>
      <c r="E134" s="211"/>
      <c r="F134" s="212" t="s">
        <v>269</v>
      </c>
      <c r="G134" s="211">
        <v>4</v>
      </c>
      <c r="H134" s="211">
        <v>3</v>
      </c>
      <c r="I134" s="192">
        <v>2155.1999999999998</v>
      </c>
      <c r="J134" s="192">
        <v>1435.2</v>
      </c>
      <c r="K134" s="192">
        <v>1184.7</v>
      </c>
      <c r="L134" s="213">
        <v>62</v>
      </c>
      <c r="M134" s="211" t="s">
        <v>271</v>
      </c>
      <c r="N134" s="214" t="s">
        <v>1522</v>
      </c>
      <c r="O134" s="192">
        <v>428766.45</v>
      </c>
      <c r="P134" s="192">
        <f t="shared" si="8"/>
        <v>198.94508630289533</v>
      </c>
      <c r="Q134" s="192">
        <v>1254.2455651447663</v>
      </c>
      <c r="R134" s="217"/>
      <c r="S134" s="16"/>
      <c r="V134" s="218"/>
      <c r="W134" s="218"/>
    </row>
    <row r="135" spans="1:23" ht="35.25" x14ac:dyDescent="0.5">
      <c r="A135" s="6">
        <v>1</v>
      </c>
      <c r="B135" s="215">
        <v>43</v>
      </c>
      <c r="C135" s="216" t="s">
        <v>1445</v>
      </c>
      <c r="D135" s="211">
        <v>1951</v>
      </c>
      <c r="E135" s="211"/>
      <c r="F135" s="212" t="s">
        <v>338</v>
      </c>
      <c r="G135" s="211">
        <v>2</v>
      </c>
      <c r="H135" s="211">
        <v>2</v>
      </c>
      <c r="I135" s="192">
        <v>747</v>
      </c>
      <c r="J135" s="192">
        <v>596.29999999999995</v>
      </c>
      <c r="K135" s="192">
        <v>584.29999999999995</v>
      </c>
      <c r="L135" s="213">
        <v>22</v>
      </c>
      <c r="M135" s="211" t="s">
        <v>268</v>
      </c>
      <c r="N135" s="214" t="s">
        <v>270</v>
      </c>
      <c r="O135" s="192">
        <v>32554.69</v>
      </c>
      <c r="P135" s="192">
        <f t="shared" si="8"/>
        <v>43.580575635876841</v>
      </c>
      <c r="Q135" s="192">
        <v>6494.8423694779112</v>
      </c>
      <c r="R135" s="217"/>
      <c r="S135" s="16"/>
      <c r="V135" s="218"/>
      <c r="W135" s="218"/>
    </row>
    <row r="136" spans="1:23" ht="35.25" x14ac:dyDescent="0.5">
      <c r="A136" s="6">
        <v>1</v>
      </c>
      <c r="B136" s="215">
        <v>44</v>
      </c>
      <c r="C136" s="216" t="s">
        <v>1446</v>
      </c>
      <c r="D136" s="211">
        <v>1959</v>
      </c>
      <c r="E136" s="211"/>
      <c r="F136" s="212" t="s">
        <v>269</v>
      </c>
      <c r="G136" s="211">
        <v>4</v>
      </c>
      <c r="H136" s="211">
        <v>3</v>
      </c>
      <c r="I136" s="192">
        <v>3647.3</v>
      </c>
      <c r="J136" s="192">
        <v>2675.1</v>
      </c>
      <c r="K136" s="192">
        <v>2194.3000000000002</v>
      </c>
      <c r="L136" s="213">
        <v>61</v>
      </c>
      <c r="M136" s="211" t="s">
        <v>271</v>
      </c>
      <c r="N136" s="214" t="s">
        <v>1523</v>
      </c>
      <c r="O136" s="192">
        <v>1170243.6200000001</v>
      </c>
      <c r="P136" s="192">
        <f t="shared" si="8"/>
        <v>320.85203301072028</v>
      </c>
      <c r="Q136" s="192">
        <v>1905.193129164039</v>
      </c>
      <c r="R136" s="217"/>
      <c r="S136" s="16"/>
      <c r="V136" s="218"/>
      <c r="W136" s="218"/>
    </row>
    <row r="137" spans="1:23" ht="35.25" x14ac:dyDescent="0.5">
      <c r="A137" s="6">
        <v>1</v>
      </c>
      <c r="B137" s="215">
        <v>45</v>
      </c>
      <c r="C137" s="216" t="s">
        <v>1447</v>
      </c>
      <c r="D137" s="211">
        <v>1973</v>
      </c>
      <c r="E137" s="211"/>
      <c r="F137" s="212" t="s">
        <v>269</v>
      </c>
      <c r="G137" s="211">
        <v>5</v>
      </c>
      <c r="H137" s="211">
        <v>6</v>
      </c>
      <c r="I137" s="192">
        <v>4358.8999999999996</v>
      </c>
      <c r="J137" s="192">
        <v>3381.5</v>
      </c>
      <c r="K137" s="192">
        <v>2777</v>
      </c>
      <c r="L137" s="213">
        <v>177</v>
      </c>
      <c r="M137" s="211" t="s">
        <v>271</v>
      </c>
      <c r="N137" s="214" t="s">
        <v>1397</v>
      </c>
      <c r="O137" s="192">
        <v>99562.97</v>
      </c>
      <c r="P137" s="192">
        <f t="shared" si="8"/>
        <v>22.841306292872058</v>
      </c>
      <c r="Q137" s="192">
        <v>2278.0778127509238</v>
      </c>
      <c r="R137" s="217"/>
      <c r="S137" s="16"/>
      <c r="V137" s="218"/>
      <c r="W137" s="218"/>
    </row>
    <row r="138" spans="1:23" ht="35.25" x14ac:dyDescent="0.5">
      <c r="A138" s="6">
        <v>1</v>
      </c>
      <c r="B138" s="215">
        <v>46</v>
      </c>
      <c r="C138" s="216" t="s">
        <v>1448</v>
      </c>
      <c r="D138" s="211">
        <v>1949</v>
      </c>
      <c r="E138" s="211"/>
      <c r="F138" s="212" t="s">
        <v>338</v>
      </c>
      <c r="G138" s="211">
        <v>2</v>
      </c>
      <c r="H138" s="211">
        <v>2</v>
      </c>
      <c r="I138" s="192">
        <v>728.8</v>
      </c>
      <c r="J138" s="192">
        <v>722.1</v>
      </c>
      <c r="K138" s="192">
        <v>667.2</v>
      </c>
      <c r="L138" s="213">
        <v>25</v>
      </c>
      <c r="M138" s="211" t="s">
        <v>268</v>
      </c>
      <c r="N138" s="214" t="s">
        <v>270</v>
      </c>
      <c r="O138" s="192">
        <v>2522.4300000000003</v>
      </c>
      <c r="P138" s="192">
        <f t="shared" si="8"/>
        <v>3.4610729967069163</v>
      </c>
      <c r="Q138" s="192">
        <v>6107.2929335894623</v>
      </c>
      <c r="R138" s="217"/>
      <c r="S138" s="16"/>
      <c r="V138" s="218"/>
      <c r="W138" s="218"/>
    </row>
    <row r="139" spans="1:23" ht="35.25" x14ac:dyDescent="0.5">
      <c r="A139" s="6">
        <v>1</v>
      </c>
      <c r="B139" s="215">
        <v>47</v>
      </c>
      <c r="C139" s="216" t="s">
        <v>1449</v>
      </c>
      <c r="D139" s="211">
        <v>1956</v>
      </c>
      <c r="E139" s="211"/>
      <c r="F139" s="212" t="s">
        <v>269</v>
      </c>
      <c r="G139" s="211">
        <v>4</v>
      </c>
      <c r="H139" s="211">
        <v>3</v>
      </c>
      <c r="I139" s="192">
        <v>4032.8</v>
      </c>
      <c r="J139" s="192">
        <v>3036.64</v>
      </c>
      <c r="K139" s="192">
        <v>2440.14</v>
      </c>
      <c r="L139" s="213">
        <v>93</v>
      </c>
      <c r="M139" s="211" t="s">
        <v>271</v>
      </c>
      <c r="N139" s="214" t="s">
        <v>1523</v>
      </c>
      <c r="O139" s="192">
        <v>253750</v>
      </c>
      <c r="P139" s="192">
        <f t="shared" si="8"/>
        <v>62.921543344574488</v>
      </c>
      <c r="Q139" s="192">
        <v>810.46</v>
      </c>
      <c r="R139" s="217"/>
      <c r="S139" s="16"/>
      <c r="V139" s="218"/>
      <c r="W139" s="218"/>
    </row>
    <row r="140" spans="1:23" ht="35.25" x14ac:dyDescent="0.5">
      <c r="A140" s="6">
        <v>1</v>
      </c>
      <c r="B140" s="215">
        <v>48</v>
      </c>
      <c r="C140" s="216" t="s">
        <v>1450</v>
      </c>
      <c r="D140" s="211">
        <v>1953</v>
      </c>
      <c r="E140" s="211"/>
      <c r="F140" s="212" t="s">
        <v>269</v>
      </c>
      <c r="G140" s="211">
        <v>2</v>
      </c>
      <c r="H140" s="211">
        <v>1</v>
      </c>
      <c r="I140" s="192">
        <v>617.9</v>
      </c>
      <c r="J140" s="192">
        <v>408.9</v>
      </c>
      <c r="K140" s="192">
        <v>408.9</v>
      </c>
      <c r="L140" s="213">
        <v>21</v>
      </c>
      <c r="M140" s="211" t="s">
        <v>268</v>
      </c>
      <c r="N140" s="214" t="s">
        <v>270</v>
      </c>
      <c r="O140" s="192">
        <v>23700.19</v>
      </c>
      <c r="P140" s="192">
        <f t="shared" si="8"/>
        <v>38.35602848357339</v>
      </c>
      <c r="Q140" s="192">
        <v>6583.3815536494567</v>
      </c>
      <c r="R140" s="217"/>
      <c r="S140" s="16"/>
      <c r="V140" s="218"/>
      <c r="W140" s="218"/>
    </row>
    <row r="141" spans="1:23" ht="35.25" x14ac:dyDescent="0.5">
      <c r="A141" s="6">
        <v>1</v>
      </c>
      <c r="B141" s="215">
        <v>49</v>
      </c>
      <c r="C141" s="216" t="s">
        <v>1451</v>
      </c>
      <c r="D141" s="211">
        <v>1937</v>
      </c>
      <c r="E141" s="211"/>
      <c r="F141" s="212" t="s">
        <v>269</v>
      </c>
      <c r="G141" s="211">
        <v>4</v>
      </c>
      <c r="H141" s="211">
        <v>6</v>
      </c>
      <c r="I141" s="192">
        <v>2381.6999999999998</v>
      </c>
      <c r="J141" s="192">
        <v>2256.8000000000002</v>
      </c>
      <c r="K141" s="192">
        <v>2256.8000000000002</v>
      </c>
      <c r="L141" s="213">
        <v>155</v>
      </c>
      <c r="M141" s="211" t="s">
        <v>271</v>
      </c>
      <c r="N141" s="214" t="s">
        <v>1616</v>
      </c>
      <c r="O141" s="192">
        <v>1177488.75</v>
      </c>
      <c r="P141" s="192">
        <f t="shared" si="8"/>
        <v>494.39003652853006</v>
      </c>
      <c r="Q141" s="192">
        <v>3324.9948986018389</v>
      </c>
      <c r="R141" s="217"/>
      <c r="S141" s="16"/>
      <c r="V141" s="218"/>
      <c r="W141" s="218"/>
    </row>
    <row r="142" spans="1:23" ht="35.25" x14ac:dyDescent="0.5">
      <c r="A142" s="6">
        <v>1</v>
      </c>
      <c r="B142" s="215">
        <v>50</v>
      </c>
      <c r="C142" s="216" t="s">
        <v>1452</v>
      </c>
      <c r="D142" s="211">
        <v>1955</v>
      </c>
      <c r="E142" s="211"/>
      <c r="F142" s="212" t="s">
        <v>269</v>
      </c>
      <c r="G142" s="211">
        <v>3</v>
      </c>
      <c r="H142" s="211">
        <v>3</v>
      </c>
      <c r="I142" s="192">
        <v>1854.6</v>
      </c>
      <c r="J142" s="192">
        <v>1281.7</v>
      </c>
      <c r="K142" s="192">
        <v>834.3</v>
      </c>
      <c r="L142" s="213">
        <v>34</v>
      </c>
      <c r="M142" s="211" t="s">
        <v>271</v>
      </c>
      <c r="N142" s="214" t="s">
        <v>1617</v>
      </c>
      <c r="O142" s="192">
        <v>186610.06</v>
      </c>
      <c r="P142" s="192">
        <f t="shared" si="8"/>
        <v>100.62011215356411</v>
      </c>
      <c r="Q142" s="192">
        <v>3935.8252669039143</v>
      </c>
      <c r="R142" s="217"/>
      <c r="S142" s="16"/>
      <c r="V142" s="218"/>
      <c r="W142" s="218"/>
    </row>
    <row r="143" spans="1:23" ht="35.25" x14ac:dyDescent="0.5">
      <c r="A143" s="6">
        <v>1</v>
      </c>
      <c r="B143" s="215">
        <v>51</v>
      </c>
      <c r="C143" s="216" t="s">
        <v>1453</v>
      </c>
      <c r="D143" s="211">
        <v>1929</v>
      </c>
      <c r="E143" s="211"/>
      <c r="F143" s="212" t="s">
        <v>269</v>
      </c>
      <c r="G143" s="211">
        <v>3</v>
      </c>
      <c r="H143" s="211">
        <v>5</v>
      </c>
      <c r="I143" s="192">
        <v>2240.83</v>
      </c>
      <c r="J143" s="192">
        <v>1864.33</v>
      </c>
      <c r="K143" s="192">
        <v>1864.33</v>
      </c>
      <c r="L143" s="213">
        <v>90</v>
      </c>
      <c r="M143" s="211" t="s">
        <v>271</v>
      </c>
      <c r="N143" s="214" t="s">
        <v>1360</v>
      </c>
      <c r="O143" s="192">
        <v>69345.69</v>
      </c>
      <c r="P143" s="192">
        <f t="shared" si="8"/>
        <v>30.946430563675069</v>
      </c>
      <c r="Q143" s="192">
        <v>30.946430563675069</v>
      </c>
      <c r="R143" s="217"/>
      <c r="S143" s="16"/>
      <c r="V143" s="218"/>
      <c r="W143" s="218"/>
    </row>
    <row r="144" spans="1:23" ht="35.25" x14ac:dyDescent="0.5">
      <c r="A144" s="6">
        <v>1</v>
      </c>
      <c r="B144" s="215">
        <v>52</v>
      </c>
      <c r="C144" s="216" t="s">
        <v>1454</v>
      </c>
      <c r="D144" s="211">
        <v>1981</v>
      </c>
      <c r="E144" s="211"/>
      <c r="F144" s="212" t="s">
        <v>269</v>
      </c>
      <c r="G144" s="211">
        <v>5</v>
      </c>
      <c r="H144" s="211">
        <v>1</v>
      </c>
      <c r="I144" s="192">
        <v>2902.7</v>
      </c>
      <c r="J144" s="192">
        <v>2700</v>
      </c>
      <c r="K144" s="192">
        <v>1260</v>
      </c>
      <c r="L144" s="213">
        <v>179</v>
      </c>
      <c r="M144" s="211" t="s">
        <v>271</v>
      </c>
      <c r="N144" s="214" t="s">
        <v>1524</v>
      </c>
      <c r="O144" s="192">
        <v>8410.2900000000009</v>
      </c>
      <c r="P144" s="192">
        <f t="shared" si="8"/>
        <v>2.8974024184380065</v>
      </c>
      <c r="Q144" s="192">
        <v>1257.3434285320564</v>
      </c>
      <c r="R144" s="217"/>
      <c r="S144" s="16"/>
      <c r="V144" s="218"/>
      <c r="W144" s="218"/>
    </row>
    <row r="145" spans="1:23" ht="35.25" x14ac:dyDescent="0.5">
      <c r="A145" s="6">
        <v>1</v>
      </c>
      <c r="B145" s="215">
        <v>53</v>
      </c>
      <c r="C145" s="216" t="s">
        <v>1455</v>
      </c>
      <c r="D145" s="211">
        <v>1977</v>
      </c>
      <c r="E145" s="211"/>
      <c r="F145" s="212" t="s">
        <v>313</v>
      </c>
      <c r="G145" s="211">
        <v>5</v>
      </c>
      <c r="H145" s="211">
        <v>6</v>
      </c>
      <c r="I145" s="192">
        <v>4839.2</v>
      </c>
      <c r="J145" s="192">
        <v>4665.24</v>
      </c>
      <c r="K145" s="192">
        <v>4372.8999999999996</v>
      </c>
      <c r="L145" s="213">
        <v>183</v>
      </c>
      <c r="M145" s="211" t="s">
        <v>271</v>
      </c>
      <c r="N145" s="214" t="s">
        <v>1525</v>
      </c>
      <c r="O145" s="192">
        <v>7622.65</v>
      </c>
      <c r="P145" s="192">
        <f t="shared" si="8"/>
        <v>1.5751880476111755</v>
      </c>
      <c r="Q145" s="192">
        <v>113.09</v>
      </c>
      <c r="R145" s="217"/>
      <c r="S145" s="16"/>
      <c r="V145" s="218"/>
      <c r="W145" s="218"/>
    </row>
    <row r="146" spans="1:23" ht="35.25" x14ac:dyDescent="0.5">
      <c r="A146" s="6">
        <v>1</v>
      </c>
      <c r="B146" s="215">
        <v>54</v>
      </c>
      <c r="C146" s="216" t="s">
        <v>1456</v>
      </c>
      <c r="D146" s="211">
        <v>1959</v>
      </c>
      <c r="E146" s="211"/>
      <c r="F146" s="212" t="s">
        <v>269</v>
      </c>
      <c r="G146" s="211">
        <v>2</v>
      </c>
      <c r="H146" s="211">
        <v>1</v>
      </c>
      <c r="I146" s="192">
        <v>367.5</v>
      </c>
      <c r="J146" s="192">
        <v>251</v>
      </c>
      <c r="K146" s="192">
        <v>251</v>
      </c>
      <c r="L146" s="213">
        <v>14</v>
      </c>
      <c r="M146" s="211" t="s">
        <v>271</v>
      </c>
      <c r="N146" s="214" t="s">
        <v>992</v>
      </c>
      <c r="O146" s="192">
        <v>49508.61</v>
      </c>
      <c r="P146" s="192">
        <f t="shared" si="8"/>
        <v>134.71730612244897</v>
      </c>
      <c r="Q146" s="192">
        <v>4844.6205061224482</v>
      </c>
      <c r="R146" s="217"/>
      <c r="S146" s="16"/>
      <c r="V146" s="218"/>
      <c r="W146" s="218"/>
    </row>
    <row r="147" spans="1:23" ht="35.25" x14ac:dyDescent="0.5">
      <c r="A147" s="6">
        <v>1</v>
      </c>
      <c r="B147" s="215">
        <v>55</v>
      </c>
      <c r="C147" s="216" t="s">
        <v>1457</v>
      </c>
      <c r="D147" s="211">
        <v>1934</v>
      </c>
      <c r="E147" s="211"/>
      <c r="F147" s="212" t="s">
        <v>269</v>
      </c>
      <c r="G147" s="211">
        <v>3</v>
      </c>
      <c r="H147" s="211">
        <v>7</v>
      </c>
      <c r="I147" s="192">
        <v>2922</v>
      </c>
      <c r="J147" s="192">
        <v>2656.4</v>
      </c>
      <c r="K147" s="192">
        <v>2656.4</v>
      </c>
      <c r="L147" s="213">
        <v>95</v>
      </c>
      <c r="M147" s="211" t="s">
        <v>271</v>
      </c>
      <c r="N147" s="214" t="s">
        <v>992</v>
      </c>
      <c r="O147" s="192">
        <v>194179.65</v>
      </c>
      <c r="P147" s="192">
        <f t="shared" si="8"/>
        <v>66.454363449691996</v>
      </c>
      <c r="Q147" s="192">
        <v>3297.204794661191</v>
      </c>
      <c r="R147" s="217"/>
      <c r="S147" s="16"/>
      <c r="V147" s="218"/>
      <c r="W147" s="218"/>
    </row>
    <row r="148" spans="1:23" ht="35.25" x14ac:dyDescent="0.5">
      <c r="A148" s="6">
        <v>1</v>
      </c>
      <c r="B148" s="215">
        <v>56</v>
      </c>
      <c r="C148" s="216" t="s">
        <v>1458</v>
      </c>
      <c r="D148" s="211">
        <v>1934</v>
      </c>
      <c r="E148" s="211"/>
      <c r="F148" s="212" t="s">
        <v>269</v>
      </c>
      <c r="G148" s="211">
        <v>3</v>
      </c>
      <c r="H148" s="211">
        <v>5</v>
      </c>
      <c r="I148" s="192">
        <v>1040.8</v>
      </c>
      <c r="J148" s="192">
        <v>878</v>
      </c>
      <c r="K148" s="192">
        <v>878</v>
      </c>
      <c r="L148" s="213">
        <v>58</v>
      </c>
      <c r="M148" s="211" t="s">
        <v>268</v>
      </c>
      <c r="N148" s="214" t="s">
        <v>270</v>
      </c>
      <c r="O148" s="192">
        <v>874380.28</v>
      </c>
      <c r="P148" s="192">
        <f t="shared" si="8"/>
        <v>840.10403535741739</v>
      </c>
      <c r="Q148" s="192">
        <v>4499.0604534973099</v>
      </c>
      <c r="R148" s="217"/>
      <c r="S148" s="16"/>
      <c r="V148" s="218"/>
      <c r="W148" s="218"/>
    </row>
    <row r="149" spans="1:23" ht="35.25" x14ac:dyDescent="0.5">
      <c r="A149" s="6">
        <v>1</v>
      </c>
      <c r="B149" s="215">
        <v>57</v>
      </c>
      <c r="C149" s="216" t="s">
        <v>1459</v>
      </c>
      <c r="D149" s="211">
        <v>1928</v>
      </c>
      <c r="E149" s="211"/>
      <c r="F149" s="212" t="s">
        <v>332</v>
      </c>
      <c r="G149" s="211">
        <v>2</v>
      </c>
      <c r="H149" s="211">
        <v>1</v>
      </c>
      <c r="I149" s="192">
        <v>286.10000000000002</v>
      </c>
      <c r="J149" s="192">
        <v>205.8</v>
      </c>
      <c r="K149" s="192">
        <v>205.8</v>
      </c>
      <c r="L149" s="213">
        <v>16</v>
      </c>
      <c r="M149" s="211" t="s">
        <v>268</v>
      </c>
      <c r="N149" s="214" t="s">
        <v>270</v>
      </c>
      <c r="O149" s="192">
        <v>37308.06</v>
      </c>
      <c r="P149" s="192">
        <f t="shared" ref="P149:P212" si="16">O149/I149</f>
        <v>130.40216707444947</v>
      </c>
      <c r="Q149" s="192">
        <v>2420.2238378189445</v>
      </c>
      <c r="R149" s="217"/>
      <c r="S149" s="16"/>
      <c r="V149" s="218"/>
      <c r="W149" s="218"/>
    </row>
    <row r="150" spans="1:23" ht="35.25" x14ac:dyDescent="0.5">
      <c r="A150" s="6">
        <v>1</v>
      </c>
      <c r="B150" s="215">
        <v>58</v>
      </c>
      <c r="C150" s="216" t="s">
        <v>1460</v>
      </c>
      <c r="D150" s="211">
        <v>1958</v>
      </c>
      <c r="E150" s="211"/>
      <c r="F150" s="212" t="s">
        <v>269</v>
      </c>
      <c r="G150" s="211">
        <v>2</v>
      </c>
      <c r="H150" s="211">
        <v>1</v>
      </c>
      <c r="I150" s="192">
        <v>417.2</v>
      </c>
      <c r="J150" s="192">
        <v>385.8</v>
      </c>
      <c r="K150" s="192">
        <v>385.8</v>
      </c>
      <c r="L150" s="213">
        <v>20</v>
      </c>
      <c r="M150" s="211" t="s">
        <v>268</v>
      </c>
      <c r="N150" s="214" t="s">
        <v>270</v>
      </c>
      <c r="O150" s="192">
        <v>41021.47</v>
      </c>
      <c r="P150" s="192">
        <f t="shared" si="16"/>
        <v>98.325671140939605</v>
      </c>
      <c r="Q150" s="192">
        <v>4346.4205067114099</v>
      </c>
      <c r="R150" s="217"/>
      <c r="S150" s="16"/>
      <c r="V150" s="218"/>
      <c r="W150" s="218"/>
    </row>
    <row r="151" spans="1:23" ht="35.25" x14ac:dyDescent="0.5">
      <c r="A151" s="6">
        <v>1</v>
      </c>
      <c r="B151" s="215">
        <v>59</v>
      </c>
      <c r="C151" s="216" t="s">
        <v>1461</v>
      </c>
      <c r="D151" s="211">
        <v>1958</v>
      </c>
      <c r="E151" s="211"/>
      <c r="F151" s="212" t="s">
        <v>269</v>
      </c>
      <c r="G151" s="211">
        <v>4</v>
      </c>
      <c r="H151" s="211">
        <v>5</v>
      </c>
      <c r="I151" s="192">
        <v>3533.4</v>
      </c>
      <c r="J151" s="192">
        <v>3254</v>
      </c>
      <c r="K151" s="192">
        <v>3254</v>
      </c>
      <c r="L151" s="213">
        <v>98</v>
      </c>
      <c r="M151" s="211" t="s">
        <v>271</v>
      </c>
      <c r="N151" s="214" t="s">
        <v>1397</v>
      </c>
      <c r="O151" s="192">
        <v>504846.64999999997</v>
      </c>
      <c r="P151" s="192">
        <f t="shared" si="16"/>
        <v>142.87843153902756</v>
      </c>
      <c r="Q151" s="192">
        <v>6332.09859059263</v>
      </c>
      <c r="R151" s="217"/>
      <c r="S151" s="16"/>
      <c r="V151" s="218"/>
      <c r="W151" s="218"/>
    </row>
    <row r="152" spans="1:23" ht="35.25" x14ac:dyDescent="0.5">
      <c r="A152" s="6">
        <v>1</v>
      </c>
      <c r="B152" s="215">
        <v>60</v>
      </c>
      <c r="C152" s="216" t="s">
        <v>1504</v>
      </c>
      <c r="D152" s="211">
        <v>1958</v>
      </c>
      <c r="E152" s="211"/>
      <c r="F152" s="212" t="s">
        <v>269</v>
      </c>
      <c r="G152" s="211">
        <v>4</v>
      </c>
      <c r="H152" s="211">
        <v>4</v>
      </c>
      <c r="I152" s="192">
        <v>3399.9</v>
      </c>
      <c r="J152" s="192">
        <v>2625.8</v>
      </c>
      <c r="K152" s="192">
        <v>2062.6999999999998</v>
      </c>
      <c r="L152" s="213">
        <v>68</v>
      </c>
      <c r="M152" s="211" t="s">
        <v>271</v>
      </c>
      <c r="N152" s="214" t="s">
        <v>1577</v>
      </c>
      <c r="O152" s="192">
        <v>42749.45</v>
      </c>
      <c r="P152" s="192">
        <f t="shared" si="16"/>
        <v>12.573737462866553</v>
      </c>
      <c r="Q152" s="192">
        <v>3667.1465631342103</v>
      </c>
      <c r="R152" s="217"/>
      <c r="S152" s="16"/>
      <c r="V152" s="218"/>
      <c r="W152" s="218"/>
    </row>
    <row r="153" spans="1:23" ht="35.25" x14ac:dyDescent="0.5">
      <c r="A153" s="6">
        <v>1</v>
      </c>
      <c r="B153" s="215">
        <v>61</v>
      </c>
      <c r="C153" s="216" t="s">
        <v>1505</v>
      </c>
      <c r="D153" s="211">
        <v>1942</v>
      </c>
      <c r="E153" s="211"/>
      <c r="F153" s="212" t="s">
        <v>332</v>
      </c>
      <c r="G153" s="211">
        <v>2</v>
      </c>
      <c r="H153" s="211">
        <v>2</v>
      </c>
      <c r="I153" s="192">
        <v>489</v>
      </c>
      <c r="J153" s="192">
        <v>431</v>
      </c>
      <c r="K153" s="192">
        <v>431</v>
      </c>
      <c r="L153" s="213">
        <v>39</v>
      </c>
      <c r="M153" s="211" t="s">
        <v>268</v>
      </c>
      <c r="N153" s="214" t="s">
        <v>270</v>
      </c>
      <c r="O153" s="192">
        <v>81763.55</v>
      </c>
      <c r="P153" s="192">
        <f t="shared" si="16"/>
        <v>167.20562372188141</v>
      </c>
      <c r="Q153" s="192">
        <v>4506.3126380368094</v>
      </c>
      <c r="R153" s="217"/>
      <c r="S153" s="16"/>
      <c r="V153" s="218"/>
      <c r="W153" s="218"/>
    </row>
    <row r="154" spans="1:23" ht="35.25" x14ac:dyDescent="0.5">
      <c r="A154" s="6">
        <v>1</v>
      </c>
      <c r="B154" s="215">
        <v>62</v>
      </c>
      <c r="C154" s="216" t="s">
        <v>1506</v>
      </c>
      <c r="D154" s="211">
        <v>1931</v>
      </c>
      <c r="E154" s="211"/>
      <c r="F154" s="212" t="s">
        <v>269</v>
      </c>
      <c r="G154" s="211">
        <v>3</v>
      </c>
      <c r="H154" s="211">
        <v>5</v>
      </c>
      <c r="I154" s="192">
        <v>1823.46</v>
      </c>
      <c r="J154" s="192">
        <v>1514.06</v>
      </c>
      <c r="K154" s="192">
        <v>1514.06</v>
      </c>
      <c r="L154" s="213">
        <v>60</v>
      </c>
      <c r="M154" s="211" t="s">
        <v>271</v>
      </c>
      <c r="N154" s="214" t="s">
        <v>1397</v>
      </c>
      <c r="O154" s="192">
        <v>7245.74</v>
      </c>
      <c r="P154" s="192">
        <f t="shared" si="16"/>
        <v>3.9736215765632368</v>
      </c>
      <c r="Q154" s="192">
        <v>3124.1556710868344</v>
      </c>
      <c r="R154" s="217"/>
      <c r="S154" s="16"/>
      <c r="V154" s="218"/>
      <c r="W154" s="218"/>
    </row>
    <row r="155" spans="1:23" ht="35.25" x14ac:dyDescent="0.5">
      <c r="A155" s="6">
        <v>1</v>
      </c>
      <c r="B155" s="215">
        <v>63</v>
      </c>
      <c r="C155" s="216" t="s">
        <v>1685</v>
      </c>
      <c r="D155" s="211">
        <v>1984</v>
      </c>
      <c r="E155" s="211"/>
      <c r="F155" s="212" t="s">
        <v>313</v>
      </c>
      <c r="G155" s="211">
        <v>5</v>
      </c>
      <c r="H155" s="211">
        <v>5</v>
      </c>
      <c r="I155" s="192">
        <v>4724.5</v>
      </c>
      <c r="J155" s="192">
        <v>4003.6</v>
      </c>
      <c r="K155" s="192">
        <v>1759.6</v>
      </c>
      <c r="L155" s="213">
        <v>146</v>
      </c>
      <c r="M155" s="211" t="s">
        <v>271</v>
      </c>
      <c r="N155" s="214" t="s">
        <v>1520</v>
      </c>
      <c r="O155" s="192">
        <v>16859.560000000001</v>
      </c>
      <c r="P155" s="192">
        <f t="shared" si="16"/>
        <v>3.5685384696793316</v>
      </c>
      <c r="Q155" s="192">
        <v>1192.5433379193566</v>
      </c>
      <c r="R155" s="217"/>
      <c r="S155" s="16"/>
      <c r="V155" s="218"/>
      <c r="W155" s="218"/>
    </row>
    <row r="156" spans="1:23" ht="35.25" x14ac:dyDescent="0.5">
      <c r="B156" s="215">
        <v>64</v>
      </c>
      <c r="C156" s="216" t="s">
        <v>1905</v>
      </c>
      <c r="D156" s="211">
        <v>1959</v>
      </c>
      <c r="E156" s="211"/>
      <c r="F156" s="212" t="s">
        <v>269</v>
      </c>
      <c r="G156" s="211">
        <v>2</v>
      </c>
      <c r="H156" s="211">
        <v>1</v>
      </c>
      <c r="I156" s="192">
        <v>416.5</v>
      </c>
      <c r="J156" s="192">
        <v>259.3</v>
      </c>
      <c r="K156" s="192">
        <v>259.3</v>
      </c>
      <c r="L156" s="213">
        <v>14</v>
      </c>
      <c r="M156" s="219" t="s">
        <v>271</v>
      </c>
      <c r="N156" s="214" t="s">
        <v>1917</v>
      </c>
      <c r="O156" s="192">
        <v>27161.4</v>
      </c>
      <c r="P156" s="192">
        <f t="shared" si="16"/>
        <v>65.213445378151263</v>
      </c>
      <c r="Q156" s="192">
        <v>5194.5298055222083</v>
      </c>
      <c r="R156" s="217"/>
      <c r="S156" s="16"/>
      <c r="V156" s="218"/>
      <c r="W156" s="218"/>
    </row>
    <row r="157" spans="1:23" ht="35.25" x14ac:dyDescent="0.5">
      <c r="B157" s="215">
        <v>65</v>
      </c>
      <c r="C157" s="216" t="s">
        <v>1906</v>
      </c>
      <c r="D157" s="211">
        <v>1959</v>
      </c>
      <c r="E157" s="211"/>
      <c r="F157" s="212" t="s">
        <v>269</v>
      </c>
      <c r="G157" s="211">
        <v>3</v>
      </c>
      <c r="H157" s="211">
        <v>2</v>
      </c>
      <c r="I157" s="192">
        <v>1142</v>
      </c>
      <c r="J157" s="192">
        <v>934</v>
      </c>
      <c r="K157" s="192">
        <v>922.45</v>
      </c>
      <c r="L157" s="213">
        <v>42</v>
      </c>
      <c r="M157" s="219" t="s">
        <v>271</v>
      </c>
      <c r="N157" s="214" t="s">
        <v>1918</v>
      </c>
      <c r="O157" s="192">
        <v>843836.3</v>
      </c>
      <c r="P157" s="192">
        <f t="shared" si="16"/>
        <v>738.91094570928203</v>
      </c>
      <c r="Q157" s="192">
        <v>3124.6132224168123</v>
      </c>
      <c r="R157" s="217"/>
      <c r="S157" s="16"/>
      <c r="V157" s="218"/>
      <c r="W157" s="218"/>
    </row>
    <row r="158" spans="1:23" ht="35.25" x14ac:dyDescent="0.5">
      <c r="B158" s="215">
        <v>66</v>
      </c>
      <c r="C158" s="216" t="s">
        <v>1907</v>
      </c>
      <c r="D158" s="211" t="s">
        <v>368</v>
      </c>
      <c r="E158" s="211"/>
      <c r="F158" s="212" t="s">
        <v>332</v>
      </c>
      <c r="G158" s="211">
        <v>2</v>
      </c>
      <c r="H158" s="211">
        <v>2</v>
      </c>
      <c r="I158" s="192">
        <v>485</v>
      </c>
      <c r="J158" s="192">
        <v>329.7</v>
      </c>
      <c r="K158" s="192">
        <v>329.7</v>
      </c>
      <c r="L158" s="213">
        <v>21</v>
      </c>
      <c r="M158" s="219" t="s">
        <v>271</v>
      </c>
      <c r="N158" s="214" t="s">
        <v>812</v>
      </c>
      <c r="O158" s="192">
        <v>92522.930000000008</v>
      </c>
      <c r="P158" s="192">
        <f t="shared" si="16"/>
        <v>190.76892783505156</v>
      </c>
      <c r="Q158" s="192">
        <v>5485.7335051546388</v>
      </c>
      <c r="R158" s="217"/>
      <c r="S158" s="16"/>
      <c r="V158" s="218"/>
      <c r="W158" s="218"/>
    </row>
    <row r="159" spans="1:23" ht="35.25" x14ac:dyDescent="0.5">
      <c r="B159" s="215">
        <v>67</v>
      </c>
      <c r="C159" s="216" t="s">
        <v>1908</v>
      </c>
      <c r="D159" s="211" t="s">
        <v>308</v>
      </c>
      <c r="E159" s="211"/>
      <c r="F159" s="212" t="s">
        <v>269</v>
      </c>
      <c r="G159" s="211">
        <v>2</v>
      </c>
      <c r="H159" s="211">
        <v>2</v>
      </c>
      <c r="I159" s="192">
        <v>610.9</v>
      </c>
      <c r="J159" s="192">
        <v>567.20000000000005</v>
      </c>
      <c r="K159" s="192">
        <v>567.20000000000005</v>
      </c>
      <c r="L159" s="213">
        <v>26</v>
      </c>
      <c r="M159" s="219" t="s">
        <v>271</v>
      </c>
      <c r="N159" s="214" t="s">
        <v>1917</v>
      </c>
      <c r="O159" s="192">
        <v>22182.22</v>
      </c>
      <c r="P159" s="192">
        <f t="shared" si="16"/>
        <v>36.310721885742353</v>
      </c>
      <c r="Q159" s="192">
        <v>5441.4157636274349</v>
      </c>
      <c r="R159" s="217"/>
      <c r="S159" s="16"/>
      <c r="V159" s="218"/>
      <c r="W159" s="218"/>
    </row>
    <row r="160" spans="1:23" ht="35.25" x14ac:dyDescent="0.5">
      <c r="B160" s="293" t="s">
        <v>1411</v>
      </c>
      <c r="C160" s="216"/>
      <c r="D160" s="211" t="s">
        <v>757</v>
      </c>
      <c r="E160" s="211" t="s">
        <v>757</v>
      </c>
      <c r="F160" s="212" t="s">
        <v>757</v>
      </c>
      <c r="G160" s="211" t="s">
        <v>757</v>
      </c>
      <c r="H160" s="211" t="s">
        <v>757</v>
      </c>
      <c r="I160" s="192">
        <f>SUM(I161:I175)</f>
        <v>47621.47</v>
      </c>
      <c r="J160" s="192">
        <f t="shared" ref="J160:L160" si="17">SUM(J161:J175)</f>
        <v>44795.68</v>
      </c>
      <c r="K160" s="192">
        <f t="shared" si="17"/>
        <v>40469.659999999996</v>
      </c>
      <c r="L160" s="213">
        <f t="shared" si="17"/>
        <v>2263</v>
      </c>
      <c r="M160" s="211" t="s">
        <v>896</v>
      </c>
      <c r="N160" s="214" t="s">
        <v>896</v>
      </c>
      <c r="O160" s="192">
        <v>5316085.62</v>
      </c>
      <c r="P160" s="192">
        <f t="shared" si="16"/>
        <v>111.63211929409151</v>
      </c>
      <c r="Q160" s="192">
        <f>MAX(Q161:Q175)</f>
        <v>6637.322674356963</v>
      </c>
      <c r="R160" s="217"/>
      <c r="S160" s="16"/>
      <c r="V160" s="218"/>
      <c r="W160" s="218"/>
    </row>
    <row r="161" spans="1:23" ht="35.25" x14ac:dyDescent="0.5">
      <c r="A161" s="6">
        <v>1</v>
      </c>
      <c r="B161" s="215">
        <v>68</v>
      </c>
      <c r="C161" s="216" t="s">
        <v>1462</v>
      </c>
      <c r="D161" s="211">
        <v>1968</v>
      </c>
      <c r="E161" s="211"/>
      <c r="F161" s="212" t="s">
        <v>269</v>
      </c>
      <c r="G161" s="211">
        <v>6</v>
      </c>
      <c r="H161" s="211">
        <v>8</v>
      </c>
      <c r="I161" s="192">
        <v>6064</v>
      </c>
      <c r="J161" s="192">
        <v>5971</v>
      </c>
      <c r="K161" s="192">
        <v>5128.3999999999996</v>
      </c>
      <c r="L161" s="213">
        <v>268</v>
      </c>
      <c r="M161" s="211" t="s">
        <v>343</v>
      </c>
      <c r="N161" s="214" t="s">
        <v>1526</v>
      </c>
      <c r="O161" s="192">
        <v>1768733.14</v>
      </c>
      <c r="P161" s="192">
        <f t="shared" si="16"/>
        <v>291.67762862796832</v>
      </c>
      <c r="Q161" s="192">
        <v>2104.9682404353557</v>
      </c>
      <c r="R161" s="217"/>
      <c r="S161" s="16"/>
      <c r="V161" s="218"/>
      <c r="W161" s="218"/>
    </row>
    <row r="162" spans="1:23" ht="35.25" x14ac:dyDescent="0.5">
      <c r="A162" s="6">
        <v>1</v>
      </c>
      <c r="B162" s="215">
        <v>69</v>
      </c>
      <c r="C162" s="216" t="s">
        <v>1463</v>
      </c>
      <c r="D162" s="211">
        <v>1983</v>
      </c>
      <c r="E162" s="211"/>
      <c r="F162" s="212" t="s">
        <v>269</v>
      </c>
      <c r="G162" s="211">
        <v>5</v>
      </c>
      <c r="H162" s="211">
        <v>6</v>
      </c>
      <c r="I162" s="192">
        <v>4247.2</v>
      </c>
      <c r="J162" s="192">
        <v>3821.7</v>
      </c>
      <c r="K162" s="192">
        <v>3620.8</v>
      </c>
      <c r="L162" s="213">
        <v>176</v>
      </c>
      <c r="M162" s="211" t="s">
        <v>271</v>
      </c>
      <c r="N162" s="214" t="s">
        <v>1527</v>
      </c>
      <c r="O162" s="192">
        <v>224063.98</v>
      </c>
      <c r="P162" s="192">
        <f t="shared" si="16"/>
        <v>52.755693162554159</v>
      </c>
      <c r="Q162" s="192">
        <v>1672.9411494631756</v>
      </c>
      <c r="R162" s="217"/>
      <c r="S162" s="16"/>
      <c r="V162" s="218"/>
      <c r="W162" s="218"/>
    </row>
    <row r="163" spans="1:23" ht="35.25" x14ac:dyDescent="0.5">
      <c r="A163" s="6">
        <v>1</v>
      </c>
      <c r="B163" s="215">
        <v>70</v>
      </c>
      <c r="C163" s="216" t="s">
        <v>1464</v>
      </c>
      <c r="D163" s="211">
        <v>1973</v>
      </c>
      <c r="E163" s="211"/>
      <c r="F163" s="212" t="s">
        <v>269</v>
      </c>
      <c r="G163" s="211">
        <v>5</v>
      </c>
      <c r="H163" s="211">
        <v>8</v>
      </c>
      <c r="I163" s="192">
        <v>6143</v>
      </c>
      <c r="J163" s="192">
        <v>6075.43</v>
      </c>
      <c r="K163" s="192">
        <v>5422.03</v>
      </c>
      <c r="L163" s="213">
        <v>275</v>
      </c>
      <c r="M163" s="211" t="s">
        <v>271</v>
      </c>
      <c r="N163" s="214" t="s">
        <v>1528</v>
      </c>
      <c r="O163" s="192">
        <v>31696.09</v>
      </c>
      <c r="P163" s="192">
        <f t="shared" si="16"/>
        <v>5.1597086114276411</v>
      </c>
      <c r="Q163" s="192">
        <v>1880.1970616962394</v>
      </c>
      <c r="R163" s="217"/>
      <c r="S163" s="16"/>
      <c r="V163" s="218"/>
      <c r="W163" s="218"/>
    </row>
    <row r="164" spans="1:23" ht="35.25" x14ac:dyDescent="0.5">
      <c r="A164" s="6">
        <v>1</v>
      </c>
      <c r="B164" s="215">
        <v>71</v>
      </c>
      <c r="C164" s="216" t="s">
        <v>1465</v>
      </c>
      <c r="D164" s="211">
        <v>1961</v>
      </c>
      <c r="E164" s="211"/>
      <c r="F164" s="212" t="s">
        <v>269</v>
      </c>
      <c r="G164" s="211">
        <v>4</v>
      </c>
      <c r="H164" s="211">
        <v>3</v>
      </c>
      <c r="I164" s="192">
        <v>2176</v>
      </c>
      <c r="J164" s="192">
        <v>2029.3</v>
      </c>
      <c r="K164" s="192">
        <v>1988.8</v>
      </c>
      <c r="L164" s="213">
        <v>89</v>
      </c>
      <c r="M164" s="211" t="s">
        <v>271</v>
      </c>
      <c r="N164" s="214" t="s">
        <v>1345</v>
      </c>
      <c r="O164" s="192">
        <v>97154.82</v>
      </c>
      <c r="P164" s="192">
        <f t="shared" si="16"/>
        <v>44.648354779411768</v>
      </c>
      <c r="Q164" s="192">
        <v>2117.4172058823528</v>
      </c>
      <c r="R164" s="217"/>
      <c r="S164" s="16"/>
      <c r="V164" s="218"/>
      <c r="W164" s="218"/>
    </row>
    <row r="165" spans="1:23" ht="35.25" x14ac:dyDescent="0.5">
      <c r="A165" s="6">
        <v>1</v>
      </c>
      <c r="B165" s="215">
        <v>72</v>
      </c>
      <c r="C165" s="216" t="s">
        <v>1466</v>
      </c>
      <c r="D165" s="211">
        <v>1961</v>
      </c>
      <c r="E165" s="211"/>
      <c r="F165" s="212" t="s">
        <v>269</v>
      </c>
      <c r="G165" s="211">
        <v>2</v>
      </c>
      <c r="H165" s="211">
        <v>2</v>
      </c>
      <c r="I165" s="192">
        <v>588.42999999999995</v>
      </c>
      <c r="J165" s="192">
        <v>546.92999999999995</v>
      </c>
      <c r="K165" s="192">
        <v>516.08000000000004</v>
      </c>
      <c r="L165" s="213">
        <v>30</v>
      </c>
      <c r="M165" s="211" t="s">
        <v>271</v>
      </c>
      <c r="N165" s="214" t="s">
        <v>993</v>
      </c>
      <c r="O165" s="192">
        <v>115006.25</v>
      </c>
      <c r="P165" s="192">
        <f t="shared" si="16"/>
        <v>195.4459323963768</v>
      </c>
      <c r="Q165" s="192">
        <v>5510.8992063626947</v>
      </c>
      <c r="R165" s="217"/>
      <c r="S165" s="16"/>
      <c r="V165" s="218"/>
      <c r="W165" s="218"/>
    </row>
    <row r="166" spans="1:23" ht="35.25" x14ac:dyDescent="0.5">
      <c r="A166" s="6">
        <v>1</v>
      </c>
      <c r="B166" s="215">
        <v>73</v>
      </c>
      <c r="C166" s="216" t="s">
        <v>1467</v>
      </c>
      <c r="D166" s="211">
        <v>1963</v>
      </c>
      <c r="E166" s="211"/>
      <c r="F166" s="212" t="s">
        <v>269</v>
      </c>
      <c r="G166" s="211">
        <v>4</v>
      </c>
      <c r="H166" s="211">
        <v>4</v>
      </c>
      <c r="I166" s="192">
        <v>2368</v>
      </c>
      <c r="J166" s="192">
        <v>2347.9899999999998</v>
      </c>
      <c r="K166" s="192">
        <v>2199.56</v>
      </c>
      <c r="L166" s="213">
        <v>87</v>
      </c>
      <c r="M166" s="211" t="s">
        <v>271</v>
      </c>
      <c r="N166" s="214" t="s">
        <v>1529</v>
      </c>
      <c r="O166" s="192">
        <v>1485022.6</v>
      </c>
      <c r="P166" s="192">
        <f t="shared" si="16"/>
        <v>627.12103040540546</v>
      </c>
      <c r="Q166" s="192">
        <v>3272.8527111486487</v>
      </c>
      <c r="R166" s="217"/>
      <c r="S166" s="16"/>
      <c r="V166" s="218"/>
      <c r="W166" s="218"/>
    </row>
    <row r="167" spans="1:23" ht="35.25" x14ac:dyDescent="0.5">
      <c r="A167" s="6">
        <v>1</v>
      </c>
      <c r="B167" s="215">
        <v>74</v>
      </c>
      <c r="C167" s="216" t="s">
        <v>1468</v>
      </c>
      <c r="D167" s="211">
        <v>1971</v>
      </c>
      <c r="E167" s="211"/>
      <c r="F167" s="212" t="s">
        <v>269</v>
      </c>
      <c r="G167" s="211">
        <v>4</v>
      </c>
      <c r="H167" s="211">
        <v>1</v>
      </c>
      <c r="I167" s="192">
        <v>1601</v>
      </c>
      <c r="J167" s="192">
        <v>1473.9</v>
      </c>
      <c r="K167" s="192">
        <v>1166.5999999999999</v>
      </c>
      <c r="L167" s="213">
        <v>103</v>
      </c>
      <c r="M167" s="211" t="s">
        <v>271</v>
      </c>
      <c r="N167" s="214" t="s">
        <v>993</v>
      </c>
      <c r="O167" s="192">
        <v>179270.28</v>
      </c>
      <c r="P167" s="192">
        <f t="shared" si="16"/>
        <v>111.97394128669582</v>
      </c>
      <c r="Q167" s="192">
        <v>2611.9968269831356</v>
      </c>
      <c r="R167" s="217"/>
      <c r="S167" s="16"/>
      <c r="V167" s="218"/>
      <c r="W167" s="218"/>
    </row>
    <row r="168" spans="1:23" ht="35.25" x14ac:dyDescent="0.5">
      <c r="A168" s="6">
        <v>1</v>
      </c>
      <c r="B168" s="215">
        <v>75</v>
      </c>
      <c r="C168" s="216" t="s">
        <v>1469</v>
      </c>
      <c r="D168" s="211">
        <v>1963</v>
      </c>
      <c r="E168" s="211"/>
      <c r="F168" s="212" t="s">
        <v>269</v>
      </c>
      <c r="G168" s="211">
        <v>2</v>
      </c>
      <c r="H168" s="211">
        <v>2</v>
      </c>
      <c r="I168" s="192">
        <v>1027.9000000000001</v>
      </c>
      <c r="J168" s="192">
        <v>620.86</v>
      </c>
      <c r="K168" s="192">
        <v>620.86</v>
      </c>
      <c r="L168" s="213">
        <v>40</v>
      </c>
      <c r="M168" s="211" t="s">
        <v>271</v>
      </c>
      <c r="N168" s="214" t="s">
        <v>1530</v>
      </c>
      <c r="O168" s="192">
        <v>21660.55</v>
      </c>
      <c r="P168" s="192">
        <f t="shared" si="16"/>
        <v>21.072623796089111</v>
      </c>
      <c r="Q168" s="192">
        <v>3404.4617277945322</v>
      </c>
      <c r="R168" s="217"/>
      <c r="S168" s="16"/>
      <c r="V168" s="218"/>
      <c r="W168" s="218"/>
    </row>
    <row r="169" spans="1:23" ht="35.25" x14ac:dyDescent="0.5">
      <c r="A169" s="6">
        <v>1</v>
      </c>
      <c r="B169" s="215">
        <v>76</v>
      </c>
      <c r="C169" s="216" t="s">
        <v>1470</v>
      </c>
      <c r="D169" s="211">
        <v>2003</v>
      </c>
      <c r="E169" s="211"/>
      <c r="F169" s="212" t="s">
        <v>269</v>
      </c>
      <c r="G169" s="211">
        <v>5</v>
      </c>
      <c r="H169" s="211">
        <v>8</v>
      </c>
      <c r="I169" s="192">
        <v>6514</v>
      </c>
      <c r="J169" s="192">
        <v>5845.8</v>
      </c>
      <c r="K169" s="192">
        <v>5845.8</v>
      </c>
      <c r="L169" s="213">
        <v>360</v>
      </c>
      <c r="M169" s="211" t="s">
        <v>271</v>
      </c>
      <c r="N169" s="214" t="s">
        <v>1531</v>
      </c>
      <c r="O169" s="192">
        <v>825558.04</v>
      </c>
      <c r="P169" s="192">
        <f t="shared" si="16"/>
        <v>126.73595947190667</v>
      </c>
      <c r="Q169" s="192">
        <v>1488.6451197420938</v>
      </c>
      <c r="R169" s="217"/>
      <c r="S169" s="16"/>
      <c r="V169" s="218"/>
      <c r="W169" s="218"/>
    </row>
    <row r="170" spans="1:23" ht="35.25" x14ac:dyDescent="0.5">
      <c r="A170" s="6">
        <v>1</v>
      </c>
      <c r="B170" s="215">
        <v>77</v>
      </c>
      <c r="C170" s="216" t="s">
        <v>1471</v>
      </c>
      <c r="D170" s="211">
        <v>1960</v>
      </c>
      <c r="E170" s="211"/>
      <c r="F170" s="212" t="s">
        <v>269</v>
      </c>
      <c r="G170" s="211">
        <v>2</v>
      </c>
      <c r="H170" s="211">
        <v>2</v>
      </c>
      <c r="I170" s="192">
        <v>585.54999999999995</v>
      </c>
      <c r="J170" s="192">
        <v>545.35</v>
      </c>
      <c r="K170" s="192">
        <v>433.53000000000003</v>
      </c>
      <c r="L170" s="213">
        <v>34</v>
      </c>
      <c r="M170" s="211" t="s">
        <v>271</v>
      </c>
      <c r="N170" s="214" t="s">
        <v>1530</v>
      </c>
      <c r="O170" s="192">
        <v>58127.710000000006</v>
      </c>
      <c r="P170" s="192">
        <f t="shared" si="16"/>
        <v>99.270275809068423</v>
      </c>
      <c r="Q170" s="192">
        <v>4811.0075996925971</v>
      </c>
      <c r="R170" s="217"/>
      <c r="S170" s="16"/>
      <c r="V170" s="218"/>
      <c r="W170" s="218"/>
    </row>
    <row r="171" spans="1:23" ht="35.25" x14ac:dyDescent="0.5">
      <c r="A171" s="6">
        <v>1</v>
      </c>
      <c r="B171" s="215">
        <v>78</v>
      </c>
      <c r="C171" s="216" t="s">
        <v>1166</v>
      </c>
      <c r="D171" s="211">
        <v>1989</v>
      </c>
      <c r="E171" s="211"/>
      <c r="F171" s="212" t="s">
        <v>269</v>
      </c>
      <c r="G171" s="211">
        <v>9</v>
      </c>
      <c r="H171" s="211">
        <v>1</v>
      </c>
      <c r="I171" s="192">
        <v>3494</v>
      </c>
      <c r="J171" s="192">
        <v>3277.11</v>
      </c>
      <c r="K171" s="192">
        <v>3141.61</v>
      </c>
      <c r="L171" s="213">
        <v>159</v>
      </c>
      <c r="M171" s="211" t="s">
        <v>271</v>
      </c>
      <c r="N171" s="214" t="s">
        <v>1532</v>
      </c>
      <c r="O171" s="192">
        <v>174209.85</v>
      </c>
      <c r="P171" s="192">
        <f t="shared" si="16"/>
        <v>49.859716657126505</v>
      </c>
      <c r="Q171" s="192">
        <v>892.26520320549503</v>
      </c>
      <c r="R171" s="217"/>
      <c r="S171" s="16"/>
      <c r="V171" s="218"/>
      <c r="W171" s="218"/>
    </row>
    <row r="172" spans="1:23" ht="35.25" x14ac:dyDescent="0.5">
      <c r="A172" s="6">
        <v>1</v>
      </c>
      <c r="B172" s="215">
        <v>79</v>
      </c>
      <c r="C172" s="216" t="s">
        <v>1472</v>
      </c>
      <c r="D172" s="211">
        <v>1987</v>
      </c>
      <c r="E172" s="211"/>
      <c r="F172" s="212" t="s">
        <v>313</v>
      </c>
      <c r="G172" s="211">
        <v>5</v>
      </c>
      <c r="H172" s="211">
        <v>6</v>
      </c>
      <c r="I172" s="192">
        <v>4362</v>
      </c>
      <c r="J172" s="192">
        <v>3933.6</v>
      </c>
      <c r="K172" s="192">
        <v>3462.6</v>
      </c>
      <c r="L172" s="213">
        <v>234</v>
      </c>
      <c r="M172" s="214" t="s">
        <v>271</v>
      </c>
      <c r="N172" s="219" t="s">
        <v>323</v>
      </c>
      <c r="O172" s="192">
        <v>101365.01</v>
      </c>
      <c r="P172" s="192">
        <f t="shared" si="16"/>
        <v>23.238195781751489</v>
      </c>
      <c r="Q172" s="192">
        <v>1531.3211210453919</v>
      </c>
      <c r="R172" s="217"/>
      <c r="S172" s="16"/>
      <c r="V172" s="218"/>
      <c r="W172" s="218"/>
    </row>
    <row r="173" spans="1:23" ht="35.25" x14ac:dyDescent="0.5">
      <c r="A173" s="6">
        <v>1</v>
      </c>
      <c r="B173" s="215">
        <v>80</v>
      </c>
      <c r="C173" s="216" t="s">
        <v>1510</v>
      </c>
      <c r="D173" s="211">
        <v>1966</v>
      </c>
      <c r="E173" s="211"/>
      <c r="F173" s="212" t="s">
        <v>269</v>
      </c>
      <c r="G173" s="211">
        <v>5</v>
      </c>
      <c r="H173" s="211">
        <v>4</v>
      </c>
      <c r="I173" s="192">
        <v>3416</v>
      </c>
      <c r="J173" s="192">
        <v>3392</v>
      </c>
      <c r="K173" s="192">
        <v>2976.63</v>
      </c>
      <c r="L173" s="213">
        <v>150</v>
      </c>
      <c r="M173" s="214" t="s">
        <v>271</v>
      </c>
      <c r="N173" s="219" t="s">
        <v>1530</v>
      </c>
      <c r="O173" s="192">
        <v>70328.740000000005</v>
      </c>
      <c r="P173" s="192">
        <f t="shared" si="16"/>
        <v>20.588038641686182</v>
      </c>
      <c r="Q173" s="192">
        <v>712.1</v>
      </c>
      <c r="R173" s="217"/>
      <c r="S173" s="16"/>
      <c r="V173" s="218"/>
      <c r="W173" s="218"/>
    </row>
    <row r="174" spans="1:23" ht="35.25" x14ac:dyDescent="0.5">
      <c r="B174" s="215">
        <v>81</v>
      </c>
      <c r="C174" s="216" t="s">
        <v>1909</v>
      </c>
      <c r="D174" s="211">
        <v>1972</v>
      </c>
      <c r="E174" s="211"/>
      <c r="F174" s="212" t="s">
        <v>269</v>
      </c>
      <c r="G174" s="211">
        <v>5</v>
      </c>
      <c r="H174" s="211">
        <v>6</v>
      </c>
      <c r="I174" s="192">
        <v>4562.8</v>
      </c>
      <c r="J174" s="192">
        <v>4499.5</v>
      </c>
      <c r="K174" s="192">
        <v>3634.1</v>
      </c>
      <c r="L174" s="213">
        <v>237</v>
      </c>
      <c r="M174" s="219" t="s">
        <v>271</v>
      </c>
      <c r="N174" s="214" t="s">
        <v>327</v>
      </c>
      <c r="O174" s="192">
        <v>53102.53</v>
      </c>
      <c r="P174" s="192">
        <f t="shared" si="16"/>
        <v>11.63814543701236</v>
      </c>
      <c r="Q174" s="192">
        <v>2004.5010936267204</v>
      </c>
      <c r="R174" s="217"/>
      <c r="S174" s="16"/>
      <c r="V174" s="218"/>
      <c r="W174" s="218"/>
    </row>
    <row r="175" spans="1:23" ht="35.25" x14ac:dyDescent="0.5">
      <c r="B175" s="215">
        <v>82</v>
      </c>
      <c r="C175" s="216" t="s">
        <v>1910</v>
      </c>
      <c r="D175" s="211">
        <v>1963</v>
      </c>
      <c r="E175" s="211"/>
      <c r="F175" s="212" t="s">
        <v>269</v>
      </c>
      <c r="G175" s="211">
        <v>2</v>
      </c>
      <c r="H175" s="211">
        <v>1</v>
      </c>
      <c r="I175" s="192">
        <v>471.59</v>
      </c>
      <c r="J175" s="192">
        <v>415.21</v>
      </c>
      <c r="K175" s="192">
        <v>312.26</v>
      </c>
      <c r="L175" s="213">
        <v>21</v>
      </c>
      <c r="M175" s="219" t="s">
        <v>271</v>
      </c>
      <c r="N175" s="214" t="s">
        <v>1919</v>
      </c>
      <c r="O175" s="192">
        <v>110786.03</v>
      </c>
      <c r="P175" s="192">
        <f t="shared" si="16"/>
        <v>234.92022731610086</v>
      </c>
      <c r="Q175" s="192">
        <v>6637.322674356963</v>
      </c>
      <c r="R175" s="217"/>
      <c r="S175" s="16"/>
      <c r="V175" s="218"/>
      <c r="W175" s="218"/>
    </row>
    <row r="176" spans="1:23" ht="35.25" x14ac:dyDescent="0.5">
      <c r="B176" s="293" t="s">
        <v>1412</v>
      </c>
      <c r="C176" s="216"/>
      <c r="D176" s="211" t="s">
        <v>757</v>
      </c>
      <c r="E176" s="211" t="s">
        <v>757</v>
      </c>
      <c r="F176" s="212" t="s">
        <v>757</v>
      </c>
      <c r="G176" s="211" t="s">
        <v>757</v>
      </c>
      <c r="H176" s="211" t="s">
        <v>757</v>
      </c>
      <c r="I176" s="192">
        <f>SUM(I177:I181)</f>
        <v>39280</v>
      </c>
      <c r="J176" s="192">
        <f t="shared" ref="J176:L176" si="18">SUM(J177:J181)</f>
        <v>34872.199999999997</v>
      </c>
      <c r="K176" s="192">
        <f t="shared" si="18"/>
        <v>32288.5</v>
      </c>
      <c r="L176" s="213">
        <f t="shared" si="18"/>
        <v>1995</v>
      </c>
      <c r="M176" s="211" t="s">
        <v>896</v>
      </c>
      <c r="N176" s="214" t="s">
        <v>896</v>
      </c>
      <c r="O176" s="192">
        <v>1542530.93</v>
      </c>
      <c r="P176" s="192">
        <f t="shared" si="16"/>
        <v>39.270135692464358</v>
      </c>
      <c r="Q176" s="192">
        <f>MAX(Q177:Q181)</f>
        <v>878.91698615796201</v>
      </c>
      <c r="R176" s="217"/>
      <c r="S176" s="16"/>
      <c r="V176" s="218"/>
      <c r="W176" s="218"/>
    </row>
    <row r="177" spans="1:23" ht="35.25" x14ac:dyDescent="0.5">
      <c r="A177" s="6">
        <v>1</v>
      </c>
      <c r="B177" s="215">
        <v>83</v>
      </c>
      <c r="C177" s="216" t="s">
        <v>1473</v>
      </c>
      <c r="D177" s="211">
        <v>1978</v>
      </c>
      <c r="E177" s="211"/>
      <c r="F177" s="212" t="s">
        <v>313</v>
      </c>
      <c r="G177" s="211">
        <v>9</v>
      </c>
      <c r="H177" s="211">
        <v>4</v>
      </c>
      <c r="I177" s="192">
        <v>8707</v>
      </c>
      <c r="J177" s="192">
        <v>7693.6</v>
      </c>
      <c r="K177" s="192">
        <v>7347.1</v>
      </c>
      <c r="L177" s="213">
        <v>357</v>
      </c>
      <c r="M177" s="211" t="s">
        <v>271</v>
      </c>
      <c r="N177" s="214" t="s">
        <v>321</v>
      </c>
      <c r="O177" s="192">
        <v>382556.25999999995</v>
      </c>
      <c r="P177" s="192">
        <f t="shared" si="16"/>
        <v>43.936632594464221</v>
      </c>
      <c r="Q177" s="192">
        <v>834.09284701963918</v>
      </c>
      <c r="R177" s="217"/>
      <c r="S177" s="16"/>
      <c r="V177" s="218"/>
      <c r="W177" s="218"/>
    </row>
    <row r="178" spans="1:23" ht="35.25" x14ac:dyDescent="0.5">
      <c r="A178" s="6">
        <v>1</v>
      </c>
      <c r="B178" s="215">
        <v>84</v>
      </c>
      <c r="C178" s="216" t="s">
        <v>1474</v>
      </c>
      <c r="D178" s="211">
        <v>1981</v>
      </c>
      <c r="E178" s="211"/>
      <c r="F178" s="212" t="s">
        <v>313</v>
      </c>
      <c r="G178" s="211">
        <v>9</v>
      </c>
      <c r="H178" s="211">
        <v>4</v>
      </c>
      <c r="I178" s="192">
        <v>8838.4</v>
      </c>
      <c r="J178" s="192">
        <v>7825</v>
      </c>
      <c r="K178" s="192">
        <v>7353.9</v>
      </c>
      <c r="L178" s="213">
        <v>387</v>
      </c>
      <c r="M178" s="211" t="s">
        <v>271</v>
      </c>
      <c r="N178" s="214" t="s">
        <v>321</v>
      </c>
      <c r="O178" s="192">
        <v>381284.05</v>
      </c>
      <c r="P178" s="192">
        <f t="shared" si="16"/>
        <v>43.139487916364956</v>
      </c>
      <c r="Q178" s="192">
        <v>844.78283546795808</v>
      </c>
      <c r="R178" s="217"/>
      <c r="S178" s="16"/>
      <c r="V178" s="218"/>
      <c r="W178" s="218"/>
    </row>
    <row r="179" spans="1:23" ht="35.25" x14ac:dyDescent="0.5">
      <c r="A179" s="6">
        <v>1</v>
      </c>
      <c r="B179" s="215">
        <v>85</v>
      </c>
      <c r="C179" s="216" t="s">
        <v>384</v>
      </c>
      <c r="D179" s="211">
        <v>1982</v>
      </c>
      <c r="E179" s="211"/>
      <c r="F179" s="212" t="s">
        <v>313</v>
      </c>
      <c r="G179" s="211">
        <v>9</v>
      </c>
      <c r="H179" s="211">
        <v>4</v>
      </c>
      <c r="I179" s="192">
        <v>8597</v>
      </c>
      <c r="J179" s="192">
        <v>7716.1</v>
      </c>
      <c r="K179" s="192">
        <v>7190.6</v>
      </c>
      <c r="L179" s="213">
        <v>399</v>
      </c>
      <c r="M179" s="211" t="s">
        <v>271</v>
      </c>
      <c r="N179" s="214" t="s">
        <v>321</v>
      </c>
      <c r="O179" s="192">
        <v>292385.17000000004</v>
      </c>
      <c r="P179" s="192">
        <f t="shared" si="16"/>
        <v>34.010139583575672</v>
      </c>
      <c r="Q179" s="192">
        <v>878.91698615796201</v>
      </c>
      <c r="R179" s="217"/>
      <c r="S179" s="16"/>
      <c r="V179" s="218"/>
      <c r="W179" s="218"/>
    </row>
    <row r="180" spans="1:23" ht="35.25" x14ac:dyDescent="0.5">
      <c r="A180" s="6">
        <v>1</v>
      </c>
      <c r="B180" s="215">
        <v>86</v>
      </c>
      <c r="C180" s="216" t="s">
        <v>1475</v>
      </c>
      <c r="D180" s="211">
        <v>1983</v>
      </c>
      <c r="E180" s="211"/>
      <c r="F180" s="212" t="s">
        <v>313</v>
      </c>
      <c r="G180" s="211">
        <v>9</v>
      </c>
      <c r="H180" s="211">
        <v>4</v>
      </c>
      <c r="I180" s="192">
        <v>8601.7999999999993</v>
      </c>
      <c r="J180" s="192">
        <v>7730</v>
      </c>
      <c r="K180" s="192">
        <v>7318.9</v>
      </c>
      <c r="L180" s="213">
        <v>404</v>
      </c>
      <c r="M180" s="211" t="s">
        <v>271</v>
      </c>
      <c r="N180" s="214" t="s">
        <v>321</v>
      </c>
      <c r="O180" s="192">
        <v>292385.17000000004</v>
      </c>
      <c r="P180" s="192">
        <f t="shared" si="16"/>
        <v>33.991161152316963</v>
      </c>
      <c r="Q180" s="192">
        <v>877.69875374921537</v>
      </c>
      <c r="R180" s="217"/>
      <c r="S180" s="16"/>
      <c r="V180" s="218"/>
      <c r="W180" s="218"/>
    </row>
    <row r="181" spans="1:23" ht="35.25" x14ac:dyDescent="0.5">
      <c r="A181" s="6">
        <v>1</v>
      </c>
      <c r="B181" s="215">
        <v>87</v>
      </c>
      <c r="C181" s="216" t="s">
        <v>1476</v>
      </c>
      <c r="D181" s="211">
        <v>1987</v>
      </c>
      <c r="E181" s="211"/>
      <c r="F181" s="212" t="s">
        <v>269</v>
      </c>
      <c r="G181" s="211">
        <v>12</v>
      </c>
      <c r="H181" s="211">
        <v>1</v>
      </c>
      <c r="I181" s="192">
        <v>4535.8</v>
      </c>
      <c r="J181" s="192">
        <v>3907.5</v>
      </c>
      <c r="K181" s="192">
        <v>3078</v>
      </c>
      <c r="L181" s="213">
        <v>448</v>
      </c>
      <c r="M181" s="211" t="s">
        <v>271</v>
      </c>
      <c r="N181" s="214" t="s">
        <v>321</v>
      </c>
      <c r="O181" s="192">
        <v>193920.28</v>
      </c>
      <c r="P181" s="192">
        <f t="shared" si="16"/>
        <v>42.753269544512541</v>
      </c>
      <c r="Q181" s="192">
        <v>712.99752061378365</v>
      </c>
      <c r="R181" s="217"/>
      <c r="S181" s="16"/>
      <c r="V181" s="218"/>
      <c r="W181" s="218"/>
    </row>
    <row r="182" spans="1:23" ht="35.25" x14ac:dyDescent="0.5">
      <c r="B182" s="293" t="s">
        <v>890</v>
      </c>
      <c r="C182" s="216"/>
      <c r="D182" s="211" t="s">
        <v>757</v>
      </c>
      <c r="E182" s="211" t="s">
        <v>757</v>
      </c>
      <c r="F182" s="212" t="s">
        <v>757</v>
      </c>
      <c r="G182" s="211" t="s">
        <v>757</v>
      </c>
      <c r="H182" s="211" t="s">
        <v>757</v>
      </c>
      <c r="I182" s="192">
        <f>SUM(I183:I184)</f>
        <v>6959.2</v>
      </c>
      <c r="J182" s="192">
        <f t="shared" ref="J182:L182" si="19">SUM(J183:J184)</f>
        <v>6276.4</v>
      </c>
      <c r="K182" s="192">
        <f t="shared" si="19"/>
        <v>6276.4</v>
      </c>
      <c r="L182" s="213">
        <f t="shared" si="19"/>
        <v>259</v>
      </c>
      <c r="M182" s="211" t="s">
        <v>896</v>
      </c>
      <c r="N182" s="214" t="s">
        <v>896</v>
      </c>
      <c r="O182" s="192">
        <v>3231773.15</v>
      </c>
      <c r="P182" s="192">
        <f t="shared" si="16"/>
        <v>464.38860070123002</v>
      </c>
      <c r="Q182" s="192">
        <f>MAX(Q183:Q184)</f>
        <v>1465.3158489859416</v>
      </c>
      <c r="R182" s="217"/>
      <c r="S182" s="16"/>
      <c r="V182" s="218"/>
      <c r="W182" s="218"/>
    </row>
    <row r="183" spans="1:23" ht="35.25" x14ac:dyDescent="0.5">
      <c r="A183" s="6">
        <v>1</v>
      </c>
      <c r="B183" s="215">
        <v>88</v>
      </c>
      <c r="C183" s="216" t="s">
        <v>1477</v>
      </c>
      <c r="D183" s="211">
        <v>1988</v>
      </c>
      <c r="E183" s="211"/>
      <c r="F183" s="212" t="s">
        <v>313</v>
      </c>
      <c r="G183" s="211">
        <v>5</v>
      </c>
      <c r="H183" s="211">
        <v>4</v>
      </c>
      <c r="I183" s="192">
        <v>3471.2</v>
      </c>
      <c r="J183" s="192">
        <v>3130.3</v>
      </c>
      <c r="K183" s="192">
        <v>3130.3</v>
      </c>
      <c r="L183" s="213">
        <v>113</v>
      </c>
      <c r="M183" s="211" t="s">
        <v>268</v>
      </c>
      <c r="N183" s="214" t="s">
        <v>270</v>
      </c>
      <c r="O183" s="192">
        <v>1617633.46</v>
      </c>
      <c r="P183" s="192">
        <f t="shared" si="16"/>
        <v>466.01563148190831</v>
      </c>
      <c r="Q183" s="192">
        <v>1465.3158489859416</v>
      </c>
      <c r="R183" s="217"/>
      <c r="S183" s="16"/>
      <c r="V183" s="218"/>
      <c r="W183" s="218"/>
    </row>
    <row r="184" spans="1:23" ht="35.25" x14ac:dyDescent="0.5">
      <c r="A184" s="6">
        <v>1</v>
      </c>
      <c r="B184" s="215">
        <v>89</v>
      </c>
      <c r="C184" s="216" t="s">
        <v>1478</v>
      </c>
      <c r="D184" s="211">
        <v>1989</v>
      </c>
      <c r="E184" s="211"/>
      <c r="F184" s="212" t="s">
        <v>269</v>
      </c>
      <c r="G184" s="211">
        <v>5</v>
      </c>
      <c r="H184" s="211">
        <v>4</v>
      </c>
      <c r="I184" s="192">
        <v>3488</v>
      </c>
      <c r="J184" s="192">
        <v>3146.1</v>
      </c>
      <c r="K184" s="192">
        <v>3146.1</v>
      </c>
      <c r="L184" s="213">
        <v>146</v>
      </c>
      <c r="M184" s="211" t="s">
        <v>268</v>
      </c>
      <c r="N184" s="214" t="s">
        <v>270</v>
      </c>
      <c r="O184" s="192">
        <v>1614139.69</v>
      </c>
      <c r="P184" s="192">
        <f t="shared" si="16"/>
        <v>462.7694065366972</v>
      </c>
      <c r="Q184" s="192">
        <v>1458.2581350344037</v>
      </c>
      <c r="R184" s="217"/>
      <c r="S184" s="16"/>
      <c r="V184" s="218"/>
      <c r="W184" s="218"/>
    </row>
    <row r="185" spans="1:23" ht="35.25" x14ac:dyDescent="0.5">
      <c r="B185" s="293" t="s">
        <v>1413</v>
      </c>
      <c r="C185" s="216"/>
      <c r="D185" s="211" t="s">
        <v>757</v>
      </c>
      <c r="E185" s="211" t="s">
        <v>757</v>
      </c>
      <c r="F185" s="212" t="s">
        <v>757</v>
      </c>
      <c r="G185" s="211" t="s">
        <v>757</v>
      </c>
      <c r="H185" s="211" t="s">
        <v>757</v>
      </c>
      <c r="I185" s="192">
        <f>I186+I187</f>
        <v>1317.6</v>
      </c>
      <c r="J185" s="192">
        <f t="shared" ref="J185:L185" si="20">J186+J187</f>
        <v>1189.5999999999999</v>
      </c>
      <c r="K185" s="192">
        <f t="shared" si="20"/>
        <v>1093.8</v>
      </c>
      <c r="L185" s="213">
        <f t="shared" si="20"/>
        <v>50</v>
      </c>
      <c r="M185" s="211" t="s">
        <v>896</v>
      </c>
      <c r="N185" s="214" t="s">
        <v>896</v>
      </c>
      <c r="O185" s="192">
        <v>35323.410000000003</v>
      </c>
      <c r="P185" s="192">
        <f t="shared" si="16"/>
        <v>26.80890255009108</v>
      </c>
      <c r="Q185" s="192">
        <f>MAX(Q186:Q187)</f>
        <v>5623.0910176991147</v>
      </c>
      <c r="R185" s="217"/>
      <c r="S185" s="16"/>
      <c r="V185" s="218"/>
      <c r="W185" s="218"/>
    </row>
    <row r="186" spans="1:23" ht="35.25" x14ac:dyDescent="0.5">
      <c r="A186" s="6">
        <v>1</v>
      </c>
      <c r="B186" s="215">
        <v>90</v>
      </c>
      <c r="C186" s="216" t="s">
        <v>1479</v>
      </c>
      <c r="D186" s="211">
        <v>1985</v>
      </c>
      <c r="E186" s="211"/>
      <c r="F186" s="212" t="s">
        <v>313</v>
      </c>
      <c r="G186" s="211">
        <v>2</v>
      </c>
      <c r="H186" s="211">
        <v>2</v>
      </c>
      <c r="I186" s="192">
        <v>978.6</v>
      </c>
      <c r="J186" s="192">
        <v>880.3</v>
      </c>
      <c r="K186" s="192">
        <v>821.4</v>
      </c>
      <c r="L186" s="213">
        <v>30</v>
      </c>
      <c r="M186" s="211" t="s">
        <v>268</v>
      </c>
      <c r="N186" s="214" t="s">
        <v>270</v>
      </c>
      <c r="O186" s="192">
        <v>11164.380000000001</v>
      </c>
      <c r="P186" s="192">
        <f t="shared" si="16"/>
        <v>11.408522378908646</v>
      </c>
      <c r="Q186" s="192">
        <v>3016.8665481299813</v>
      </c>
      <c r="R186" s="217"/>
      <c r="S186" s="16"/>
      <c r="V186" s="218"/>
      <c r="W186" s="218"/>
    </row>
    <row r="187" spans="1:23" ht="35.25" x14ac:dyDescent="0.5">
      <c r="B187" s="215">
        <v>91</v>
      </c>
      <c r="C187" s="216" t="s">
        <v>1911</v>
      </c>
      <c r="D187" s="211" t="s">
        <v>352</v>
      </c>
      <c r="E187" s="211"/>
      <c r="F187" s="212" t="s">
        <v>269</v>
      </c>
      <c r="G187" s="211">
        <v>2</v>
      </c>
      <c r="H187" s="211">
        <v>1</v>
      </c>
      <c r="I187" s="192">
        <v>339</v>
      </c>
      <c r="J187" s="192">
        <v>309.3</v>
      </c>
      <c r="K187" s="192">
        <v>272.39999999999998</v>
      </c>
      <c r="L187" s="213">
        <v>20</v>
      </c>
      <c r="M187" s="219" t="s">
        <v>271</v>
      </c>
      <c r="N187" s="214" t="s">
        <v>1920</v>
      </c>
      <c r="O187" s="192">
        <v>24159.03</v>
      </c>
      <c r="P187" s="192">
        <f t="shared" si="16"/>
        <v>71.265575221238933</v>
      </c>
      <c r="Q187" s="192">
        <v>5623.0910176991147</v>
      </c>
      <c r="R187" s="217"/>
      <c r="S187" s="16"/>
      <c r="V187" s="218"/>
      <c r="W187" s="218"/>
    </row>
    <row r="188" spans="1:23" ht="35.25" x14ac:dyDescent="0.5">
      <c r="B188" s="293" t="s">
        <v>866</v>
      </c>
      <c r="C188" s="216"/>
      <c r="D188" s="211" t="s">
        <v>757</v>
      </c>
      <c r="E188" s="211" t="s">
        <v>757</v>
      </c>
      <c r="F188" s="212" t="s">
        <v>757</v>
      </c>
      <c r="G188" s="211" t="s">
        <v>757</v>
      </c>
      <c r="H188" s="211" t="s">
        <v>757</v>
      </c>
      <c r="I188" s="192">
        <f>I189</f>
        <v>3121</v>
      </c>
      <c r="J188" s="192">
        <f t="shared" ref="J188:L188" si="21">J189</f>
        <v>1791</v>
      </c>
      <c r="K188" s="192">
        <f t="shared" si="21"/>
        <v>1791</v>
      </c>
      <c r="L188" s="213">
        <f t="shared" si="21"/>
        <v>171</v>
      </c>
      <c r="M188" s="211" t="s">
        <v>896</v>
      </c>
      <c r="N188" s="214" t="s">
        <v>896</v>
      </c>
      <c r="O188" s="192">
        <v>778244.79</v>
      </c>
      <c r="P188" s="192">
        <f t="shared" si="16"/>
        <v>249.35751041332907</v>
      </c>
      <c r="Q188" s="192">
        <f>Q189</f>
        <v>1950.6679830182632</v>
      </c>
      <c r="R188" s="217"/>
      <c r="S188" s="16"/>
      <c r="V188" s="218"/>
      <c r="W188" s="218"/>
    </row>
    <row r="189" spans="1:23" ht="35.25" x14ac:dyDescent="0.5">
      <c r="A189" s="6">
        <v>1</v>
      </c>
      <c r="B189" s="215">
        <v>92</v>
      </c>
      <c r="C189" s="216" t="s">
        <v>1480</v>
      </c>
      <c r="D189" s="211">
        <v>1986</v>
      </c>
      <c r="E189" s="211"/>
      <c r="F189" s="212" t="s">
        <v>313</v>
      </c>
      <c r="G189" s="211">
        <v>5</v>
      </c>
      <c r="H189" s="211">
        <v>4</v>
      </c>
      <c r="I189" s="192">
        <v>3121</v>
      </c>
      <c r="J189" s="192">
        <v>1791</v>
      </c>
      <c r="K189" s="192">
        <v>1791</v>
      </c>
      <c r="L189" s="213">
        <v>171</v>
      </c>
      <c r="M189" s="211" t="s">
        <v>343</v>
      </c>
      <c r="N189" s="214" t="s">
        <v>1533</v>
      </c>
      <c r="O189" s="192">
        <v>778244.79</v>
      </c>
      <c r="P189" s="192">
        <f t="shared" si="16"/>
        <v>249.35751041332907</v>
      </c>
      <c r="Q189" s="192">
        <v>1950.6679830182632</v>
      </c>
      <c r="R189" s="217"/>
      <c r="S189" s="16"/>
      <c r="V189" s="218"/>
      <c r="W189" s="218"/>
    </row>
    <row r="190" spans="1:23" ht="35.25" x14ac:dyDescent="0.5">
      <c r="B190" s="293" t="s">
        <v>852</v>
      </c>
      <c r="C190" s="216"/>
      <c r="D190" s="211" t="s">
        <v>757</v>
      </c>
      <c r="E190" s="211" t="s">
        <v>757</v>
      </c>
      <c r="F190" s="212" t="s">
        <v>757</v>
      </c>
      <c r="G190" s="211" t="s">
        <v>757</v>
      </c>
      <c r="H190" s="211" t="s">
        <v>757</v>
      </c>
      <c r="I190" s="192">
        <f>SUM(I191:I194)</f>
        <v>6289.82</v>
      </c>
      <c r="J190" s="192">
        <f t="shared" ref="J190:L190" si="22">SUM(J191:J194)</f>
        <v>5576.1399999999994</v>
      </c>
      <c r="K190" s="192">
        <f t="shared" si="22"/>
        <v>5336.24</v>
      </c>
      <c r="L190" s="213">
        <f t="shared" si="22"/>
        <v>266</v>
      </c>
      <c r="M190" s="211" t="s">
        <v>896</v>
      </c>
      <c r="N190" s="214" t="s">
        <v>896</v>
      </c>
      <c r="O190" s="192">
        <v>969598.97000000009</v>
      </c>
      <c r="P190" s="192">
        <f t="shared" si="16"/>
        <v>154.15369120260996</v>
      </c>
      <c r="Q190" s="192">
        <f>MAX(Q191:Q194)</f>
        <v>5675.8808280160265</v>
      </c>
      <c r="R190" s="217"/>
      <c r="S190" s="16"/>
      <c r="V190" s="218"/>
      <c r="W190" s="218"/>
    </row>
    <row r="191" spans="1:23" ht="35.25" x14ac:dyDescent="0.5">
      <c r="A191" s="6">
        <v>1</v>
      </c>
      <c r="B191" s="215">
        <v>93</v>
      </c>
      <c r="C191" s="216" t="s">
        <v>1481</v>
      </c>
      <c r="D191" s="211">
        <v>1976</v>
      </c>
      <c r="E191" s="211"/>
      <c r="F191" s="212" t="s">
        <v>269</v>
      </c>
      <c r="G191" s="211">
        <v>5</v>
      </c>
      <c r="H191" s="211">
        <v>4</v>
      </c>
      <c r="I191" s="192">
        <v>3560.34</v>
      </c>
      <c r="J191" s="192">
        <v>3122.34</v>
      </c>
      <c r="K191" s="192">
        <v>3091.94</v>
      </c>
      <c r="L191" s="213">
        <v>145</v>
      </c>
      <c r="M191" s="211" t="s">
        <v>271</v>
      </c>
      <c r="N191" s="214" t="s">
        <v>1534</v>
      </c>
      <c r="O191" s="192">
        <v>672709.20000000007</v>
      </c>
      <c r="P191" s="192">
        <f t="shared" si="16"/>
        <v>188.94521309762553</v>
      </c>
      <c r="Q191" s="192">
        <v>1684.4632872141424</v>
      </c>
      <c r="R191" s="217"/>
      <c r="S191" s="16"/>
      <c r="V191" s="218"/>
      <c r="W191" s="218"/>
    </row>
    <row r="192" spans="1:23" ht="35.25" x14ac:dyDescent="0.5">
      <c r="A192" s="6">
        <v>1</v>
      </c>
      <c r="B192" s="215">
        <v>94</v>
      </c>
      <c r="C192" s="216" t="s">
        <v>1482</v>
      </c>
      <c r="D192" s="211">
        <v>1958</v>
      </c>
      <c r="E192" s="211"/>
      <c r="F192" s="212" t="s">
        <v>269</v>
      </c>
      <c r="G192" s="211">
        <v>2</v>
      </c>
      <c r="H192" s="211">
        <v>2</v>
      </c>
      <c r="I192" s="192">
        <v>673.9</v>
      </c>
      <c r="J192" s="192">
        <v>615.9</v>
      </c>
      <c r="K192" s="192">
        <v>562.29999999999995</v>
      </c>
      <c r="L192" s="213">
        <v>32</v>
      </c>
      <c r="M192" s="211" t="s">
        <v>268</v>
      </c>
      <c r="N192" s="214" t="s">
        <v>270</v>
      </c>
      <c r="O192" s="192">
        <v>5758.94</v>
      </c>
      <c r="P192" s="192">
        <f t="shared" si="16"/>
        <v>8.5456892714052533</v>
      </c>
      <c r="Q192" s="192">
        <v>5675.8808280160265</v>
      </c>
      <c r="R192" s="217"/>
      <c r="S192" s="16"/>
      <c r="V192" s="218"/>
      <c r="W192" s="218"/>
    </row>
    <row r="193" spans="1:23" ht="35.25" x14ac:dyDescent="0.5">
      <c r="A193" s="6">
        <v>1</v>
      </c>
      <c r="B193" s="215">
        <v>95</v>
      </c>
      <c r="C193" s="216" t="s">
        <v>1483</v>
      </c>
      <c r="D193" s="211">
        <v>1975</v>
      </c>
      <c r="E193" s="211"/>
      <c r="F193" s="212" t="s">
        <v>269</v>
      </c>
      <c r="G193" s="211">
        <v>2</v>
      </c>
      <c r="H193" s="211">
        <v>2</v>
      </c>
      <c r="I193" s="192">
        <v>768.5</v>
      </c>
      <c r="J193" s="192">
        <v>710</v>
      </c>
      <c r="K193" s="192">
        <v>655.20000000000005</v>
      </c>
      <c r="L193" s="213">
        <v>38</v>
      </c>
      <c r="M193" s="211" t="s">
        <v>268</v>
      </c>
      <c r="N193" s="214" t="s">
        <v>270</v>
      </c>
      <c r="O193" s="192">
        <v>233459.54</v>
      </c>
      <c r="P193" s="192">
        <f t="shared" si="16"/>
        <v>303.78599869876382</v>
      </c>
      <c r="Q193" s="192">
        <v>1525.5721014964215</v>
      </c>
      <c r="R193" s="217"/>
      <c r="S193" s="16"/>
      <c r="V193" s="218"/>
      <c r="W193" s="218"/>
    </row>
    <row r="194" spans="1:23" ht="35.25" x14ac:dyDescent="0.5">
      <c r="A194" s="6">
        <v>1</v>
      </c>
      <c r="B194" s="215">
        <v>96</v>
      </c>
      <c r="C194" s="216" t="s">
        <v>1511</v>
      </c>
      <c r="D194" s="211">
        <v>1984</v>
      </c>
      <c r="E194" s="211"/>
      <c r="F194" s="212" t="s">
        <v>313</v>
      </c>
      <c r="G194" s="211">
        <v>4</v>
      </c>
      <c r="H194" s="211">
        <v>2</v>
      </c>
      <c r="I194" s="192">
        <v>1287.08</v>
      </c>
      <c r="J194" s="192">
        <v>1127.9000000000001</v>
      </c>
      <c r="K194" s="192">
        <v>1026.8</v>
      </c>
      <c r="L194" s="213">
        <v>51</v>
      </c>
      <c r="M194" s="211" t="s">
        <v>268</v>
      </c>
      <c r="N194" s="214" t="s">
        <v>270</v>
      </c>
      <c r="O194" s="192">
        <v>57671.29</v>
      </c>
      <c r="P194" s="192">
        <f t="shared" si="16"/>
        <v>44.807851881778916</v>
      </c>
      <c r="Q194" s="192">
        <v>2470.8460390962491</v>
      </c>
      <c r="R194" s="217"/>
      <c r="S194" s="16"/>
      <c r="V194" s="218"/>
      <c r="W194" s="218"/>
    </row>
    <row r="195" spans="1:23" ht="35.25" x14ac:dyDescent="0.5">
      <c r="B195" s="293" t="s">
        <v>876</v>
      </c>
      <c r="C195" s="216"/>
      <c r="D195" s="211" t="s">
        <v>757</v>
      </c>
      <c r="E195" s="211" t="s">
        <v>757</v>
      </c>
      <c r="F195" s="212" t="s">
        <v>757</v>
      </c>
      <c r="G195" s="211" t="s">
        <v>757</v>
      </c>
      <c r="H195" s="211" t="s">
        <v>757</v>
      </c>
      <c r="I195" s="192">
        <f>I196</f>
        <v>5085.1000000000004</v>
      </c>
      <c r="J195" s="192">
        <f t="shared" ref="J195:L195" si="23">J196</f>
        <v>4673.5</v>
      </c>
      <c r="K195" s="192">
        <f t="shared" si="23"/>
        <v>4551.8</v>
      </c>
      <c r="L195" s="213">
        <f t="shared" si="23"/>
        <v>199</v>
      </c>
      <c r="M195" s="211" t="s">
        <v>896</v>
      </c>
      <c r="N195" s="214" t="s">
        <v>896</v>
      </c>
      <c r="O195" s="192">
        <v>425208.96</v>
      </c>
      <c r="P195" s="192">
        <f t="shared" si="16"/>
        <v>83.618603370631845</v>
      </c>
      <c r="Q195" s="192">
        <f>Q196</f>
        <v>1505.616874791056</v>
      </c>
      <c r="R195" s="217"/>
      <c r="S195" s="16"/>
      <c r="V195" s="218"/>
      <c r="W195" s="218"/>
    </row>
    <row r="196" spans="1:23" ht="35.25" x14ac:dyDescent="0.5">
      <c r="A196" s="6">
        <v>1</v>
      </c>
      <c r="B196" s="215">
        <v>97</v>
      </c>
      <c r="C196" s="216" t="s">
        <v>1484</v>
      </c>
      <c r="D196" s="211">
        <v>1982</v>
      </c>
      <c r="E196" s="211"/>
      <c r="F196" s="212" t="s">
        <v>313</v>
      </c>
      <c r="G196" s="211">
        <v>5</v>
      </c>
      <c r="H196" s="211">
        <v>6</v>
      </c>
      <c r="I196" s="192">
        <v>5085.1000000000004</v>
      </c>
      <c r="J196" s="192">
        <v>4673.5</v>
      </c>
      <c r="K196" s="192">
        <v>4551.8</v>
      </c>
      <c r="L196" s="213">
        <v>199</v>
      </c>
      <c r="M196" s="211" t="s">
        <v>343</v>
      </c>
      <c r="N196" s="214" t="s">
        <v>1535</v>
      </c>
      <c r="O196" s="192">
        <v>425208.96</v>
      </c>
      <c r="P196" s="192">
        <f t="shared" si="16"/>
        <v>83.618603370631845</v>
      </c>
      <c r="Q196" s="192">
        <v>1505.616874791056</v>
      </c>
      <c r="R196" s="217"/>
      <c r="S196" s="16"/>
      <c r="V196" s="218"/>
      <c r="W196" s="218"/>
    </row>
    <row r="197" spans="1:23" ht="35.25" x14ac:dyDescent="0.5">
      <c r="B197" s="293" t="s">
        <v>837</v>
      </c>
      <c r="C197" s="216"/>
      <c r="D197" s="211" t="s">
        <v>757</v>
      </c>
      <c r="E197" s="211" t="s">
        <v>757</v>
      </c>
      <c r="F197" s="211" t="s">
        <v>757</v>
      </c>
      <c r="G197" s="211" t="s">
        <v>757</v>
      </c>
      <c r="H197" s="211" t="s">
        <v>757</v>
      </c>
      <c r="I197" s="192">
        <f>I198+I199</f>
        <v>4174.76</v>
      </c>
      <c r="J197" s="192">
        <f t="shared" ref="J197:L197" si="24">J198+J199</f>
        <v>2760.79</v>
      </c>
      <c r="K197" s="192">
        <f t="shared" si="24"/>
        <v>1330.8600000000001</v>
      </c>
      <c r="L197" s="213">
        <f t="shared" si="24"/>
        <v>92</v>
      </c>
      <c r="M197" s="211" t="s">
        <v>896</v>
      </c>
      <c r="N197" s="214" t="s">
        <v>896</v>
      </c>
      <c r="O197" s="192">
        <v>243092.59999999998</v>
      </c>
      <c r="P197" s="192">
        <f t="shared" si="16"/>
        <v>58.229119757782478</v>
      </c>
      <c r="Q197" s="192">
        <f>MAX(Q198:Q199)</f>
        <v>5369.9685474647349</v>
      </c>
      <c r="R197" s="217"/>
      <c r="S197" s="16"/>
      <c r="V197" s="218"/>
      <c r="W197" s="218"/>
    </row>
    <row r="198" spans="1:23" ht="35.25" x14ac:dyDescent="0.5">
      <c r="A198" s="6">
        <v>1</v>
      </c>
      <c r="B198" s="215">
        <v>98</v>
      </c>
      <c r="C198" s="216" t="s">
        <v>1485</v>
      </c>
      <c r="D198" s="211">
        <v>1967</v>
      </c>
      <c r="E198" s="211"/>
      <c r="F198" s="212" t="s">
        <v>269</v>
      </c>
      <c r="G198" s="211">
        <v>4</v>
      </c>
      <c r="H198" s="211">
        <v>3</v>
      </c>
      <c r="I198" s="192">
        <v>3387.86</v>
      </c>
      <c r="J198" s="192">
        <v>2034.29</v>
      </c>
      <c r="K198" s="192">
        <v>1015.36</v>
      </c>
      <c r="L198" s="213">
        <v>59</v>
      </c>
      <c r="M198" s="211" t="s">
        <v>271</v>
      </c>
      <c r="N198" s="214" t="s">
        <v>1313</v>
      </c>
      <c r="O198" s="192">
        <v>218819.08</v>
      </c>
      <c r="P198" s="192">
        <f t="shared" si="16"/>
        <v>64.589174287013037</v>
      </c>
      <c r="Q198" s="192">
        <v>1348.5464753561243</v>
      </c>
      <c r="R198" s="217"/>
      <c r="S198" s="16"/>
      <c r="V198" s="218"/>
      <c r="W198" s="218"/>
    </row>
    <row r="199" spans="1:23" ht="35.25" x14ac:dyDescent="0.5">
      <c r="B199" s="215">
        <v>99</v>
      </c>
      <c r="C199" s="216" t="s">
        <v>1912</v>
      </c>
      <c r="D199" s="211" t="s">
        <v>355</v>
      </c>
      <c r="E199" s="211"/>
      <c r="F199" s="212" t="s">
        <v>269</v>
      </c>
      <c r="G199" s="211">
        <v>2</v>
      </c>
      <c r="H199" s="211">
        <v>2</v>
      </c>
      <c r="I199" s="192">
        <v>786.9</v>
      </c>
      <c r="J199" s="192">
        <v>726.5</v>
      </c>
      <c r="K199" s="192">
        <v>315.5</v>
      </c>
      <c r="L199" s="213">
        <v>33</v>
      </c>
      <c r="M199" s="219" t="s">
        <v>271</v>
      </c>
      <c r="N199" s="214" t="s">
        <v>1921</v>
      </c>
      <c r="O199" s="192">
        <v>24273.52</v>
      </c>
      <c r="P199" s="192">
        <f t="shared" si="16"/>
        <v>30.847019951709239</v>
      </c>
      <c r="Q199" s="192">
        <v>5369.9685474647349</v>
      </c>
      <c r="R199" s="217"/>
      <c r="S199" s="16"/>
      <c r="V199" s="218"/>
      <c r="W199" s="218"/>
    </row>
    <row r="200" spans="1:23" ht="35.25" x14ac:dyDescent="0.5">
      <c r="B200" s="293" t="s">
        <v>849</v>
      </c>
      <c r="C200" s="216"/>
      <c r="D200" s="211" t="s">
        <v>757</v>
      </c>
      <c r="E200" s="211" t="s">
        <v>757</v>
      </c>
      <c r="F200" s="212" t="s">
        <v>757</v>
      </c>
      <c r="G200" s="211" t="s">
        <v>757</v>
      </c>
      <c r="H200" s="211" t="s">
        <v>757</v>
      </c>
      <c r="I200" s="192">
        <f>SUM(I201:I202)</f>
        <v>15972.619999999999</v>
      </c>
      <c r="J200" s="192">
        <f t="shared" ref="J200:L200" si="25">SUM(J201:J202)</f>
        <v>13085.72</v>
      </c>
      <c r="K200" s="192">
        <f t="shared" si="25"/>
        <v>12402.84</v>
      </c>
      <c r="L200" s="213">
        <f t="shared" si="25"/>
        <v>615</v>
      </c>
      <c r="M200" s="211" t="s">
        <v>896</v>
      </c>
      <c r="N200" s="214" t="s">
        <v>896</v>
      </c>
      <c r="O200" s="192">
        <v>1988549.43</v>
      </c>
      <c r="P200" s="192">
        <f t="shared" si="16"/>
        <v>124.49738552598134</v>
      </c>
      <c r="Q200" s="192">
        <f>MAX(Q201:Q202)</f>
        <v>2085.772735613436</v>
      </c>
      <c r="R200" s="217"/>
      <c r="S200" s="16"/>
      <c r="V200" s="218"/>
      <c r="W200" s="218"/>
    </row>
    <row r="201" spans="1:23" ht="35.25" x14ac:dyDescent="0.5">
      <c r="A201" s="6">
        <v>1</v>
      </c>
      <c r="B201" s="215">
        <v>100</v>
      </c>
      <c r="C201" s="216" t="s">
        <v>1486</v>
      </c>
      <c r="D201" s="211">
        <v>1989</v>
      </c>
      <c r="E201" s="211"/>
      <c r="F201" s="212" t="s">
        <v>269</v>
      </c>
      <c r="G201" s="211">
        <v>5</v>
      </c>
      <c r="H201" s="211">
        <v>12</v>
      </c>
      <c r="I201" s="192">
        <v>10086.92</v>
      </c>
      <c r="J201" s="192">
        <v>8329.2199999999993</v>
      </c>
      <c r="K201" s="192">
        <v>7734.54</v>
      </c>
      <c r="L201" s="213">
        <v>405</v>
      </c>
      <c r="M201" s="211" t="s">
        <v>271</v>
      </c>
      <c r="N201" s="214" t="s">
        <v>1536</v>
      </c>
      <c r="O201" s="192">
        <v>83534.5</v>
      </c>
      <c r="P201" s="192">
        <f t="shared" si="16"/>
        <v>8.2814674846236507</v>
      </c>
      <c r="Q201" s="192">
        <v>1725.7706349410917</v>
      </c>
      <c r="R201" s="217"/>
      <c r="S201" s="16"/>
      <c r="V201" s="218"/>
      <c r="W201" s="218"/>
    </row>
    <row r="202" spans="1:23" ht="35.25" x14ac:dyDescent="0.5">
      <c r="A202" s="6">
        <v>1</v>
      </c>
      <c r="B202" s="215">
        <v>101</v>
      </c>
      <c r="C202" s="216" t="s">
        <v>1487</v>
      </c>
      <c r="D202" s="211">
        <v>1977</v>
      </c>
      <c r="E202" s="211"/>
      <c r="F202" s="212" t="s">
        <v>269</v>
      </c>
      <c r="G202" s="211">
        <v>5</v>
      </c>
      <c r="H202" s="211">
        <v>8</v>
      </c>
      <c r="I202" s="192">
        <v>5885.7</v>
      </c>
      <c r="J202" s="192">
        <v>4756.5</v>
      </c>
      <c r="K202" s="192">
        <v>4668.3</v>
      </c>
      <c r="L202" s="213">
        <v>210</v>
      </c>
      <c r="M202" s="211" t="s">
        <v>271</v>
      </c>
      <c r="N202" s="214" t="s">
        <v>1537</v>
      </c>
      <c r="O202" s="192">
        <v>1905014.93</v>
      </c>
      <c r="P202" s="192">
        <f t="shared" si="16"/>
        <v>323.66837079701651</v>
      </c>
      <c r="Q202" s="192">
        <v>2085.772735613436</v>
      </c>
      <c r="R202" s="217"/>
      <c r="S202" s="16"/>
      <c r="V202" s="218"/>
      <c r="W202" s="218"/>
    </row>
    <row r="203" spans="1:23" ht="35.25" x14ac:dyDescent="0.5">
      <c r="B203" s="293" t="s">
        <v>889</v>
      </c>
      <c r="C203" s="216"/>
      <c r="D203" s="211" t="s">
        <v>757</v>
      </c>
      <c r="E203" s="211" t="s">
        <v>757</v>
      </c>
      <c r="F203" s="212" t="s">
        <v>757</v>
      </c>
      <c r="G203" s="211" t="s">
        <v>757</v>
      </c>
      <c r="H203" s="211" t="s">
        <v>757</v>
      </c>
      <c r="I203" s="192">
        <f>I204+I205+I206</f>
        <v>3408</v>
      </c>
      <c r="J203" s="192">
        <f t="shared" ref="J203:L203" si="26">J204+J205+J206</f>
        <v>3083.5</v>
      </c>
      <c r="K203" s="192">
        <f t="shared" si="26"/>
        <v>2494.5</v>
      </c>
      <c r="L203" s="213">
        <f t="shared" si="26"/>
        <v>189</v>
      </c>
      <c r="M203" s="211" t="s">
        <v>896</v>
      </c>
      <c r="N203" s="214" t="s">
        <v>896</v>
      </c>
      <c r="O203" s="192">
        <v>654592.74</v>
      </c>
      <c r="P203" s="192">
        <f t="shared" si="16"/>
        <v>192.07533450704224</v>
      </c>
      <c r="Q203" s="192">
        <f>MAX(Q204:Q206)</f>
        <v>5683.4937090909089</v>
      </c>
      <c r="R203" s="217"/>
      <c r="S203" s="16"/>
      <c r="V203" s="218"/>
      <c r="W203" s="218"/>
    </row>
    <row r="204" spans="1:23" ht="35.25" x14ac:dyDescent="0.5">
      <c r="A204" s="6">
        <v>1</v>
      </c>
      <c r="B204" s="215">
        <v>102</v>
      </c>
      <c r="C204" s="216" t="s">
        <v>1488</v>
      </c>
      <c r="D204" s="211">
        <v>1961</v>
      </c>
      <c r="E204" s="211"/>
      <c r="F204" s="212" t="s">
        <v>269</v>
      </c>
      <c r="G204" s="211">
        <v>2</v>
      </c>
      <c r="H204" s="211">
        <v>3</v>
      </c>
      <c r="I204" s="192">
        <v>825</v>
      </c>
      <c r="J204" s="192">
        <v>769.5</v>
      </c>
      <c r="K204" s="192">
        <v>628.1</v>
      </c>
      <c r="L204" s="213">
        <v>57</v>
      </c>
      <c r="M204" s="211" t="s">
        <v>271</v>
      </c>
      <c r="N204" s="214" t="s">
        <v>1538</v>
      </c>
      <c r="O204" s="192">
        <v>590350.84</v>
      </c>
      <c r="P204" s="192">
        <f t="shared" si="16"/>
        <v>715.57677575757577</v>
      </c>
      <c r="Q204" s="192">
        <v>5683.4937090909089</v>
      </c>
      <c r="R204" s="217"/>
      <c r="S204" s="16"/>
      <c r="V204" s="218"/>
      <c r="W204" s="218"/>
    </row>
    <row r="205" spans="1:23" ht="35.25" x14ac:dyDescent="0.5">
      <c r="A205" s="6">
        <v>1</v>
      </c>
      <c r="B205" s="215">
        <v>103</v>
      </c>
      <c r="C205" s="216" t="s">
        <v>1489</v>
      </c>
      <c r="D205" s="211">
        <v>1985</v>
      </c>
      <c r="E205" s="211"/>
      <c r="F205" s="212" t="s">
        <v>269</v>
      </c>
      <c r="G205" s="211">
        <v>4</v>
      </c>
      <c r="H205" s="211">
        <v>2</v>
      </c>
      <c r="I205" s="192">
        <v>1789.9</v>
      </c>
      <c r="J205" s="192">
        <v>1591.4</v>
      </c>
      <c r="K205" s="192">
        <v>1185</v>
      </c>
      <c r="L205" s="213">
        <v>91</v>
      </c>
      <c r="M205" s="211" t="s">
        <v>271</v>
      </c>
      <c r="N205" s="214" t="s">
        <v>1538</v>
      </c>
      <c r="O205" s="192">
        <v>30755.429999999997</v>
      </c>
      <c r="P205" s="192">
        <f t="shared" si="16"/>
        <v>17.182764400245819</v>
      </c>
      <c r="Q205" s="192">
        <v>2461.5462997932841</v>
      </c>
      <c r="R205" s="217"/>
      <c r="S205" s="16"/>
      <c r="V205" s="218"/>
      <c r="W205" s="218"/>
    </row>
    <row r="206" spans="1:23" ht="35.25" x14ac:dyDescent="0.5">
      <c r="B206" s="215">
        <v>104</v>
      </c>
      <c r="C206" s="216" t="s">
        <v>1913</v>
      </c>
      <c r="D206" s="211" t="s">
        <v>319</v>
      </c>
      <c r="E206" s="211"/>
      <c r="F206" s="212" t="s">
        <v>269</v>
      </c>
      <c r="G206" s="211">
        <v>2</v>
      </c>
      <c r="H206" s="211">
        <v>2</v>
      </c>
      <c r="I206" s="192">
        <v>793.1</v>
      </c>
      <c r="J206" s="192">
        <v>722.6</v>
      </c>
      <c r="K206" s="192">
        <v>681.4</v>
      </c>
      <c r="L206" s="213">
        <v>41</v>
      </c>
      <c r="M206" s="219" t="s">
        <v>271</v>
      </c>
      <c r="N206" s="214" t="s">
        <v>1922</v>
      </c>
      <c r="O206" s="192">
        <v>33486.47</v>
      </c>
      <c r="P206" s="192">
        <f t="shared" si="16"/>
        <v>42.222254444584543</v>
      </c>
      <c r="Q206" s="192">
        <v>4688.6305131761437</v>
      </c>
      <c r="R206" s="217"/>
      <c r="S206" s="16"/>
      <c r="V206" s="218"/>
      <c r="W206" s="218"/>
    </row>
    <row r="207" spans="1:23" ht="35.25" x14ac:dyDescent="0.5">
      <c r="B207" s="293" t="s">
        <v>863</v>
      </c>
      <c r="C207" s="216"/>
      <c r="D207" s="211" t="s">
        <v>757</v>
      </c>
      <c r="E207" s="211" t="s">
        <v>757</v>
      </c>
      <c r="F207" s="212" t="s">
        <v>757</v>
      </c>
      <c r="G207" s="211" t="s">
        <v>757</v>
      </c>
      <c r="H207" s="211" t="s">
        <v>757</v>
      </c>
      <c r="I207" s="192">
        <f>I208</f>
        <v>677.1</v>
      </c>
      <c r="J207" s="192">
        <f t="shared" ref="J207:L207" si="27">J208</f>
        <v>618.1</v>
      </c>
      <c r="K207" s="192">
        <f t="shared" si="27"/>
        <v>363.3</v>
      </c>
      <c r="L207" s="213">
        <f t="shared" si="27"/>
        <v>37</v>
      </c>
      <c r="M207" s="211" t="s">
        <v>896</v>
      </c>
      <c r="N207" s="214" t="s">
        <v>896</v>
      </c>
      <c r="O207" s="192">
        <v>39585</v>
      </c>
      <c r="P207" s="192">
        <f t="shared" si="16"/>
        <v>58.462560921577314</v>
      </c>
      <c r="Q207" s="192">
        <f>Q208</f>
        <v>5029.6017722640672</v>
      </c>
      <c r="R207" s="217"/>
      <c r="S207" s="16"/>
      <c r="V207" s="218"/>
      <c r="W207" s="218"/>
    </row>
    <row r="208" spans="1:23" ht="35.25" x14ac:dyDescent="0.5">
      <c r="A208" s="6">
        <v>1</v>
      </c>
      <c r="B208" s="215">
        <v>105</v>
      </c>
      <c r="C208" s="216" t="s">
        <v>1490</v>
      </c>
      <c r="D208" s="211">
        <v>1991</v>
      </c>
      <c r="E208" s="211"/>
      <c r="F208" s="212" t="s">
        <v>313</v>
      </c>
      <c r="G208" s="211">
        <v>2</v>
      </c>
      <c r="H208" s="211">
        <v>2</v>
      </c>
      <c r="I208" s="192">
        <v>677.1</v>
      </c>
      <c r="J208" s="192">
        <v>618.1</v>
      </c>
      <c r="K208" s="192">
        <v>363.3</v>
      </c>
      <c r="L208" s="213">
        <v>37</v>
      </c>
      <c r="M208" s="211" t="s">
        <v>268</v>
      </c>
      <c r="N208" s="214" t="s">
        <v>270</v>
      </c>
      <c r="O208" s="192">
        <v>39585</v>
      </c>
      <c r="P208" s="192">
        <f t="shared" si="16"/>
        <v>58.462560921577314</v>
      </c>
      <c r="Q208" s="192">
        <v>5029.6017722640672</v>
      </c>
      <c r="R208" s="217"/>
      <c r="S208" s="16"/>
      <c r="V208" s="218"/>
      <c r="W208" s="218"/>
    </row>
    <row r="209" spans="1:19" ht="35.25" x14ac:dyDescent="0.5">
      <c r="B209" s="293" t="s">
        <v>831</v>
      </c>
      <c r="C209" s="216"/>
      <c r="D209" s="211" t="s">
        <v>757</v>
      </c>
      <c r="E209" s="211" t="s">
        <v>757</v>
      </c>
      <c r="F209" s="212" t="s">
        <v>757</v>
      </c>
      <c r="G209" s="211" t="s">
        <v>757</v>
      </c>
      <c r="H209" s="211" t="s">
        <v>757</v>
      </c>
      <c r="I209" s="192">
        <f>I210</f>
        <v>805.6</v>
      </c>
      <c r="J209" s="192">
        <f t="shared" ref="J209" si="28">J210</f>
        <v>744.2</v>
      </c>
      <c r="K209" s="192">
        <f t="shared" ref="K209" si="29">K210</f>
        <v>701.4</v>
      </c>
      <c r="L209" s="213">
        <f t="shared" ref="L209" si="30">L210</f>
        <v>44</v>
      </c>
      <c r="M209" s="211" t="s">
        <v>896</v>
      </c>
      <c r="N209" s="214" t="s">
        <v>896</v>
      </c>
      <c r="O209" s="192">
        <v>275468.56</v>
      </c>
      <c r="P209" s="192">
        <f t="shared" si="16"/>
        <v>341.94210526315788</v>
      </c>
      <c r="Q209" s="192">
        <f>Q210</f>
        <v>5501.7558589870896</v>
      </c>
      <c r="R209" s="217"/>
      <c r="S209" s="16"/>
    </row>
    <row r="210" spans="1:19" ht="35.25" x14ac:dyDescent="0.5">
      <c r="A210" s="6">
        <v>1</v>
      </c>
      <c r="B210" s="215">
        <v>106</v>
      </c>
      <c r="C210" s="216" t="s">
        <v>1491</v>
      </c>
      <c r="D210" s="211">
        <v>1969</v>
      </c>
      <c r="E210" s="211"/>
      <c r="F210" s="212" t="s">
        <v>269</v>
      </c>
      <c r="G210" s="211">
        <v>2</v>
      </c>
      <c r="H210" s="211">
        <v>2</v>
      </c>
      <c r="I210" s="192">
        <v>805.6</v>
      </c>
      <c r="J210" s="192">
        <v>744.2</v>
      </c>
      <c r="K210" s="192">
        <v>701.4</v>
      </c>
      <c r="L210" s="213">
        <v>44</v>
      </c>
      <c r="M210" s="211" t="s">
        <v>268</v>
      </c>
      <c r="N210" s="214" t="s">
        <v>270</v>
      </c>
      <c r="O210" s="192">
        <v>275468.56</v>
      </c>
      <c r="P210" s="192">
        <f t="shared" si="16"/>
        <v>341.94210526315788</v>
      </c>
      <c r="Q210" s="192">
        <v>5501.7558589870896</v>
      </c>
      <c r="R210" s="217"/>
      <c r="S210" s="16"/>
    </row>
    <row r="211" spans="1:19" ht="35.25" x14ac:dyDescent="0.5">
      <c r="B211" s="293" t="s">
        <v>873</v>
      </c>
      <c r="C211" s="216"/>
      <c r="D211" s="211" t="s">
        <v>757</v>
      </c>
      <c r="E211" s="211" t="s">
        <v>757</v>
      </c>
      <c r="F211" s="212" t="s">
        <v>757</v>
      </c>
      <c r="G211" s="211" t="s">
        <v>757</v>
      </c>
      <c r="H211" s="211" t="s">
        <v>757</v>
      </c>
      <c r="I211" s="192">
        <f>I212</f>
        <v>1423.3</v>
      </c>
      <c r="J211" s="192">
        <f t="shared" ref="J211" si="31">J212</f>
        <v>862.5</v>
      </c>
      <c r="K211" s="192">
        <f t="shared" ref="K211" si="32">K212</f>
        <v>862.5</v>
      </c>
      <c r="L211" s="213">
        <f t="shared" ref="L211" si="33">L212</f>
        <v>37</v>
      </c>
      <c r="M211" s="211" t="s">
        <v>896</v>
      </c>
      <c r="N211" s="214" t="s">
        <v>896</v>
      </c>
      <c r="O211" s="192">
        <v>50753.95</v>
      </c>
      <c r="P211" s="192">
        <f t="shared" si="16"/>
        <v>35.659347994098219</v>
      </c>
      <c r="Q211" s="192">
        <f>Q212</f>
        <v>3641.8445303168687</v>
      </c>
      <c r="R211" s="217"/>
      <c r="S211" s="16"/>
    </row>
    <row r="212" spans="1:19" ht="35.25" x14ac:dyDescent="0.5">
      <c r="B212" s="215">
        <v>107</v>
      </c>
      <c r="C212" s="216" t="s">
        <v>1914</v>
      </c>
      <c r="D212" s="211">
        <v>1980</v>
      </c>
      <c r="E212" s="211"/>
      <c r="F212" s="212" t="s">
        <v>269</v>
      </c>
      <c r="G212" s="211">
        <v>2</v>
      </c>
      <c r="H212" s="211">
        <v>3</v>
      </c>
      <c r="I212" s="192">
        <v>1423.3</v>
      </c>
      <c r="J212" s="192">
        <v>862.5</v>
      </c>
      <c r="K212" s="192">
        <v>862.5</v>
      </c>
      <c r="L212" s="213">
        <v>37</v>
      </c>
      <c r="M212" s="211" t="s">
        <v>268</v>
      </c>
      <c r="N212" s="214" t="s">
        <v>270</v>
      </c>
      <c r="O212" s="192">
        <v>50753.95</v>
      </c>
      <c r="P212" s="192">
        <f t="shared" si="16"/>
        <v>35.659347994098219</v>
      </c>
      <c r="Q212" s="192">
        <v>3641.8445303168687</v>
      </c>
      <c r="R212" s="217"/>
      <c r="S212" s="16"/>
    </row>
    <row r="213" spans="1:19" ht="35.25" x14ac:dyDescent="0.5">
      <c r="B213" s="293" t="s">
        <v>858</v>
      </c>
      <c r="C213" s="216"/>
      <c r="D213" s="211" t="s">
        <v>757</v>
      </c>
      <c r="E213" s="211" t="s">
        <v>757</v>
      </c>
      <c r="F213" s="212" t="s">
        <v>757</v>
      </c>
      <c r="G213" s="211" t="s">
        <v>757</v>
      </c>
      <c r="H213" s="211" t="s">
        <v>757</v>
      </c>
      <c r="I213" s="192">
        <f>SUM(I214:I216)</f>
        <v>12931.86</v>
      </c>
      <c r="J213" s="192">
        <f t="shared" ref="J213:L213" si="34">SUM(J214:J216)</f>
        <v>8229.4599999999991</v>
      </c>
      <c r="K213" s="192">
        <f t="shared" si="34"/>
        <v>6014.5399999999991</v>
      </c>
      <c r="L213" s="213">
        <f t="shared" si="34"/>
        <v>621</v>
      </c>
      <c r="M213" s="211" t="s">
        <v>896</v>
      </c>
      <c r="N213" s="214" t="s">
        <v>896</v>
      </c>
      <c r="O213" s="192">
        <v>274179.65000000002</v>
      </c>
      <c r="P213" s="192">
        <f t="shared" ref="P213:P237" si="35">O213/I213</f>
        <v>21.201872739111003</v>
      </c>
      <c r="Q213" s="192">
        <f>MAX(Q215:Q216)</f>
        <v>5665.929888580331</v>
      </c>
      <c r="R213" s="217"/>
      <c r="S213" s="16"/>
    </row>
    <row r="214" spans="1:19" ht="35.25" x14ac:dyDescent="0.5">
      <c r="A214" s="6">
        <v>1</v>
      </c>
      <c r="B214" s="215">
        <v>108</v>
      </c>
      <c r="C214" s="216" t="s">
        <v>1492</v>
      </c>
      <c r="D214" s="211">
        <v>1984</v>
      </c>
      <c r="E214" s="211"/>
      <c r="F214" s="212" t="s">
        <v>313</v>
      </c>
      <c r="G214" s="211">
        <v>5</v>
      </c>
      <c r="H214" s="211">
        <v>6</v>
      </c>
      <c r="I214" s="192">
        <v>6737.77</v>
      </c>
      <c r="J214" s="192">
        <v>4669.7</v>
      </c>
      <c r="K214" s="192">
        <v>4492.3999999999996</v>
      </c>
      <c r="L214" s="213">
        <v>246</v>
      </c>
      <c r="M214" s="211" t="s">
        <v>271</v>
      </c>
      <c r="N214" s="214" t="s">
        <v>1361</v>
      </c>
      <c r="O214" s="192">
        <v>82303.180000000008</v>
      </c>
      <c r="P214" s="192">
        <f t="shared" si="35"/>
        <v>12.215195828887007</v>
      </c>
      <c r="Q214" s="192">
        <v>1157.1247795635647</v>
      </c>
      <c r="R214" s="217"/>
      <c r="S214" s="16"/>
    </row>
    <row r="215" spans="1:19" ht="35.25" x14ac:dyDescent="0.5">
      <c r="A215" s="6">
        <v>1</v>
      </c>
      <c r="B215" s="215">
        <v>109</v>
      </c>
      <c r="C215" s="216" t="s">
        <v>1493</v>
      </c>
      <c r="D215" s="211">
        <v>1976</v>
      </c>
      <c r="E215" s="211"/>
      <c r="F215" s="212" t="s">
        <v>269</v>
      </c>
      <c r="G215" s="211">
        <v>2</v>
      </c>
      <c r="H215" s="211">
        <v>2</v>
      </c>
      <c r="I215" s="192">
        <v>590.55999999999995</v>
      </c>
      <c r="J215" s="192">
        <v>553.66</v>
      </c>
      <c r="K215" s="192">
        <v>414.9</v>
      </c>
      <c r="L215" s="213">
        <v>34</v>
      </c>
      <c r="M215" s="211" t="s">
        <v>271</v>
      </c>
      <c r="N215" s="214" t="s">
        <v>296</v>
      </c>
      <c r="O215" s="192">
        <v>13519.03</v>
      </c>
      <c r="P215" s="192">
        <f t="shared" si="35"/>
        <v>22.891882281224603</v>
      </c>
      <c r="Q215" s="192">
        <v>5665.929888580331</v>
      </c>
      <c r="R215" s="217"/>
      <c r="S215" s="16"/>
    </row>
    <row r="216" spans="1:19" ht="35.25" x14ac:dyDescent="0.5">
      <c r="A216" s="6">
        <v>1</v>
      </c>
      <c r="B216" s="215">
        <v>110</v>
      </c>
      <c r="C216" s="216" t="s">
        <v>1494</v>
      </c>
      <c r="D216" s="211">
        <v>1975</v>
      </c>
      <c r="E216" s="211">
        <v>2010</v>
      </c>
      <c r="F216" s="212" t="s">
        <v>269</v>
      </c>
      <c r="G216" s="211">
        <v>5</v>
      </c>
      <c r="H216" s="211">
        <v>1</v>
      </c>
      <c r="I216" s="192">
        <v>5603.53</v>
      </c>
      <c r="J216" s="192">
        <v>3006.1</v>
      </c>
      <c r="K216" s="192">
        <v>1107.24</v>
      </c>
      <c r="L216" s="213">
        <v>341</v>
      </c>
      <c r="M216" s="211" t="s">
        <v>268</v>
      </c>
      <c r="N216" s="214" t="s">
        <v>270</v>
      </c>
      <c r="O216" s="192">
        <v>178357.44</v>
      </c>
      <c r="P216" s="192">
        <f t="shared" si="35"/>
        <v>31.829478917753633</v>
      </c>
      <c r="Q216" s="192">
        <v>3259.66</v>
      </c>
      <c r="R216" s="217"/>
      <c r="S216" s="16"/>
    </row>
    <row r="217" spans="1:19" ht="35.25" x14ac:dyDescent="0.5">
      <c r="B217" s="293" t="s">
        <v>1295</v>
      </c>
      <c r="C217" s="216"/>
      <c r="D217" s="211" t="s">
        <v>757</v>
      </c>
      <c r="E217" s="211" t="s">
        <v>757</v>
      </c>
      <c r="F217" s="212" t="s">
        <v>757</v>
      </c>
      <c r="G217" s="211" t="s">
        <v>757</v>
      </c>
      <c r="H217" s="211" t="s">
        <v>757</v>
      </c>
      <c r="I217" s="192">
        <f>I218</f>
        <v>418.1</v>
      </c>
      <c r="J217" s="192">
        <f t="shared" ref="J217" si="36">J218</f>
        <v>377.6</v>
      </c>
      <c r="K217" s="192">
        <f t="shared" ref="K217" si="37">K218</f>
        <v>284.3</v>
      </c>
      <c r="L217" s="213">
        <f t="shared" ref="L217" si="38">L218</f>
        <v>12</v>
      </c>
      <c r="M217" s="211" t="s">
        <v>896</v>
      </c>
      <c r="N217" s="214" t="s">
        <v>896</v>
      </c>
      <c r="O217" s="192">
        <v>222759.59</v>
      </c>
      <c r="P217" s="192">
        <f t="shared" si="35"/>
        <v>532.79021765127959</v>
      </c>
      <c r="Q217" s="192">
        <f>Q218</f>
        <v>8684.7622602248266</v>
      </c>
      <c r="R217" s="217"/>
      <c r="S217" s="16"/>
    </row>
    <row r="218" spans="1:19" ht="35.25" x14ac:dyDescent="0.5">
      <c r="A218" s="6">
        <v>1</v>
      </c>
      <c r="B218" s="215">
        <v>111</v>
      </c>
      <c r="C218" s="216" t="s">
        <v>1495</v>
      </c>
      <c r="D218" s="211">
        <v>1987</v>
      </c>
      <c r="E218" s="211"/>
      <c r="F218" s="212" t="s">
        <v>269</v>
      </c>
      <c r="G218" s="211">
        <v>2</v>
      </c>
      <c r="H218" s="211">
        <v>2</v>
      </c>
      <c r="I218" s="192">
        <v>418.1</v>
      </c>
      <c r="J218" s="192">
        <v>377.6</v>
      </c>
      <c r="K218" s="192">
        <v>284.3</v>
      </c>
      <c r="L218" s="213">
        <v>12</v>
      </c>
      <c r="M218" s="211" t="s">
        <v>268</v>
      </c>
      <c r="N218" s="214" t="s">
        <v>270</v>
      </c>
      <c r="O218" s="192">
        <v>222759.59</v>
      </c>
      <c r="P218" s="192">
        <f t="shared" si="35"/>
        <v>532.79021765127959</v>
      </c>
      <c r="Q218" s="192">
        <v>8684.7622602248266</v>
      </c>
      <c r="R218" s="217"/>
      <c r="S218" s="16"/>
    </row>
    <row r="219" spans="1:19" ht="35.25" x14ac:dyDescent="0.5">
      <c r="B219" s="293" t="s">
        <v>854</v>
      </c>
      <c r="C219" s="216"/>
      <c r="D219" s="211" t="s">
        <v>757</v>
      </c>
      <c r="E219" s="211" t="s">
        <v>757</v>
      </c>
      <c r="F219" s="212" t="s">
        <v>757</v>
      </c>
      <c r="G219" s="211" t="s">
        <v>757</v>
      </c>
      <c r="H219" s="211" t="s">
        <v>757</v>
      </c>
      <c r="I219" s="192">
        <f>I220</f>
        <v>344.6</v>
      </c>
      <c r="J219" s="192">
        <f t="shared" ref="J219" si="39">J220</f>
        <v>312.2</v>
      </c>
      <c r="K219" s="192">
        <f t="shared" ref="K219" si="40">K220</f>
        <v>312.2</v>
      </c>
      <c r="L219" s="213">
        <f t="shared" ref="L219" si="41">L220</f>
        <v>15</v>
      </c>
      <c r="M219" s="211" t="s">
        <v>896</v>
      </c>
      <c r="N219" s="214" t="s">
        <v>896</v>
      </c>
      <c r="O219" s="192">
        <v>137654.99000000002</v>
      </c>
      <c r="P219" s="192">
        <f t="shared" si="35"/>
        <v>399.46311665699363</v>
      </c>
      <c r="Q219" s="192">
        <f>Q220</f>
        <v>8006.4231224608247</v>
      </c>
      <c r="R219" s="217"/>
      <c r="S219" s="16"/>
    </row>
    <row r="220" spans="1:19" ht="35.25" x14ac:dyDescent="0.5">
      <c r="A220" s="6">
        <v>1</v>
      </c>
      <c r="B220" s="215">
        <v>112</v>
      </c>
      <c r="C220" s="216" t="s">
        <v>1496</v>
      </c>
      <c r="D220" s="211">
        <v>1975</v>
      </c>
      <c r="E220" s="211"/>
      <c r="F220" s="212" t="s">
        <v>269</v>
      </c>
      <c r="G220" s="211">
        <v>2</v>
      </c>
      <c r="H220" s="211">
        <v>1</v>
      </c>
      <c r="I220" s="192">
        <v>344.6</v>
      </c>
      <c r="J220" s="192">
        <v>312.2</v>
      </c>
      <c r="K220" s="192">
        <v>312.2</v>
      </c>
      <c r="L220" s="213">
        <v>15</v>
      </c>
      <c r="M220" s="211" t="s">
        <v>268</v>
      </c>
      <c r="N220" s="214" t="s">
        <v>270</v>
      </c>
      <c r="O220" s="192">
        <v>137654.99000000002</v>
      </c>
      <c r="P220" s="192">
        <f t="shared" si="35"/>
        <v>399.46311665699363</v>
      </c>
      <c r="Q220" s="192">
        <v>8006.4231224608247</v>
      </c>
      <c r="R220" s="217"/>
      <c r="S220" s="16"/>
    </row>
    <row r="221" spans="1:19" ht="35.25" x14ac:dyDescent="0.5">
      <c r="B221" s="293" t="s">
        <v>842</v>
      </c>
      <c r="C221" s="216"/>
      <c r="D221" s="211" t="s">
        <v>757</v>
      </c>
      <c r="E221" s="211" t="s">
        <v>757</v>
      </c>
      <c r="F221" s="212" t="s">
        <v>757</v>
      </c>
      <c r="G221" s="211" t="s">
        <v>757</v>
      </c>
      <c r="H221" s="211" t="s">
        <v>757</v>
      </c>
      <c r="I221" s="192">
        <f>I222</f>
        <v>3508.9</v>
      </c>
      <c r="J221" s="192">
        <f t="shared" ref="J221" si="42">J222</f>
        <v>3167.7</v>
      </c>
      <c r="K221" s="192">
        <f t="shared" ref="K221" si="43">K222</f>
        <v>2665.2</v>
      </c>
      <c r="L221" s="213">
        <f t="shared" ref="L221" si="44">L222</f>
        <v>145</v>
      </c>
      <c r="M221" s="211" t="s">
        <v>896</v>
      </c>
      <c r="N221" s="214" t="s">
        <v>896</v>
      </c>
      <c r="O221" s="192">
        <v>894902.36</v>
      </c>
      <c r="P221" s="192">
        <f t="shared" si="35"/>
        <v>255.03786371797429</v>
      </c>
      <c r="Q221" s="192">
        <f>Q222</f>
        <v>713.63561230015102</v>
      </c>
      <c r="R221" s="217"/>
      <c r="S221" s="16"/>
    </row>
    <row r="222" spans="1:19" ht="35.25" x14ac:dyDescent="0.5">
      <c r="A222" s="6">
        <v>1</v>
      </c>
      <c r="B222" s="215">
        <v>113</v>
      </c>
      <c r="C222" s="216" t="s">
        <v>1497</v>
      </c>
      <c r="D222" s="211">
        <v>1987</v>
      </c>
      <c r="E222" s="211"/>
      <c r="F222" s="212" t="s">
        <v>313</v>
      </c>
      <c r="G222" s="211">
        <v>5</v>
      </c>
      <c r="H222" s="211">
        <v>4</v>
      </c>
      <c r="I222" s="192">
        <v>3508.9</v>
      </c>
      <c r="J222" s="192">
        <v>3167.7</v>
      </c>
      <c r="K222" s="192">
        <v>2665.2</v>
      </c>
      <c r="L222" s="213">
        <v>145</v>
      </c>
      <c r="M222" s="211" t="s">
        <v>268</v>
      </c>
      <c r="N222" s="214" t="s">
        <v>270</v>
      </c>
      <c r="O222" s="192">
        <v>894902.36</v>
      </c>
      <c r="P222" s="192">
        <f t="shared" si="35"/>
        <v>255.03786371797429</v>
      </c>
      <c r="Q222" s="192">
        <v>713.63561230015102</v>
      </c>
      <c r="R222" s="217"/>
      <c r="S222" s="16"/>
    </row>
    <row r="223" spans="1:19" ht="35.25" x14ac:dyDescent="0.5">
      <c r="B223" s="293" t="s">
        <v>847</v>
      </c>
      <c r="C223" s="216"/>
      <c r="D223" s="211" t="s">
        <v>757</v>
      </c>
      <c r="E223" s="211" t="s">
        <v>757</v>
      </c>
      <c r="F223" s="212" t="s">
        <v>757</v>
      </c>
      <c r="G223" s="211" t="s">
        <v>757</v>
      </c>
      <c r="H223" s="211" t="s">
        <v>757</v>
      </c>
      <c r="I223" s="192">
        <f>I224</f>
        <v>719.4</v>
      </c>
      <c r="J223" s="192">
        <f t="shared" ref="J223" si="45">J224</f>
        <v>531.6</v>
      </c>
      <c r="K223" s="192">
        <f t="shared" ref="K223" si="46">K224</f>
        <v>471.6</v>
      </c>
      <c r="L223" s="213">
        <f t="shared" ref="L223" si="47">L224</f>
        <v>30</v>
      </c>
      <c r="M223" s="211" t="s">
        <v>896</v>
      </c>
      <c r="N223" s="214" t="s">
        <v>896</v>
      </c>
      <c r="O223" s="192">
        <v>40586.949999999997</v>
      </c>
      <c r="P223" s="192">
        <f t="shared" si="35"/>
        <v>56.41777870447595</v>
      </c>
      <c r="Q223" s="192">
        <f>Q224</f>
        <v>5664.975938281902</v>
      </c>
      <c r="R223" s="217"/>
      <c r="S223" s="16"/>
    </row>
    <row r="224" spans="1:19" ht="35.25" x14ac:dyDescent="0.5">
      <c r="A224" s="6">
        <v>1</v>
      </c>
      <c r="B224" s="215">
        <v>114</v>
      </c>
      <c r="C224" s="216" t="s">
        <v>1498</v>
      </c>
      <c r="D224" s="211">
        <v>1975</v>
      </c>
      <c r="E224" s="211"/>
      <c r="F224" s="212" t="s">
        <v>269</v>
      </c>
      <c r="G224" s="211">
        <v>2</v>
      </c>
      <c r="H224" s="211">
        <v>2</v>
      </c>
      <c r="I224" s="192">
        <v>719.4</v>
      </c>
      <c r="J224" s="192">
        <v>531.6</v>
      </c>
      <c r="K224" s="192">
        <v>471.6</v>
      </c>
      <c r="L224" s="213">
        <v>30</v>
      </c>
      <c r="M224" s="211" t="s">
        <v>268</v>
      </c>
      <c r="N224" s="214" t="s">
        <v>270</v>
      </c>
      <c r="O224" s="192">
        <v>40586.949999999997</v>
      </c>
      <c r="P224" s="192">
        <f t="shared" si="35"/>
        <v>56.41777870447595</v>
      </c>
      <c r="Q224" s="192">
        <v>5664.975938281902</v>
      </c>
      <c r="R224" s="217"/>
      <c r="S224" s="16"/>
    </row>
    <row r="225" spans="1:19" ht="35.25" x14ac:dyDescent="0.5">
      <c r="B225" s="293" t="s">
        <v>862</v>
      </c>
      <c r="C225" s="216"/>
      <c r="D225" s="211" t="s">
        <v>757</v>
      </c>
      <c r="E225" s="211" t="s">
        <v>757</v>
      </c>
      <c r="F225" s="212" t="s">
        <v>757</v>
      </c>
      <c r="G225" s="211" t="s">
        <v>757</v>
      </c>
      <c r="H225" s="211" t="s">
        <v>757</v>
      </c>
      <c r="I225" s="192">
        <f>I226</f>
        <v>930</v>
      </c>
      <c r="J225" s="192">
        <f t="shared" ref="J225" si="48">J226</f>
        <v>857.4</v>
      </c>
      <c r="K225" s="192">
        <f t="shared" ref="K225" si="49">K226</f>
        <v>561.4</v>
      </c>
      <c r="L225" s="213">
        <f t="shared" ref="L225" si="50">L226</f>
        <v>45</v>
      </c>
      <c r="M225" s="211" t="s">
        <v>896</v>
      </c>
      <c r="N225" s="214" t="s">
        <v>896</v>
      </c>
      <c r="O225" s="192">
        <v>39622.869999999995</v>
      </c>
      <c r="P225" s="192">
        <f t="shared" si="35"/>
        <v>42.605236559139783</v>
      </c>
      <c r="Q225" s="192">
        <f>Q226</f>
        <v>5129.3169677419346</v>
      </c>
      <c r="R225" s="217"/>
      <c r="S225" s="16"/>
    </row>
    <row r="226" spans="1:19" ht="35.25" x14ac:dyDescent="0.5">
      <c r="A226" s="6">
        <v>1</v>
      </c>
      <c r="B226" s="215">
        <v>115</v>
      </c>
      <c r="C226" s="216" t="s">
        <v>1499</v>
      </c>
      <c r="D226" s="211">
        <v>1973</v>
      </c>
      <c r="E226" s="211"/>
      <c r="F226" s="212" t="s">
        <v>269</v>
      </c>
      <c r="G226" s="211">
        <v>2</v>
      </c>
      <c r="H226" s="211">
        <v>3</v>
      </c>
      <c r="I226" s="192">
        <v>930</v>
      </c>
      <c r="J226" s="192">
        <v>857.4</v>
      </c>
      <c r="K226" s="192">
        <v>561.4</v>
      </c>
      <c r="L226" s="213">
        <v>45</v>
      </c>
      <c r="M226" s="211" t="s">
        <v>271</v>
      </c>
      <c r="N226" s="214" t="s">
        <v>282</v>
      </c>
      <c r="O226" s="192">
        <v>39622.869999999995</v>
      </c>
      <c r="P226" s="192">
        <f t="shared" si="35"/>
        <v>42.605236559139783</v>
      </c>
      <c r="Q226" s="192">
        <v>5129.3169677419346</v>
      </c>
      <c r="R226" s="217"/>
      <c r="S226" s="16"/>
    </row>
    <row r="227" spans="1:19" ht="35.25" x14ac:dyDescent="0.5">
      <c r="B227" s="293" t="s">
        <v>840</v>
      </c>
      <c r="C227" s="216"/>
      <c r="D227" s="211" t="s">
        <v>757</v>
      </c>
      <c r="E227" s="211" t="s">
        <v>757</v>
      </c>
      <c r="F227" s="212" t="s">
        <v>757</v>
      </c>
      <c r="G227" s="211" t="s">
        <v>757</v>
      </c>
      <c r="H227" s="211" t="s">
        <v>757</v>
      </c>
      <c r="I227" s="192">
        <f>I228</f>
        <v>3791.9</v>
      </c>
      <c r="J227" s="192">
        <f t="shared" ref="J227" si="51">J228</f>
        <v>3527</v>
      </c>
      <c r="K227" s="192">
        <f t="shared" ref="K227" si="52">K228</f>
        <v>3291.3</v>
      </c>
      <c r="L227" s="213">
        <f t="shared" ref="L227" si="53">L228</f>
        <v>155</v>
      </c>
      <c r="M227" s="211" t="s">
        <v>896</v>
      </c>
      <c r="N227" s="214" t="s">
        <v>896</v>
      </c>
      <c r="O227" s="192">
        <v>8149.86</v>
      </c>
      <c r="P227" s="192">
        <f t="shared" si="35"/>
        <v>2.1492813629051399</v>
      </c>
      <c r="Q227" s="192">
        <f>Q228</f>
        <v>1620.5602742688361</v>
      </c>
      <c r="R227" s="217"/>
      <c r="S227" s="16"/>
    </row>
    <row r="228" spans="1:19" ht="35.25" x14ac:dyDescent="0.5">
      <c r="A228" s="6">
        <v>1</v>
      </c>
      <c r="B228" s="215">
        <v>116</v>
      </c>
      <c r="C228" s="216" t="s">
        <v>1507</v>
      </c>
      <c r="D228" s="211">
        <v>1973</v>
      </c>
      <c r="E228" s="211" t="s">
        <v>1539</v>
      </c>
      <c r="F228" s="212" t="s">
        <v>313</v>
      </c>
      <c r="G228" s="211">
        <v>5</v>
      </c>
      <c r="H228" s="211">
        <v>4</v>
      </c>
      <c r="I228" s="192">
        <v>3791.9</v>
      </c>
      <c r="J228" s="192">
        <v>3527</v>
      </c>
      <c r="K228" s="192">
        <v>3291.3</v>
      </c>
      <c r="L228" s="213">
        <v>155</v>
      </c>
      <c r="M228" s="211" t="s">
        <v>271</v>
      </c>
      <c r="N228" s="214" t="s">
        <v>816</v>
      </c>
      <c r="O228" s="192">
        <v>8149.86</v>
      </c>
      <c r="P228" s="192">
        <f t="shared" si="35"/>
        <v>2.1492813629051399</v>
      </c>
      <c r="Q228" s="192">
        <v>1620.5602742688361</v>
      </c>
      <c r="R228" s="217"/>
      <c r="S228" s="16"/>
    </row>
    <row r="229" spans="1:19" ht="35.25" x14ac:dyDescent="0.5">
      <c r="B229" s="293" t="s">
        <v>845</v>
      </c>
      <c r="C229" s="216"/>
      <c r="D229" s="211" t="s">
        <v>757</v>
      </c>
      <c r="E229" s="211" t="s">
        <v>757</v>
      </c>
      <c r="F229" s="212" t="s">
        <v>757</v>
      </c>
      <c r="G229" s="211" t="s">
        <v>757</v>
      </c>
      <c r="H229" s="211" t="s">
        <v>757</v>
      </c>
      <c r="I229" s="192">
        <f>SUM(I230:I231)</f>
        <v>1000</v>
      </c>
      <c r="J229" s="192">
        <f t="shared" ref="J229:L229" si="54">SUM(J230:J231)</f>
        <v>897</v>
      </c>
      <c r="K229" s="192">
        <f t="shared" si="54"/>
        <v>578</v>
      </c>
      <c r="L229" s="213">
        <f t="shared" si="54"/>
        <v>54</v>
      </c>
      <c r="M229" s="211" t="s">
        <v>896</v>
      </c>
      <c r="N229" s="214" t="s">
        <v>896</v>
      </c>
      <c r="O229" s="192">
        <v>156359.79</v>
      </c>
      <c r="P229" s="192">
        <f t="shared" si="35"/>
        <v>156.35979</v>
      </c>
      <c r="Q229" s="192">
        <f>MAX(Q230:Q231)</f>
        <v>5971.2581538461527</v>
      </c>
      <c r="R229" s="217"/>
      <c r="S229" s="16"/>
    </row>
    <row r="230" spans="1:19" ht="35.25" x14ac:dyDescent="0.5">
      <c r="A230" s="6">
        <v>1</v>
      </c>
      <c r="B230" s="215">
        <v>117</v>
      </c>
      <c r="C230" s="216" t="s">
        <v>1508</v>
      </c>
      <c r="D230" s="211">
        <v>1967</v>
      </c>
      <c r="E230" s="211"/>
      <c r="F230" s="212" t="s">
        <v>269</v>
      </c>
      <c r="G230" s="211">
        <v>2</v>
      </c>
      <c r="H230" s="211">
        <v>2</v>
      </c>
      <c r="I230" s="192">
        <v>610</v>
      </c>
      <c r="J230" s="192">
        <v>558</v>
      </c>
      <c r="K230" s="192">
        <v>380.7</v>
      </c>
      <c r="L230" s="213">
        <v>33</v>
      </c>
      <c r="M230" s="211" t="s">
        <v>268</v>
      </c>
      <c r="N230" s="214" t="s">
        <v>270</v>
      </c>
      <c r="O230" s="192">
        <v>79259.37000000001</v>
      </c>
      <c r="P230" s="192">
        <f t="shared" si="35"/>
        <v>129.93339344262296</v>
      </c>
      <c r="Q230" s="192">
        <v>5921.5239836065575</v>
      </c>
      <c r="R230" s="217"/>
      <c r="S230" s="16"/>
    </row>
    <row r="231" spans="1:19" ht="35.25" x14ac:dyDescent="0.5">
      <c r="A231" s="6">
        <v>1</v>
      </c>
      <c r="B231" s="215">
        <v>118</v>
      </c>
      <c r="C231" s="216" t="s">
        <v>1509</v>
      </c>
      <c r="D231" s="211">
        <v>1965</v>
      </c>
      <c r="E231" s="211"/>
      <c r="F231" s="212" t="s">
        <v>269</v>
      </c>
      <c r="G231" s="211">
        <v>2</v>
      </c>
      <c r="H231" s="211">
        <v>2</v>
      </c>
      <c r="I231" s="192">
        <v>390</v>
      </c>
      <c r="J231" s="192">
        <v>339</v>
      </c>
      <c r="K231" s="192">
        <v>197.3</v>
      </c>
      <c r="L231" s="213">
        <v>21</v>
      </c>
      <c r="M231" s="211" t="s">
        <v>268</v>
      </c>
      <c r="N231" s="214" t="s">
        <v>270</v>
      </c>
      <c r="O231" s="192">
        <v>77100.42</v>
      </c>
      <c r="P231" s="192">
        <f t="shared" si="35"/>
        <v>197.69338461538462</v>
      </c>
      <c r="Q231" s="192">
        <v>5971.2581538461527</v>
      </c>
      <c r="R231" s="217"/>
      <c r="S231" s="16"/>
    </row>
    <row r="232" spans="1:19" ht="35.25" x14ac:dyDescent="0.5">
      <c r="B232" s="293" t="s">
        <v>1052</v>
      </c>
      <c r="C232" s="216"/>
      <c r="D232" s="211" t="s">
        <v>757</v>
      </c>
      <c r="E232" s="211" t="s">
        <v>757</v>
      </c>
      <c r="F232" s="212" t="s">
        <v>757</v>
      </c>
      <c r="G232" s="211" t="s">
        <v>757</v>
      </c>
      <c r="H232" s="211" t="s">
        <v>757</v>
      </c>
      <c r="I232" s="192">
        <f>I233</f>
        <v>1707.6</v>
      </c>
      <c r="J232" s="192">
        <f t="shared" ref="J232" si="55">J233</f>
        <v>1346.4</v>
      </c>
      <c r="K232" s="192">
        <f t="shared" ref="K232" si="56">K233</f>
        <v>1242.0999999999999</v>
      </c>
      <c r="L232" s="213">
        <f t="shared" ref="L232" si="57">L233</f>
        <v>83</v>
      </c>
      <c r="M232" s="211" t="s">
        <v>896</v>
      </c>
      <c r="N232" s="214" t="s">
        <v>896</v>
      </c>
      <c r="O232" s="192">
        <v>5309.7</v>
      </c>
      <c r="P232" s="192">
        <f t="shared" si="35"/>
        <v>3.1094518622628251</v>
      </c>
      <c r="Q232" s="192">
        <f>Q233</f>
        <v>1574.9459030217849</v>
      </c>
      <c r="R232" s="217"/>
      <c r="S232" s="16"/>
    </row>
    <row r="233" spans="1:19" ht="35.25" x14ac:dyDescent="0.5">
      <c r="A233" s="6">
        <v>1</v>
      </c>
      <c r="B233" s="215">
        <v>119</v>
      </c>
      <c r="C233" s="216" t="s">
        <v>1605</v>
      </c>
      <c r="D233" s="211">
        <v>1985</v>
      </c>
      <c r="E233" s="211"/>
      <c r="F233" s="212" t="s">
        <v>269</v>
      </c>
      <c r="G233" s="211">
        <v>5</v>
      </c>
      <c r="H233" s="211">
        <v>1</v>
      </c>
      <c r="I233" s="192">
        <v>1707.6</v>
      </c>
      <c r="J233" s="192">
        <v>1346.4</v>
      </c>
      <c r="K233" s="192">
        <v>1242.0999999999999</v>
      </c>
      <c r="L233" s="213">
        <v>83</v>
      </c>
      <c r="M233" s="211" t="s">
        <v>271</v>
      </c>
      <c r="N233" s="214" t="s">
        <v>1610</v>
      </c>
      <c r="O233" s="192">
        <v>5309.7</v>
      </c>
      <c r="P233" s="192">
        <f t="shared" si="35"/>
        <v>3.1094518622628251</v>
      </c>
      <c r="Q233" s="192">
        <v>1574.9459030217849</v>
      </c>
      <c r="R233" s="217"/>
      <c r="S233" s="16"/>
    </row>
    <row r="234" spans="1:19" ht="35.25" x14ac:dyDescent="0.5">
      <c r="B234" s="293" t="s">
        <v>888</v>
      </c>
      <c r="C234" s="216"/>
      <c r="D234" s="211" t="s">
        <v>757</v>
      </c>
      <c r="E234" s="211" t="s">
        <v>757</v>
      </c>
      <c r="F234" s="212" t="s">
        <v>757</v>
      </c>
      <c r="G234" s="211" t="s">
        <v>757</v>
      </c>
      <c r="H234" s="211" t="s">
        <v>757</v>
      </c>
      <c r="I234" s="192">
        <f>I235</f>
        <v>773.3</v>
      </c>
      <c r="J234" s="192">
        <f t="shared" ref="J234" si="58">J235</f>
        <v>709.7</v>
      </c>
      <c r="K234" s="192">
        <f t="shared" ref="K234" si="59">K235</f>
        <v>676.4</v>
      </c>
      <c r="L234" s="213">
        <f t="shared" ref="L234" si="60">L235</f>
        <v>25</v>
      </c>
      <c r="M234" s="211" t="s">
        <v>896</v>
      </c>
      <c r="N234" s="214" t="s">
        <v>896</v>
      </c>
      <c r="O234" s="192">
        <v>188216.53</v>
      </c>
      <c r="P234" s="192">
        <f t="shared" si="35"/>
        <v>243.39393508340879</v>
      </c>
      <c r="Q234" s="192">
        <f>Q235</f>
        <v>1506.9628455967929</v>
      </c>
      <c r="R234" s="217"/>
      <c r="S234" s="16"/>
    </row>
    <row r="235" spans="1:19" ht="35.25" x14ac:dyDescent="0.5">
      <c r="B235" s="90">
        <v>120</v>
      </c>
      <c r="C235" s="216" t="s">
        <v>1695</v>
      </c>
      <c r="D235" s="211">
        <v>1982</v>
      </c>
      <c r="E235" s="211"/>
      <c r="F235" s="212" t="s">
        <v>1325</v>
      </c>
      <c r="G235" s="211">
        <v>5</v>
      </c>
      <c r="H235" s="211">
        <v>1</v>
      </c>
      <c r="I235" s="192">
        <v>773.3</v>
      </c>
      <c r="J235" s="192">
        <v>709.7</v>
      </c>
      <c r="K235" s="192">
        <v>676.4</v>
      </c>
      <c r="L235" s="213">
        <v>25</v>
      </c>
      <c r="M235" s="211" t="s">
        <v>268</v>
      </c>
      <c r="N235" s="214" t="s">
        <v>270</v>
      </c>
      <c r="O235" s="192">
        <v>188216.53</v>
      </c>
      <c r="P235" s="192">
        <f t="shared" si="35"/>
        <v>243.39393508340879</v>
      </c>
      <c r="Q235" s="192">
        <v>1506.9628455967929</v>
      </c>
      <c r="R235" s="217"/>
      <c r="S235" s="16"/>
    </row>
    <row r="236" spans="1:19" ht="35.25" x14ac:dyDescent="0.5">
      <c r="B236" s="293" t="s">
        <v>859</v>
      </c>
      <c r="C236" s="216"/>
      <c r="D236" s="211" t="s">
        <v>757</v>
      </c>
      <c r="E236" s="211" t="s">
        <v>757</v>
      </c>
      <c r="F236" s="212" t="s">
        <v>757</v>
      </c>
      <c r="G236" s="211" t="s">
        <v>757</v>
      </c>
      <c r="H236" s="211" t="s">
        <v>757</v>
      </c>
      <c r="I236" s="192">
        <f>I237</f>
        <v>3094.98</v>
      </c>
      <c r="J236" s="192">
        <f t="shared" ref="J236" si="61">J237</f>
        <v>2793.4</v>
      </c>
      <c r="K236" s="192">
        <f t="shared" ref="K236" si="62">K237</f>
        <v>2250.5</v>
      </c>
      <c r="L236" s="213">
        <f t="shared" ref="L236" si="63">L237</f>
        <v>157</v>
      </c>
      <c r="M236" s="211" t="s">
        <v>896</v>
      </c>
      <c r="N236" s="214" t="s">
        <v>896</v>
      </c>
      <c r="O236" s="192">
        <v>29122.38</v>
      </c>
      <c r="P236" s="192">
        <f t="shared" si="35"/>
        <v>9.4095535350793877</v>
      </c>
      <c r="Q236" s="192">
        <f>Q237</f>
        <v>3259.66</v>
      </c>
      <c r="R236" s="217"/>
      <c r="S236" s="16"/>
    </row>
    <row r="237" spans="1:19" ht="35.25" x14ac:dyDescent="0.5">
      <c r="B237" s="90">
        <v>121</v>
      </c>
      <c r="C237" s="216" t="s">
        <v>1915</v>
      </c>
      <c r="D237" s="211" t="s">
        <v>375</v>
      </c>
      <c r="E237" s="211"/>
      <c r="F237" s="212" t="s">
        <v>269</v>
      </c>
      <c r="G237" s="211">
        <v>5</v>
      </c>
      <c r="H237" s="211">
        <v>4</v>
      </c>
      <c r="I237" s="192">
        <v>3094.98</v>
      </c>
      <c r="J237" s="192">
        <v>2793.4</v>
      </c>
      <c r="K237" s="192">
        <v>2250.5</v>
      </c>
      <c r="L237" s="213">
        <v>157</v>
      </c>
      <c r="M237" s="211" t="s">
        <v>271</v>
      </c>
      <c r="N237" s="214" t="s">
        <v>1923</v>
      </c>
      <c r="O237" s="192">
        <v>29122.38</v>
      </c>
      <c r="P237" s="192">
        <f t="shared" si="35"/>
        <v>9.4095535350793877</v>
      </c>
      <c r="Q237" s="192">
        <v>3259.66</v>
      </c>
      <c r="R237" s="217"/>
      <c r="S237" s="16"/>
    </row>
  </sheetData>
  <autoFilter ref="A8:W237" xr:uid="{3A161C61-C2BF-482D-9787-D7AD856D8E45}"/>
  <mergeCells count="23">
    <mergeCell ref="B84:Q84"/>
    <mergeCell ref="O1:Q1"/>
    <mergeCell ref="N2:Q2"/>
    <mergeCell ref="B3:Q3"/>
    <mergeCell ref="B4:B7"/>
    <mergeCell ref="C4:C7"/>
    <mergeCell ref="D4:E4"/>
    <mergeCell ref="F4:F7"/>
    <mergeCell ref="G4:G7"/>
    <mergeCell ref="H4:H7"/>
    <mergeCell ref="I4:I6"/>
    <mergeCell ref="B9:Q9"/>
    <mergeCell ref="J4:K4"/>
    <mergeCell ref="L4:L6"/>
    <mergeCell ref="M4:M7"/>
    <mergeCell ref="N4:N7"/>
    <mergeCell ref="O4:O6"/>
    <mergeCell ref="P4:P6"/>
    <mergeCell ref="Q4:Q6"/>
    <mergeCell ref="D5:D7"/>
    <mergeCell ref="E5:E7"/>
    <mergeCell ref="J5:J6"/>
    <mergeCell ref="K5:K6"/>
  </mergeCells>
  <pageMargins left="0" right="0" top="0.5" bottom="0" header="0" footer="0"/>
  <pageSetup paperSize="9" scale="1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70"/>
  <sheetViews>
    <sheetView topLeftCell="A37" zoomScale="60" zoomScaleNormal="60" workbookViewId="0">
      <selection activeCell="F39" sqref="F39:F70"/>
    </sheetView>
  </sheetViews>
  <sheetFormatPr defaultRowHeight="15" x14ac:dyDescent="0.25"/>
  <cols>
    <col min="1" max="1" width="12" customWidth="1"/>
    <col min="2" max="2" width="60.5703125" customWidth="1"/>
    <col min="3" max="3" width="22.140625" customWidth="1"/>
    <col min="4" max="4" width="38.85546875" customWidth="1"/>
    <col min="5" max="5" width="20.5703125" customWidth="1"/>
    <col min="6" max="6" width="25.28515625" customWidth="1"/>
  </cols>
  <sheetData>
    <row r="1" spans="1:6" ht="35.25" customHeight="1" x14ac:dyDescent="0.35">
      <c r="C1" s="46"/>
      <c r="D1" s="431" t="s">
        <v>1066</v>
      </c>
      <c r="E1" s="431"/>
      <c r="F1" s="431"/>
    </row>
    <row r="2" spans="1:6" ht="53.25" customHeight="1" x14ac:dyDescent="0.25">
      <c r="C2" s="433" t="s">
        <v>1057</v>
      </c>
      <c r="D2" s="433"/>
      <c r="E2" s="433"/>
      <c r="F2" s="433"/>
    </row>
    <row r="3" spans="1:6" ht="104.25" customHeight="1" x14ac:dyDescent="0.25">
      <c r="A3" s="434" t="s">
        <v>1067</v>
      </c>
      <c r="B3" s="434"/>
      <c r="C3" s="434"/>
      <c r="D3" s="434"/>
      <c r="E3" s="434"/>
      <c r="F3" s="434"/>
    </row>
    <row r="4" spans="1:6" x14ac:dyDescent="0.25">
      <c r="A4" s="435" t="s">
        <v>6</v>
      </c>
      <c r="B4" s="435" t="s">
        <v>749</v>
      </c>
      <c r="C4" s="432" t="s">
        <v>750</v>
      </c>
      <c r="D4" s="432" t="s">
        <v>1068</v>
      </c>
      <c r="E4" s="432" t="s">
        <v>752</v>
      </c>
      <c r="F4" s="432" t="s">
        <v>753</v>
      </c>
    </row>
    <row r="5" spans="1:6" ht="156.75" customHeight="1" x14ac:dyDescent="0.25">
      <c r="A5" s="436"/>
      <c r="B5" s="436"/>
      <c r="C5" s="437"/>
      <c r="D5" s="432"/>
      <c r="E5" s="432"/>
      <c r="F5" s="432"/>
    </row>
    <row r="6" spans="1:6" ht="23.25" x14ac:dyDescent="0.25">
      <c r="A6" s="436"/>
      <c r="B6" s="436"/>
      <c r="C6" s="47" t="s">
        <v>754</v>
      </c>
      <c r="D6" s="47" t="s">
        <v>265</v>
      </c>
      <c r="E6" s="47" t="s">
        <v>37</v>
      </c>
      <c r="F6" s="47" t="s">
        <v>36</v>
      </c>
    </row>
    <row r="7" spans="1:6" ht="23.25" x14ac:dyDescent="0.35">
      <c r="A7" s="48">
        <v>1</v>
      </c>
      <c r="B7" s="48">
        <v>2</v>
      </c>
      <c r="C7" s="48">
        <v>3</v>
      </c>
      <c r="D7" s="48">
        <v>4</v>
      </c>
      <c r="E7" s="49">
        <v>5</v>
      </c>
      <c r="F7" s="49">
        <v>6</v>
      </c>
    </row>
    <row r="8" spans="1:6" ht="74.25" customHeight="1" x14ac:dyDescent="0.25">
      <c r="A8" s="428" t="s">
        <v>1022</v>
      </c>
      <c r="B8" s="429"/>
      <c r="C8" s="429"/>
      <c r="D8" s="429"/>
      <c r="E8" s="429"/>
      <c r="F8" s="430"/>
    </row>
    <row r="9" spans="1:6" ht="23.25" x14ac:dyDescent="0.35">
      <c r="A9" s="48"/>
      <c r="B9" s="205" t="s">
        <v>1961</v>
      </c>
      <c r="C9" s="209">
        <f>C10+C29</f>
        <v>43052.780000000006</v>
      </c>
      <c r="D9" s="210">
        <f t="shared" ref="D9:E9" si="0">D10+D29</f>
        <v>1783</v>
      </c>
      <c r="E9" s="207">
        <f t="shared" si="0"/>
        <v>45</v>
      </c>
      <c r="F9" s="209">
        <v>83044638.520000011</v>
      </c>
    </row>
    <row r="10" spans="1:6" ht="23.25" x14ac:dyDescent="0.35">
      <c r="A10" s="48"/>
      <c r="B10" s="204" t="s">
        <v>1677</v>
      </c>
      <c r="C10" s="209">
        <f>SUM(C11:C28)</f>
        <v>33695.280000000006</v>
      </c>
      <c r="D10" s="210">
        <f t="shared" ref="D10:E10" si="1">SUM(D11:D28)</f>
        <v>1359</v>
      </c>
      <c r="E10" s="207">
        <f t="shared" si="1"/>
        <v>33</v>
      </c>
      <c r="F10" s="209">
        <v>50996644.260000013</v>
      </c>
    </row>
    <row r="11" spans="1:6" ht="23.25" x14ac:dyDescent="0.35">
      <c r="A11" s="48">
        <v>1</v>
      </c>
      <c r="B11" s="53" t="s">
        <v>902</v>
      </c>
      <c r="C11" s="54">
        <v>792.7</v>
      </c>
      <c r="D11" s="52">
        <v>42</v>
      </c>
      <c r="E11" s="52">
        <v>1</v>
      </c>
      <c r="F11" s="55">
        <v>2142518.84</v>
      </c>
    </row>
    <row r="12" spans="1:6" ht="23.25" x14ac:dyDescent="0.35">
      <c r="A12" s="48">
        <v>2</v>
      </c>
      <c r="B12" s="53" t="s">
        <v>1365</v>
      </c>
      <c r="C12" s="54">
        <v>12811.8</v>
      </c>
      <c r="D12" s="52">
        <v>434</v>
      </c>
      <c r="E12" s="52">
        <v>8</v>
      </c>
      <c r="F12" s="55">
        <v>15237100.34</v>
      </c>
    </row>
    <row r="13" spans="1:6" ht="23.25" x14ac:dyDescent="0.35">
      <c r="A13" s="48">
        <v>3</v>
      </c>
      <c r="B13" s="53" t="s">
        <v>906</v>
      </c>
      <c r="C13" s="54">
        <v>882.3</v>
      </c>
      <c r="D13" s="52">
        <v>29</v>
      </c>
      <c r="E13" s="52">
        <v>1</v>
      </c>
      <c r="F13" s="55">
        <v>2196540.5</v>
      </c>
    </row>
    <row r="14" spans="1:6" ht="23.25" x14ac:dyDescent="0.35">
      <c r="A14" s="48">
        <v>4</v>
      </c>
      <c r="B14" s="53" t="s">
        <v>911</v>
      </c>
      <c r="C14" s="54">
        <v>1813.2</v>
      </c>
      <c r="D14" s="52">
        <v>156</v>
      </c>
      <c r="E14" s="52">
        <v>1</v>
      </c>
      <c r="F14" s="55">
        <v>6235729.1299999999</v>
      </c>
    </row>
    <row r="15" spans="1:6" ht="23.25" x14ac:dyDescent="0.35">
      <c r="A15" s="48">
        <v>5</v>
      </c>
      <c r="B15" s="53" t="s">
        <v>912</v>
      </c>
      <c r="C15" s="54">
        <v>366.5</v>
      </c>
      <c r="D15" s="52">
        <v>13</v>
      </c>
      <c r="E15" s="52">
        <v>1</v>
      </c>
      <c r="F15" s="55">
        <v>48440.03</v>
      </c>
    </row>
    <row r="16" spans="1:6" ht="23.25" x14ac:dyDescent="0.35">
      <c r="A16" s="48">
        <v>6</v>
      </c>
      <c r="B16" s="53" t="s">
        <v>1366</v>
      </c>
      <c r="C16" s="54">
        <v>872.2</v>
      </c>
      <c r="D16" s="52">
        <v>38</v>
      </c>
      <c r="E16" s="52">
        <v>2</v>
      </c>
      <c r="F16" s="55">
        <v>31767</v>
      </c>
    </row>
    <row r="17" spans="1:6" ht="23.25" x14ac:dyDescent="0.35">
      <c r="A17" s="48">
        <v>7</v>
      </c>
      <c r="B17" s="53" t="s">
        <v>921</v>
      </c>
      <c r="C17" s="54">
        <v>881.98</v>
      </c>
      <c r="D17" s="52">
        <v>48</v>
      </c>
      <c r="E17" s="52">
        <v>2</v>
      </c>
      <c r="F17" s="55">
        <v>3580408.22</v>
      </c>
    </row>
    <row r="18" spans="1:6" ht="23.25" x14ac:dyDescent="0.35">
      <c r="A18" s="48">
        <v>8</v>
      </c>
      <c r="B18" s="53" t="s">
        <v>954</v>
      </c>
      <c r="C18" s="54">
        <v>2093.1</v>
      </c>
      <c r="D18" s="52">
        <v>110</v>
      </c>
      <c r="E18" s="52">
        <v>3</v>
      </c>
      <c r="F18" s="55">
        <v>223917.22</v>
      </c>
    </row>
    <row r="19" spans="1:6" ht="23.25" x14ac:dyDescent="0.35">
      <c r="A19" s="48">
        <v>9</v>
      </c>
      <c r="B19" s="53" t="s">
        <v>926</v>
      </c>
      <c r="C19" s="54">
        <v>755.8</v>
      </c>
      <c r="D19" s="52">
        <v>20</v>
      </c>
      <c r="E19" s="52">
        <v>1</v>
      </c>
      <c r="F19" s="55">
        <v>2144299</v>
      </c>
    </row>
    <row r="20" spans="1:6" ht="23.25" x14ac:dyDescent="0.35">
      <c r="A20" s="48">
        <v>10</v>
      </c>
      <c r="B20" s="53" t="s">
        <v>929</v>
      </c>
      <c r="C20" s="54">
        <v>1840.2</v>
      </c>
      <c r="D20" s="52">
        <v>77</v>
      </c>
      <c r="E20" s="52">
        <v>1</v>
      </c>
      <c r="F20" s="55">
        <v>97672.62</v>
      </c>
    </row>
    <row r="21" spans="1:6" ht="23.25" x14ac:dyDescent="0.35">
      <c r="A21" s="48">
        <v>11</v>
      </c>
      <c r="B21" s="53" t="s">
        <v>1367</v>
      </c>
      <c r="C21" s="54">
        <v>1621.7</v>
      </c>
      <c r="D21" s="52">
        <v>58</v>
      </c>
      <c r="E21" s="52">
        <v>3</v>
      </c>
      <c r="F21" s="55">
        <v>7637123.5900000008</v>
      </c>
    </row>
    <row r="22" spans="1:6" ht="23.25" x14ac:dyDescent="0.35">
      <c r="A22" s="48">
        <v>12</v>
      </c>
      <c r="B22" s="53" t="s">
        <v>1368</v>
      </c>
      <c r="C22" s="54">
        <v>1598.9</v>
      </c>
      <c r="D22" s="52">
        <v>38</v>
      </c>
      <c r="E22" s="52">
        <v>1</v>
      </c>
      <c r="F22" s="55">
        <v>2434994.4500000002</v>
      </c>
    </row>
    <row r="23" spans="1:6" ht="23.25" x14ac:dyDescent="0.35">
      <c r="A23" s="48">
        <v>13</v>
      </c>
      <c r="B23" s="53" t="s">
        <v>942</v>
      </c>
      <c r="C23" s="54">
        <v>465</v>
      </c>
      <c r="D23" s="52">
        <v>26</v>
      </c>
      <c r="E23" s="52">
        <v>1</v>
      </c>
      <c r="F23" s="55">
        <v>89459.11</v>
      </c>
    </row>
    <row r="24" spans="1:6" ht="23.25" x14ac:dyDescent="0.35">
      <c r="A24" s="48">
        <v>14</v>
      </c>
      <c r="B24" s="53" t="s">
        <v>969</v>
      </c>
      <c r="C24" s="54">
        <v>861.5</v>
      </c>
      <c r="D24" s="52">
        <v>31</v>
      </c>
      <c r="E24" s="52">
        <v>1</v>
      </c>
      <c r="F24" s="55">
        <v>3168456.39</v>
      </c>
    </row>
    <row r="25" spans="1:6" ht="23.25" x14ac:dyDescent="0.35">
      <c r="A25" s="48">
        <v>15</v>
      </c>
      <c r="B25" s="53" t="s">
        <v>949</v>
      </c>
      <c r="C25" s="54">
        <v>2249.1999999999998</v>
      </c>
      <c r="D25" s="52">
        <v>104</v>
      </c>
      <c r="E25" s="52">
        <v>3</v>
      </c>
      <c r="F25" s="55">
        <v>4973352.16</v>
      </c>
    </row>
    <row r="26" spans="1:6" ht="23.25" x14ac:dyDescent="0.35">
      <c r="A26" s="48">
        <v>16</v>
      </c>
      <c r="B26" s="53" t="s">
        <v>948</v>
      </c>
      <c r="C26" s="54">
        <v>940.4</v>
      </c>
      <c r="D26" s="52">
        <v>26</v>
      </c>
      <c r="E26" s="52">
        <v>1</v>
      </c>
      <c r="F26" s="55">
        <v>1664467.67</v>
      </c>
    </row>
    <row r="27" spans="1:6" ht="23.25" x14ac:dyDescent="0.35">
      <c r="A27" s="48">
        <v>17</v>
      </c>
      <c r="B27" s="53" t="s">
        <v>923</v>
      </c>
      <c r="C27" s="54">
        <v>1743.7</v>
      </c>
      <c r="D27" s="52">
        <v>65</v>
      </c>
      <c r="E27" s="52">
        <v>1</v>
      </c>
      <c r="F27" s="55">
        <v>119901.4</v>
      </c>
    </row>
    <row r="28" spans="1:6" ht="23.25" x14ac:dyDescent="0.35">
      <c r="A28" s="48">
        <v>18</v>
      </c>
      <c r="B28" s="53" t="s">
        <v>918</v>
      </c>
      <c r="C28" s="54">
        <v>1105.0999999999999</v>
      </c>
      <c r="D28" s="52">
        <v>44</v>
      </c>
      <c r="E28" s="52">
        <v>1</v>
      </c>
      <c r="F28" s="55">
        <v>603261.75</v>
      </c>
    </row>
    <row r="29" spans="1:6" ht="23.25" x14ac:dyDescent="0.35">
      <c r="A29" s="48"/>
      <c r="B29" s="204" t="s">
        <v>1959</v>
      </c>
      <c r="C29" s="206">
        <f>SUM(C30:C37)</f>
        <v>9357.5</v>
      </c>
      <c r="D29" s="207">
        <f t="shared" ref="D29:E29" si="2">SUM(D30:D37)</f>
        <v>424</v>
      </c>
      <c r="E29" s="207">
        <f t="shared" si="2"/>
        <v>12</v>
      </c>
      <c r="F29" s="208">
        <v>32047994.259999998</v>
      </c>
    </row>
    <row r="30" spans="1:6" ht="23.25" x14ac:dyDescent="0.35">
      <c r="A30" s="48">
        <v>1</v>
      </c>
      <c r="B30" s="53" t="s">
        <v>1365</v>
      </c>
      <c r="C30" s="51">
        <v>1180.5999999999999</v>
      </c>
      <c r="D30" s="86">
        <v>60</v>
      </c>
      <c r="E30" s="52">
        <v>3</v>
      </c>
      <c r="F30" s="51">
        <v>5103149.49</v>
      </c>
    </row>
    <row r="31" spans="1:6" ht="23.25" x14ac:dyDescent="0.35">
      <c r="A31" s="48">
        <v>2</v>
      </c>
      <c r="B31" s="53" t="s">
        <v>912</v>
      </c>
      <c r="C31" s="54">
        <v>366.5</v>
      </c>
      <c r="D31" s="52">
        <v>25</v>
      </c>
      <c r="E31" s="52">
        <v>1</v>
      </c>
      <c r="F31" s="55">
        <v>1315440</v>
      </c>
    </row>
    <row r="32" spans="1:6" ht="23.25" x14ac:dyDescent="0.35">
      <c r="A32" s="48">
        <v>3</v>
      </c>
      <c r="B32" s="53" t="s">
        <v>1366</v>
      </c>
      <c r="C32" s="54">
        <v>410.7</v>
      </c>
      <c r="D32" s="52">
        <v>25</v>
      </c>
      <c r="E32" s="52">
        <v>1</v>
      </c>
      <c r="F32" s="55">
        <v>2607490.21</v>
      </c>
    </row>
    <row r="33" spans="1:6" ht="23.25" x14ac:dyDescent="0.35">
      <c r="A33" s="48">
        <v>4</v>
      </c>
      <c r="B33" s="53" t="s">
        <v>954</v>
      </c>
      <c r="C33" s="54">
        <v>2093.1</v>
      </c>
      <c r="D33" s="52">
        <v>110</v>
      </c>
      <c r="E33" s="52">
        <v>3</v>
      </c>
      <c r="F33" s="55">
        <v>6088266.21</v>
      </c>
    </row>
    <row r="34" spans="1:6" ht="23.25" x14ac:dyDescent="0.35">
      <c r="A34" s="48">
        <v>5</v>
      </c>
      <c r="B34" s="53" t="s">
        <v>929</v>
      </c>
      <c r="C34" s="54">
        <v>1840.2</v>
      </c>
      <c r="D34" s="52">
        <v>77</v>
      </c>
      <c r="E34" s="52">
        <v>1</v>
      </c>
      <c r="F34" s="55">
        <v>5538174.9500000002</v>
      </c>
    </row>
    <row r="35" spans="1:6" ht="23.25" x14ac:dyDescent="0.35">
      <c r="A35" s="48">
        <v>6</v>
      </c>
      <c r="B35" s="53" t="s">
        <v>1720</v>
      </c>
      <c r="C35" s="54">
        <v>1257.7</v>
      </c>
      <c r="D35" s="52">
        <v>36</v>
      </c>
      <c r="E35" s="52">
        <v>1</v>
      </c>
      <c r="F35" s="55">
        <v>3672464.4</v>
      </c>
    </row>
    <row r="36" spans="1:6" ht="23.25" x14ac:dyDescent="0.35">
      <c r="A36" s="48">
        <v>7</v>
      </c>
      <c r="B36" s="53" t="s">
        <v>942</v>
      </c>
      <c r="C36" s="54">
        <v>465</v>
      </c>
      <c r="D36" s="52">
        <v>26</v>
      </c>
      <c r="E36" s="52">
        <v>1</v>
      </c>
      <c r="F36" s="55">
        <v>2030000</v>
      </c>
    </row>
    <row r="37" spans="1:6" ht="23.25" x14ac:dyDescent="0.35">
      <c r="A37" s="48">
        <v>8</v>
      </c>
      <c r="B37" s="53" t="s">
        <v>923</v>
      </c>
      <c r="C37" s="54">
        <v>1743.7</v>
      </c>
      <c r="D37" s="52">
        <v>65</v>
      </c>
      <c r="E37" s="52">
        <v>1</v>
      </c>
      <c r="F37" s="55">
        <v>3628625</v>
      </c>
    </row>
    <row r="38" spans="1:6" ht="72" customHeight="1" x14ac:dyDescent="0.25">
      <c r="A38" s="428" t="s">
        <v>1410</v>
      </c>
      <c r="B38" s="429"/>
      <c r="C38" s="429"/>
      <c r="D38" s="429"/>
      <c r="E38" s="429"/>
      <c r="F38" s="430"/>
    </row>
    <row r="39" spans="1:6" ht="23.25" x14ac:dyDescent="0.35">
      <c r="A39" s="48"/>
      <c r="B39" s="50" t="s">
        <v>1069</v>
      </c>
      <c r="C39" s="51">
        <f>SUM(C40:C70)</f>
        <v>296284.68999999994</v>
      </c>
      <c r="D39" s="86">
        <f>SUM(D40:D70)</f>
        <v>12433</v>
      </c>
      <c r="E39" s="98">
        <f>SUM(E40:E70)</f>
        <v>121</v>
      </c>
      <c r="F39" s="51">
        <v>37865799.850000024</v>
      </c>
    </row>
    <row r="40" spans="1:6" ht="23.25" x14ac:dyDescent="0.35">
      <c r="A40" s="48">
        <v>1</v>
      </c>
      <c r="B40" s="53" t="s">
        <v>902</v>
      </c>
      <c r="C40" s="54">
        <v>13682.619999999999</v>
      </c>
      <c r="D40" s="86">
        <v>744</v>
      </c>
      <c r="E40" s="98">
        <v>6</v>
      </c>
      <c r="F40" s="55">
        <v>3112010.69</v>
      </c>
    </row>
    <row r="41" spans="1:6" ht="23.25" x14ac:dyDescent="0.35">
      <c r="A41" s="48">
        <v>2</v>
      </c>
      <c r="B41" s="53" t="s">
        <v>903</v>
      </c>
      <c r="C41" s="54">
        <v>4101.7</v>
      </c>
      <c r="D41" s="86">
        <v>111</v>
      </c>
      <c r="E41" s="98">
        <v>1</v>
      </c>
      <c r="F41" s="55">
        <v>418959.01</v>
      </c>
    </row>
    <row r="42" spans="1:6" ht="23.25" x14ac:dyDescent="0.35">
      <c r="A42" s="48">
        <v>3</v>
      </c>
      <c r="B42" s="53" t="s">
        <v>906</v>
      </c>
      <c r="C42" s="54">
        <v>2327.5</v>
      </c>
      <c r="D42" s="86">
        <v>106</v>
      </c>
      <c r="E42" s="98">
        <v>3</v>
      </c>
      <c r="F42" s="55">
        <v>34418.18</v>
      </c>
    </row>
    <row r="43" spans="1:6" ht="23.25" x14ac:dyDescent="0.35">
      <c r="A43" s="48">
        <v>4</v>
      </c>
      <c r="B43" s="53" t="s">
        <v>1365</v>
      </c>
      <c r="C43" s="54">
        <v>28928.739999999998</v>
      </c>
      <c r="D43" s="86">
        <v>1177</v>
      </c>
      <c r="E43" s="98">
        <v>16</v>
      </c>
      <c r="F43" s="55">
        <v>1958443.2499999998</v>
      </c>
    </row>
    <row r="44" spans="1:6" ht="23.25" x14ac:dyDescent="0.35">
      <c r="A44" s="48">
        <v>5</v>
      </c>
      <c r="B44" s="53" t="s">
        <v>911</v>
      </c>
      <c r="C44" s="54">
        <v>14909.5</v>
      </c>
      <c r="D44" s="86">
        <v>477</v>
      </c>
      <c r="E44" s="98">
        <v>7</v>
      </c>
      <c r="F44" s="55">
        <v>2682931.6799999997</v>
      </c>
    </row>
    <row r="45" spans="1:6" ht="23.25" x14ac:dyDescent="0.35">
      <c r="A45" s="48">
        <v>6</v>
      </c>
      <c r="B45" s="53" t="s">
        <v>910</v>
      </c>
      <c r="C45" s="54">
        <v>3874.7000000000003</v>
      </c>
      <c r="D45" s="86">
        <v>141</v>
      </c>
      <c r="E45" s="98">
        <v>4</v>
      </c>
      <c r="F45" s="55">
        <v>3091318.25</v>
      </c>
    </row>
    <row r="46" spans="1:6" ht="23.25" x14ac:dyDescent="0.35">
      <c r="A46" s="48">
        <v>7</v>
      </c>
      <c r="B46" s="53" t="s">
        <v>954</v>
      </c>
      <c r="C46" s="54">
        <v>63103.719999999994</v>
      </c>
      <c r="D46" s="86">
        <v>2118</v>
      </c>
      <c r="E46" s="98">
        <v>30</v>
      </c>
      <c r="F46" s="55">
        <v>9439005.0200000033</v>
      </c>
    </row>
    <row r="47" spans="1:6" ht="23.25" x14ac:dyDescent="0.35">
      <c r="A47" s="48">
        <v>8</v>
      </c>
      <c r="B47" s="53" t="s">
        <v>1578</v>
      </c>
      <c r="C47" s="54">
        <v>47621.47</v>
      </c>
      <c r="D47" s="86">
        <v>2263</v>
      </c>
      <c r="E47" s="98">
        <v>15</v>
      </c>
      <c r="F47" s="55">
        <v>5316085.62</v>
      </c>
    </row>
    <row r="48" spans="1:6" ht="23.25" x14ac:dyDescent="0.35">
      <c r="A48" s="48">
        <v>9</v>
      </c>
      <c r="B48" s="53" t="s">
        <v>1579</v>
      </c>
      <c r="C48" s="54">
        <v>39280</v>
      </c>
      <c r="D48" s="86">
        <v>1995</v>
      </c>
      <c r="E48" s="98">
        <v>5</v>
      </c>
      <c r="F48" s="55">
        <v>1542530.93</v>
      </c>
    </row>
    <row r="49" spans="1:6" ht="23.25" x14ac:dyDescent="0.35">
      <c r="A49" s="48">
        <v>10</v>
      </c>
      <c r="B49" s="53" t="s">
        <v>909</v>
      </c>
      <c r="C49" s="54">
        <v>6959.2</v>
      </c>
      <c r="D49" s="86">
        <v>259</v>
      </c>
      <c r="E49" s="98">
        <v>2</v>
      </c>
      <c r="F49" s="55">
        <v>3231773.15</v>
      </c>
    </row>
    <row r="50" spans="1:6" ht="23.25" x14ac:dyDescent="0.35">
      <c r="A50" s="48">
        <v>11</v>
      </c>
      <c r="B50" s="53" t="s">
        <v>1580</v>
      </c>
      <c r="C50" s="54">
        <v>1317.6</v>
      </c>
      <c r="D50" s="86">
        <v>50</v>
      </c>
      <c r="E50" s="98">
        <v>2</v>
      </c>
      <c r="F50" s="55">
        <v>35323.410000000003</v>
      </c>
    </row>
    <row r="51" spans="1:6" ht="23.25" x14ac:dyDescent="0.35">
      <c r="A51" s="48">
        <v>12</v>
      </c>
      <c r="B51" s="53" t="s">
        <v>970</v>
      </c>
      <c r="C51" s="54">
        <v>3121</v>
      </c>
      <c r="D51" s="86">
        <v>171</v>
      </c>
      <c r="E51" s="98">
        <v>1</v>
      </c>
      <c r="F51" s="55">
        <v>778244.79</v>
      </c>
    </row>
    <row r="52" spans="1:6" ht="23.25" x14ac:dyDescent="0.35">
      <c r="A52" s="48">
        <v>13</v>
      </c>
      <c r="B52" s="53" t="s">
        <v>937</v>
      </c>
      <c r="C52" s="54">
        <v>6289.82</v>
      </c>
      <c r="D52" s="86">
        <v>266</v>
      </c>
      <c r="E52" s="98">
        <v>4</v>
      </c>
      <c r="F52" s="55">
        <v>969598.97000000009</v>
      </c>
    </row>
    <row r="53" spans="1:6" ht="23.25" x14ac:dyDescent="0.35">
      <c r="A53" s="48">
        <v>14</v>
      </c>
      <c r="B53" s="53" t="s">
        <v>918</v>
      </c>
      <c r="C53" s="54">
        <v>5085.1000000000004</v>
      </c>
      <c r="D53" s="86">
        <v>199</v>
      </c>
      <c r="E53" s="98">
        <v>1</v>
      </c>
      <c r="F53" s="55">
        <v>425208.96</v>
      </c>
    </row>
    <row r="54" spans="1:6" ht="23.25" x14ac:dyDescent="0.35">
      <c r="A54" s="48">
        <v>15</v>
      </c>
      <c r="B54" s="53" t="s">
        <v>921</v>
      </c>
      <c r="C54" s="54">
        <v>4174.76</v>
      </c>
      <c r="D54" s="86">
        <v>92</v>
      </c>
      <c r="E54" s="98">
        <v>2</v>
      </c>
      <c r="F54" s="55">
        <v>243092.59999999998</v>
      </c>
    </row>
    <row r="55" spans="1:6" ht="23.25" x14ac:dyDescent="0.35">
      <c r="A55" s="48">
        <v>16</v>
      </c>
      <c r="B55" s="53" t="s">
        <v>933</v>
      </c>
      <c r="C55" s="54">
        <v>15972.619999999999</v>
      </c>
      <c r="D55" s="86">
        <v>615</v>
      </c>
      <c r="E55" s="98">
        <v>2</v>
      </c>
      <c r="F55" s="55">
        <v>1988549.43</v>
      </c>
    </row>
    <row r="56" spans="1:6" ht="23.25" x14ac:dyDescent="0.35">
      <c r="A56" s="48">
        <v>17</v>
      </c>
      <c r="B56" s="53" t="s">
        <v>936</v>
      </c>
      <c r="C56" s="54">
        <v>3408</v>
      </c>
      <c r="D56" s="86">
        <v>189</v>
      </c>
      <c r="E56" s="98">
        <v>3</v>
      </c>
      <c r="F56" s="55">
        <v>654592.74</v>
      </c>
    </row>
    <row r="57" spans="1:6" ht="23.25" x14ac:dyDescent="0.35">
      <c r="A57" s="48">
        <v>18</v>
      </c>
      <c r="B57" s="53" t="s">
        <v>969</v>
      </c>
      <c r="C57" s="54">
        <v>677.1</v>
      </c>
      <c r="D57" s="86">
        <v>37</v>
      </c>
      <c r="E57" s="98">
        <v>1</v>
      </c>
      <c r="F57" s="55">
        <v>39585</v>
      </c>
    </row>
    <row r="58" spans="1:6" ht="23.25" x14ac:dyDescent="0.35">
      <c r="A58" s="48">
        <v>19</v>
      </c>
      <c r="B58" s="53" t="s">
        <v>913</v>
      </c>
      <c r="C58" s="54">
        <v>805.6</v>
      </c>
      <c r="D58" s="86">
        <v>44</v>
      </c>
      <c r="E58" s="98">
        <v>1</v>
      </c>
      <c r="F58" s="55">
        <v>275468.56</v>
      </c>
    </row>
    <row r="59" spans="1:6" ht="23.25" x14ac:dyDescent="0.35">
      <c r="A59" s="48">
        <v>20</v>
      </c>
      <c r="B59" s="53" t="s">
        <v>956</v>
      </c>
      <c r="C59" s="54">
        <v>1423.3</v>
      </c>
      <c r="D59" s="86">
        <v>37</v>
      </c>
      <c r="E59" s="98">
        <v>1</v>
      </c>
      <c r="F59" s="55">
        <v>50753.95</v>
      </c>
    </row>
    <row r="60" spans="1:6" ht="23.25" x14ac:dyDescent="0.35">
      <c r="A60" s="48">
        <v>21</v>
      </c>
      <c r="B60" s="53" t="s">
        <v>967</v>
      </c>
      <c r="C60" s="54">
        <v>12931.86</v>
      </c>
      <c r="D60" s="86">
        <v>621</v>
      </c>
      <c r="E60" s="98">
        <v>3</v>
      </c>
      <c r="F60" s="55">
        <v>274179.65000000002</v>
      </c>
    </row>
    <row r="61" spans="1:6" ht="23.25" x14ac:dyDescent="0.35">
      <c r="A61" s="48">
        <v>22</v>
      </c>
      <c r="B61" s="53" t="s">
        <v>1370</v>
      </c>
      <c r="C61" s="54">
        <v>418.1</v>
      </c>
      <c r="D61" s="86">
        <v>12</v>
      </c>
      <c r="E61" s="98">
        <v>1</v>
      </c>
      <c r="F61" s="55">
        <v>222759.59</v>
      </c>
    </row>
    <row r="62" spans="1:6" ht="23.25" x14ac:dyDescent="0.35">
      <c r="A62" s="48">
        <v>23</v>
      </c>
      <c r="B62" s="53" t="s">
        <v>976</v>
      </c>
      <c r="C62" s="54">
        <v>344.6</v>
      </c>
      <c r="D62" s="86">
        <v>15</v>
      </c>
      <c r="E62" s="98">
        <v>1</v>
      </c>
      <c r="F62" s="55">
        <v>137654.99000000002</v>
      </c>
    </row>
    <row r="63" spans="1:6" ht="23.25" x14ac:dyDescent="0.35">
      <c r="A63" s="48">
        <v>24</v>
      </c>
      <c r="B63" s="53" t="s">
        <v>925</v>
      </c>
      <c r="C63" s="54">
        <v>3508.9</v>
      </c>
      <c r="D63" s="86">
        <v>145</v>
      </c>
      <c r="E63" s="98">
        <v>1</v>
      </c>
      <c r="F63" s="55">
        <v>894902.36</v>
      </c>
    </row>
    <row r="64" spans="1:6" ht="23.25" x14ac:dyDescent="0.35">
      <c r="A64" s="48">
        <v>25</v>
      </c>
      <c r="B64" s="53" t="s">
        <v>932</v>
      </c>
      <c r="C64" s="54">
        <v>719.4</v>
      </c>
      <c r="D64" s="86">
        <v>30</v>
      </c>
      <c r="E64" s="98">
        <v>1</v>
      </c>
      <c r="F64" s="55">
        <v>40586.949999999997</v>
      </c>
    </row>
    <row r="65" spans="1:6" ht="23.25" x14ac:dyDescent="0.35">
      <c r="A65" s="48">
        <v>26</v>
      </c>
      <c r="B65" s="53" t="s">
        <v>947</v>
      </c>
      <c r="C65" s="54">
        <v>930</v>
      </c>
      <c r="D65" s="86">
        <v>45</v>
      </c>
      <c r="E65" s="98">
        <v>1</v>
      </c>
      <c r="F65" s="55">
        <v>39622.869999999995</v>
      </c>
    </row>
    <row r="66" spans="1:6" ht="23.25" x14ac:dyDescent="0.35">
      <c r="A66" s="48">
        <v>27</v>
      </c>
      <c r="B66" s="53" t="s">
        <v>923</v>
      </c>
      <c r="C66" s="54">
        <v>3791.9</v>
      </c>
      <c r="D66" s="86">
        <v>155</v>
      </c>
      <c r="E66" s="98">
        <v>1</v>
      </c>
      <c r="F66" s="55">
        <v>8149.86</v>
      </c>
    </row>
    <row r="67" spans="1:6" ht="23.25" x14ac:dyDescent="0.35">
      <c r="A67" s="48">
        <v>28</v>
      </c>
      <c r="B67" s="53" t="s">
        <v>927</v>
      </c>
      <c r="C67" s="54">
        <v>1000</v>
      </c>
      <c r="D67" s="86">
        <v>54</v>
      </c>
      <c r="E67" s="98">
        <v>2</v>
      </c>
      <c r="F67" s="55">
        <v>156359.79</v>
      </c>
    </row>
    <row r="68" spans="1:6" ht="23.25" x14ac:dyDescent="0.35">
      <c r="A68" s="48">
        <v>29</v>
      </c>
      <c r="B68" s="53" t="s">
        <v>1366</v>
      </c>
      <c r="C68" s="54">
        <v>1707.6</v>
      </c>
      <c r="D68" s="86">
        <v>83</v>
      </c>
      <c r="E68" s="98">
        <v>1</v>
      </c>
      <c r="F68" s="55">
        <v>5309.7</v>
      </c>
    </row>
    <row r="69" spans="1:6" ht="23.25" x14ac:dyDescent="0.35">
      <c r="A69" s="48">
        <v>30</v>
      </c>
      <c r="B69" s="53" t="s">
        <v>940</v>
      </c>
      <c r="C69" s="54">
        <v>773.3</v>
      </c>
      <c r="D69" s="86">
        <v>25</v>
      </c>
      <c r="E69" s="98">
        <v>1</v>
      </c>
      <c r="F69" s="55">
        <v>188216.53</v>
      </c>
    </row>
    <row r="70" spans="1:6" ht="23.25" x14ac:dyDescent="0.35">
      <c r="A70" s="48">
        <v>31</v>
      </c>
      <c r="B70" s="53" t="s">
        <v>943</v>
      </c>
      <c r="C70" s="54">
        <v>3094.98</v>
      </c>
      <c r="D70" s="86">
        <v>157</v>
      </c>
      <c r="E70" s="98">
        <v>1</v>
      </c>
      <c r="F70" s="55">
        <v>29122.38</v>
      </c>
    </row>
  </sheetData>
  <mergeCells count="11">
    <mergeCell ref="A38:F38"/>
    <mergeCell ref="D1:F1"/>
    <mergeCell ref="F4:F5"/>
    <mergeCell ref="A8:F8"/>
    <mergeCell ref="C2:F2"/>
    <mergeCell ref="A3:F3"/>
    <mergeCell ref="A4:A6"/>
    <mergeCell ref="B4:B6"/>
    <mergeCell ref="C4:C5"/>
    <mergeCell ref="D4:D5"/>
    <mergeCell ref="E4:E5"/>
  </mergeCells>
  <pageMargins left="0.39" right="0.32" top="0.75" bottom="0.75" header="0.3" footer="0.3"/>
  <pageSetup paperSize="9" scale="5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4</vt:i4>
      </vt:variant>
    </vt:vector>
  </HeadingPairs>
  <TitlesOfParts>
    <vt:vector size="13" baseType="lpstr">
      <vt:lpstr>Реестр</vt:lpstr>
      <vt:lpstr>Перечень</vt:lpstr>
      <vt:lpstr>Рес обесп</vt:lpstr>
      <vt:lpstr>Плановые показатели</vt:lpstr>
      <vt:lpstr>Спец.счета КП 2020-2022</vt:lpstr>
      <vt:lpstr>Зачет</vt:lpstr>
      <vt:lpstr>Реестр_бонусы</vt:lpstr>
      <vt:lpstr>Перечень_бонусы</vt:lpstr>
      <vt:lpstr>Планируемые показат_бонусы</vt:lpstr>
      <vt:lpstr>Зачет!Область_печати</vt:lpstr>
      <vt:lpstr>Перечень!Область_печати</vt:lpstr>
      <vt:lpstr>Реестр!Область_печати</vt:lpstr>
      <vt:lpstr>'Рес обесп'!Область_печати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Татьяна Николаевна Базжина</cp:lastModifiedBy>
  <cp:lastPrinted>2020-12-30T11:23:13Z</cp:lastPrinted>
  <dcterms:created xsi:type="dcterms:W3CDTF">2019-03-21T15:19:46Z</dcterms:created>
  <dcterms:modified xsi:type="dcterms:W3CDTF">2020-12-30T12:34:47Z</dcterms:modified>
</cp:coreProperties>
</file>